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11440" yWindow="500" windowWidth="25360" windowHeight="15820"/>
  </bookViews>
  <sheets>
    <sheet name="Symptomen (alle)" sheetId="1" r:id="rId1"/>
    <sheet name="Symptomen (zichtbaar)" sheetId="14" r:id="rId2"/>
    <sheet name="Symptomen (alle, 3,2,1)" sheetId="20" r:id="rId3"/>
    <sheet name="Symptomen (analyse achteraf)" sheetId="15" r:id="rId4"/>
    <sheet name="Medicatie" sheetId="7" r:id="rId5"/>
    <sheet name="Belang symptomen" sheetId="13" r:id="rId6"/>
    <sheet name="ZiekteFam" sheetId="2" r:id="rId7"/>
    <sheet name="Berekening" sheetId="3" r:id="rId8"/>
    <sheet name="Berekening2" sheetId="4" r:id="rId9"/>
    <sheet name="Berekening2 (2)" sheetId="17" r:id="rId10"/>
    <sheet name="Berekening2 (3)" sheetId="19" r:id="rId11"/>
    <sheet name="Berekening3" sheetId="8" r:id="rId12"/>
    <sheet name="Blad1" sheetId="16" r:id="rId13"/>
  </sheets>
  <definedNames>
    <definedName name="_xlnm.Print_Area" localSheetId="0">'Symptomen (alle)'!$A$1:$AB$35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8" l="1"/>
  <c r="AF7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G34" i="8"/>
  <c r="AF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H7" i="8"/>
  <c r="AI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H8" i="8"/>
  <c r="AI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H9" i="8"/>
  <c r="AI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H10" i="8"/>
  <c r="AI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H11" i="8"/>
  <c r="AI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H12" i="8"/>
  <c r="AI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H13" i="8"/>
  <c r="AI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H14" i="8"/>
  <c r="AI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H15" i="8"/>
  <c r="AI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H16" i="8"/>
  <c r="AI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H17" i="8"/>
  <c r="AI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H18" i="8"/>
  <c r="AI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H19" i="8"/>
  <c r="AI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H20" i="8"/>
  <c r="AI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H21" i="8"/>
  <c r="AI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H22" i="8"/>
  <c r="AI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H23" i="8"/>
  <c r="AI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H24" i="8"/>
  <c r="AI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H25" i="8"/>
  <c r="AI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H26" i="8"/>
  <c r="AI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H27" i="8"/>
  <c r="AI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H28" i="8"/>
  <c r="AI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H29" i="8"/>
  <c r="AI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H30" i="8"/>
  <c r="AI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H31" i="8"/>
  <c r="AI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H32" i="8"/>
  <c r="AI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H33" i="8"/>
  <c r="AI33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H35" i="8"/>
  <c r="AI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H36" i="8"/>
  <c r="AI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H37" i="8"/>
  <c r="AI37" i="8"/>
  <c r="BM34" i="8"/>
  <c r="AO7" i="8"/>
  <c r="AY7" i="8"/>
  <c r="AP7" i="8"/>
  <c r="AZ7" i="8"/>
  <c r="AQ7" i="8"/>
  <c r="BA7" i="8"/>
  <c r="AR7" i="8"/>
  <c r="AN7" i="8"/>
  <c r="BB7" i="8"/>
  <c r="BH7" i="8"/>
  <c r="AO8" i="8"/>
  <c r="AY8" i="8"/>
  <c r="AP8" i="8"/>
  <c r="AZ8" i="8"/>
  <c r="AQ8" i="8"/>
  <c r="AM8" i="8"/>
  <c r="BA8" i="8"/>
  <c r="AR8" i="8"/>
  <c r="AN8" i="8"/>
  <c r="BB8" i="8"/>
  <c r="BH8" i="8"/>
  <c r="AO9" i="8"/>
  <c r="AY9" i="8"/>
  <c r="AP9" i="8"/>
  <c r="AZ9" i="8"/>
  <c r="AQ9" i="8"/>
  <c r="AM9" i="8"/>
  <c r="BA9" i="8"/>
  <c r="AR9" i="8"/>
  <c r="AN9" i="8"/>
  <c r="BB9" i="8"/>
  <c r="BH9" i="8"/>
  <c r="AO10" i="8"/>
  <c r="AY10" i="8"/>
  <c r="AP10" i="8"/>
  <c r="AZ10" i="8"/>
  <c r="AQ10" i="8"/>
  <c r="AM10" i="8"/>
  <c r="BA10" i="8"/>
  <c r="AR10" i="8"/>
  <c r="AN10" i="8"/>
  <c r="BB10" i="8"/>
  <c r="BH10" i="8"/>
  <c r="AO11" i="8"/>
  <c r="AY11" i="8"/>
  <c r="AP11" i="8"/>
  <c r="AZ11" i="8"/>
  <c r="AQ11" i="8"/>
  <c r="AM11" i="8"/>
  <c r="BA11" i="8"/>
  <c r="AR11" i="8"/>
  <c r="BB11" i="8"/>
  <c r="BH11" i="8"/>
  <c r="AO12" i="8"/>
  <c r="AY12" i="8"/>
  <c r="AP12" i="8"/>
  <c r="AZ12" i="8"/>
  <c r="AQ12" i="8"/>
  <c r="AM12" i="8"/>
  <c r="BA12" i="8"/>
  <c r="AR12" i="8"/>
  <c r="AN12" i="8"/>
  <c r="BB12" i="8"/>
  <c r="BH12" i="8"/>
  <c r="AO13" i="8"/>
  <c r="AY13" i="8"/>
  <c r="AP13" i="8"/>
  <c r="AZ13" i="8"/>
  <c r="AQ13" i="8"/>
  <c r="AM13" i="8"/>
  <c r="BA13" i="8"/>
  <c r="AR13" i="8"/>
  <c r="AN13" i="8"/>
  <c r="BB13" i="8"/>
  <c r="BH13" i="8"/>
  <c r="AO14" i="8"/>
  <c r="AY14" i="8"/>
  <c r="AP14" i="8"/>
  <c r="AZ14" i="8"/>
  <c r="AQ14" i="8"/>
  <c r="AM14" i="8"/>
  <c r="BA14" i="8"/>
  <c r="AR14" i="8"/>
  <c r="AN14" i="8"/>
  <c r="BB14" i="8"/>
  <c r="BH14" i="8"/>
  <c r="AO15" i="8"/>
  <c r="AY15" i="8"/>
  <c r="AP15" i="8"/>
  <c r="AZ15" i="8"/>
  <c r="AQ15" i="8"/>
  <c r="AM15" i="8"/>
  <c r="BA15" i="8"/>
  <c r="AR15" i="8"/>
  <c r="AN15" i="8"/>
  <c r="BB15" i="8"/>
  <c r="BH15" i="8"/>
  <c r="AO16" i="8"/>
  <c r="AY16" i="8"/>
  <c r="AP16" i="8"/>
  <c r="AZ16" i="8"/>
  <c r="AQ16" i="8"/>
  <c r="AM16" i="8"/>
  <c r="BA16" i="8"/>
  <c r="AR16" i="8"/>
  <c r="AN16" i="8"/>
  <c r="BB16" i="8"/>
  <c r="BH16" i="8"/>
  <c r="AO17" i="8"/>
  <c r="AY17" i="8"/>
  <c r="AP17" i="8"/>
  <c r="AZ17" i="8"/>
  <c r="AQ17" i="8"/>
  <c r="BA17" i="8"/>
  <c r="AR17" i="8"/>
  <c r="AN17" i="8"/>
  <c r="BB17" i="8"/>
  <c r="BH17" i="8"/>
  <c r="AO18" i="8"/>
  <c r="AY18" i="8"/>
  <c r="AP18" i="8"/>
  <c r="AZ18" i="8"/>
  <c r="AQ18" i="8"/>
  <c r="AM18" i="8"/>
  <c r="BA18" i="8"/>
  <c r="AR18" i="8"/>
  <c r="AN18" i="8"/>
  <c r="BB18" i="8"/>
  <c r="BH18" i="8"/>
  <c r="AO19" i="8"/>
  <c r="AY19" i="8"/>
  <c r="AP19" i="8"/>
  <c r="AL19" i="8"/>
  <c r="AZ19" i="8"/>
  <c r="AQ19" i="8"/>
  <c r="AM19" i="8"/>
  <c r="BA19" i="8"/>
  <c r="AR19" i="8"/>
  <c r="AN19" i="8"/>
  <c r="BB19" i="8"/>
  <c r="BH19" i="8"/>
  <c r="AO20" i="8"/>
  <c r="AK20" i="8"/>
  <c r="AY20" i="8"/>
  <c r="AP20" i="8"/>
  <c r="AZ20" i="8"/>
  <c r="AQ20" i="8"/>
  <c r="BA20" i="8"/>
  <c r="AR20" i="8"/>
  <c r="AN20" i="8"/>
  <c r="BB20" i="8"/>
  <c r="BH20" i="8"/>
  <c r="AO21" i="8"/>
  <c r="AY21" i="8"/>
  <c r="AP21" i="8"/>
  <c r="AZ21" i="8"/>
  <c r="AQ21" i="8"/>
  <c r="AM21" i="8"/>
  <c r="BA21" i="8"/>
  <c r="AR21" i="8"/>
  <c r="BB21" i="8"/>
  <c r="BH21" i="8"/>
  <c r="AO22" i="8"/>
  <c r="AY22" i="8"/>
  <c r="AP22" i="8"/>
  <c r="AZ22" i="8"/>
  <c r="AQ22" i="8"/>
  <c r="BA22" i="8"/>
  <c r="AR22" i="8"/>
  <c r="AN22" i="8"/>
  <c r="BB22" i="8"/>
  <c r="BH22" i="8"/>
  <c r="AO23" i="8"/>
  <c r="AY23" i="8"/>
  <c r="AP23" i="8"/>
  <c r="AZ23" i="8"/>
  <c r="AQ23" i="8"/>
  <c r="AM23" i="8"/>
  <c r="BA23" i="8"/>
  <c r="AR23" i="8"/>
  <c r="AN23" i="8"/>
  <c r="BB23" i="8"/>
  <c r="BH23" i="8"/>
  <c r="AO24" i="8"/>
  <c r="AY24" i="8"/>
  <c r="AP24" i="8"/>
  <c r="AZ24" i="8"/>
  <c r="AQ24" i="8"/>
  <c r="AM24" i="8"/>
  <c r="BA24" i="8"/>
  <c r="AR24" i="8"/>
  <c r="BB24" i="8"/>
  <c r="BH24" i="8"/>
  <c r="AO25" i="8"/>
  <c r="AK25" i="8"/>
  <c r="AY25" i="8"/>
  <c r="AP25" i="8"/>
  <c r="AZ25" i="8"/>
  <c r="AQ25" i="8"/>
  <c r="AM25" i="8"/>
  <c r="BA25" i="8"/>
  <c r="AR25" i="8"/>
  <c r="BB25" i="8"/>
  <c r="BH25" i="8"/>
  <c r="AO26" i="8"/>
  <c r="AK26" i="8"/>
  <c r="AY26" i="8"/>
  <c r="AP26" i="8"/>
  <c r="AZ26" i="8"/>
  <c r="AQ26" i="8"/>
  <c r="AM26" i="8"/>
  <c r="BA26" i="8"/>
  <c r="AR26" i="8"/>
  <c r="AN26" i="8"/>
  <c r="BB26" i="8"/>
  <c r="BH26" i="8"/>
  <c r="AO27" i="8"/>
  <c r="AK27" i="8"/>
  <c r="AY27" i="8"/>
  <c r="AP27" i="8"/>
  <c r="AL27" i="8"/>
  <c r="AZ27" i="8"/>
  <c r="AQ27" i="8"/>
  <c r="AM27" i="8"/>
  <c r="BA27" i="8"/>
  <c r="AR27" i="8"/>
  <c r="AN27" i="8"/>
  <c r="BB27" i="8"/>
  <c r="BH27" i="8"/>
  <c r="AO28" i="8"/>
  <c r="AK28" i="8"/>
  <c r="AY28" i="8"/>
  <c r="AP28" i="8"/>
  <c r="AZ28" i="8"/>
  <c r="AQ28" i="8"/>
  <c r="AM28" i="8"/>
  <c r="BA28" i="8"/>
  <c r="AR28" i="8"/>
  <c r="AN28" i="8"/>
  <c r="BB28" i="8"/>
  <c r="BH28" i="8"/>
  <c r="AO29" i="8"/>
  <c r="AY29" i="8"/>
  <c r="AP29" i="8"/>
  <c r="AZ29" i="8"/>
  <c r="AQ29" i="8"/>
  <c r="AM29" i="8"/>
  <c r="BA29" i="8"/>
  <c r="AR29" i="8"/>
  <c r="AN29" i="8"/>
  <c r="BB29" i="8"/>
  <c r="BH29" i="8"/>
  <c r="AO30" i="8"/>
  <c r="AY30" i="8"/>
  <c r="AP30" i="8"/>
  <c r="AZ30" i="8"/>
  <c r="AQ30" i="8"/>
  <c r="AM30" i="8"/>
  <c r="BA30" i="8"/>
  <c r="AR30" i="8"/>
  <c r="AN30" i="8"/>
  <c r="BB30" i="8"/>
  <c r="BH30" i="8"/>
  <c r="AO31" i="8"/>
  <c r="AY31" i="8"/>
  <c r="AP31" i="8"/>
  <c r="AZ31" i="8"/>
  <c r="AQ31" i="8"/>
  <c r="AM31" i="8"/>
  <c r="BA31" i="8"/>
  <c r="AR31" i="8"/>
  <c r="AN31" i="8"/>
  <c r="BB31" i="8"/>
  <c r="BH31" i="8"/>
  <c r="AO32" i="8"/>
  <c r="AK32" i="8"/>
  <c r="AY32" i="8"/>
  <c r="AP32" i="8"/>
  <c r="AZ32" i="8"/>
  <c r="AQ32" i="8"/>
  <c r="AM32" i="8"/>
  <c r="BA32" i="8"/>
  <c r="AR32" i="8"/>
  <c r="AN32" i="8"/>
  <c r="BB32" i="8"/>
  <c r="BH32" i="8"/>
  <c r="AO33" i="8"/>
  <c r="AK33" i="8"/>
  <c r="AY33" i="8"/>
  <c r="AP33" i="8"/>
  <c r="AZ33" i="8"/>
  <c r="AQ33" i="8"/>
  <c r="AM33" i="8"/>
  <c r="BA33" i="8"/>
  <c r="AR33" i="8"/>
  <c r="BB33" i="8"/>
  <c r="BH33" i="8"/>
  <c r="AO35" i="8"/>
  <c r="AY35" i="8"/>
  <c r="AP35" i="8"/>
  <c r="AZ35" i="8"/>
  <c r="AQ35" i="8"/>
  <c r="BA35" i="8"/>
  <c r="AR35" i="8"/>
  <c r="AN35" i="8"/>
  <c r="BB35" i="8"/>
  <c r="BH35" i="8"/>
  <c r="AO36" i="8"/>
  <c r="AK36" i="8"/>
  <c r="AY36" i="8"/>
  <c r="AP36" i="8"/>
  <c r="AZ36" i="8"/>
  <c r="AQ36" i="8"/>
  <c r="AM36" i="8"/>
  <c r="BA36" i="8"/>
  <c r="AR36" i="8"/>
  <c r="AN36" i="8"/>
  <c r="BB36" i="8"/>
  <c r="BH36" i="8"/>
  <c r="AO37" i="8"/>
  <c r="AK37" i="8"/>
  <c r="AY37" i="8"/>
  <c r="AP37" i="8"/>
  <c r="AL37" i="8"/>
  <c r="AZ37" i="8"/>
  <c r="AQ37" i="8"/>
  <c r="BA37" i="8"/>
  <c r="AR37" i="8"/>
  <c r="AN37" i="8"/>
  <c r="BB37" i="8"/>
  <c r="BH37" i="8"/>
  <c r="BN34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5" i="8"/>
  <c r="BI36" i="8"/>
  <c r="BI37" i="8"/>
  <c r="BO34" i="8"/>
  <c r="AT7" i="8"/>
  <c r="BC7" i="8"/>
  <c r="AU7" i="8"/>
  <c r="BD7" i="8"/>
  <c r="AV7" i="8"/>
  <c r="BE7" i="8"/>
  <c r="AW7" i="8"/>
  <c r="BF7" i="8"/>
  <c r="AS7" i="8"/>
  <c r="AX7" i="8"/>
  <c r="BG7" i="8"/>
  <c r="BJ7" i="8"/>
  <c r="AT8" i="8"/>
  <c r="BC8" i="8"/>
  <c r="AV8" i="8"/>
  <c r="BE8" i="8"/>
  <c r="AW8" i="8"/>
  <c r="BF8" i="8"/>
  <c r="AS8" i="8"/>
  <c r="AX8" i="8"/>
  <c r="BG8" i="8"/>
  <c r="BJ8" i="8"/>
  <c r="AT9" i="8"/>
  <c r="BC9" i="8"/>
  <c r="AV9" i="8"/>
  <c r="BE9" i="8"/>
  <c r="AW9" i="8"/>
  <c r="BF9" i="8"/>
  <c r="AS9" i="8"/>
  <c r="AX9" i="8"/>
  <c r="BG9" i="8"/>
  <c r="BJ9" i="8"/>
  <c r="AT10" i="8"/>
  <c r="BC10" i="8"/>
  <c r="AV10" i="8"/>
  <c r="BE10" i="8"/>
  <c r="AW10" i="8"/>
  <c r="BF10" i="8"/>
  <c r="AS10" i="8"/>
  <c r="AX10" i="8"/>
  <c r="BG10" i="8"/>
  <c r="BJ10" i="8"/>
  <c r="AT11" i="8"/>
  <c r="BC11" i="8"/>
  <c r="AV11" i="8"/>
  <c r="BE11" i="8"/>
  <c r="AW11" i="8"/>
  <c r="BF11" i="8"/>
  <c r="AS11" i="8"/>
  <c r="AX11" i="8"/>
  <c r="BG11" i="8"/>
  <c r="BJ11" i="8"/>
  <c r="AT12" i="8"/>
  <c r="BC12" i="8"/>
  <c r="AV12" i="8"/>
  <c r="BE12" i="8"/>
  <c r="AW12" i="8"/>
  <c r="BF12" i="8"/>
  <c r="AS12" i="8"/>
  <c r="AX12" i="8"/>
  <c r="BG12" i="8"/>
  <c r="BJ12" i="8"/>
  <c r="AT13" i="8"/>
  <c r="BC13" i="8"/>
  <c r="AV13" i="8"/>
  <c r="BE13" i="8"/>
  <c r="AW13" i="8"/>
  <c r="BF13" i="8"/>
  <c r="AS13" i="8"/>
  <c r="AX13" i="8"/>
  <c r="BG13" i="8"/>
  <c r="BJ13" i="8"/>
  <c r="AT14" i="8"/>
  <c r="BC14" i="8"/>
  <c r="AV14" i="8"/>
  <c r="BE14" i="8"/>
  <c r="AW14" i="8"/>
  <c r="BF14" i="8"/>
  <c r="AS14" i="8"/>
  <c r="AX14" i="8"/>
  <c r="BG14" i="8"/>
  <c r="BJ14" i="8"/>
  <c r="AT15" i="8"/>
  <c r="BC15" i="8"/>
  <c r="AV15" i="8"/>
  <c r="BE15" i="8"/>
  <c r="AW15" i="8"/>
  <c r="BF15" i="8"/>
  <c r="AS15" i="8"/>
  <c r="AX15" i="8"/>
  <c r="BG15" i="8"/>
  <c r="BJ15" i="8"/>
  <c r="AT16" i="8"/>
  <c r="BC16" i="8"/>
  <c r="AV16" i="8"/>
  <c r="BE16" i="8"/>
  <c r="AW16" i="8"/>
  <c r="BF16" i="8"/>
  <c r="AS16" i="8"/>
  <c r="AX16" i="8"/>
  <c r="BG16" i="8"/>
  <c r="BJ16" i="8"/>
  <c r="AT17" i="8"/>
  <c r="BC17" i="8"/>
  <c r="AV17" i="8"/>
  <c r="BE17" i="8"/>
  <c r="AW17" i="8"/>
  <c r="BF17" i="8"/>
  <c r="AS17" i="8"/>
  <c r="AX17" i="8"/>
  <c r="BG17" i="8"/>
  <c r="BJ17" i="8"/>
  <c r="AT18" i="8"/>
  <c r="BC18" i="8"/>
  <c r="AV18" i="8"/>
  <c r="BE18" i="8"/>
  <c r="AW18" i="8"/>
  <c r="BF18" i="8"/>
  <c r="AS18" i="8"/>
  <c r="AX18" i="8"/>
  <c r="BG18" i="8"/>
  <c r="BJ18" i="8"/>
  <c r="AT19" i="8"/>
  <c r="BC19" i="8"/>
  <c r="AV19" i="8"/>
  <c r="BE19" i="8"/>
  <c r="AW19" i="8"/>
  <c r="BF19" i="8"/>
  <c r="AS19" i="8"/>
  <c r="AX19" i="8"/>
  <c r="BG19" i="8"/>
  <c r="BJ19" i="8"/>
  <c r="AT20" i="8"/>
  <c r="BC20" i="8"/>
  <c r="AV20" i="8"/>
  <c r="BE20" i="8"/>
  <c r="AW20" i="8"/>
  <c r="BF20" i="8"/>
  <c r="AS20" i="8"/>
  <c r="AX20" i="8"/>
  <c r="BG20" i="8"/>
  <c r="BJ20" i="8"/>
  <c r="AT21" i="8"/>
  <c r="BC21" i="8"/>
  <c r="AV21" i="8"/>
  <c r="BE21" i="8"/>
  <c r="AW21" i="8"/>
  <c r="BF21" i="8"/>
  <c r="AS21" i="8"/>
  <c r="AX21" i="8"/>
  <c r="BG21" i="8"/>
  <c r="BJ21" i="8"/>
  <c r="AT22" i="8"/>
  <c r="BC22" i="8"/>
  <c r="AV22" i="8"/>
  <c r="BE22" i="8"/>
  <c r="AW22" i="8"/>
  <c r="BF22" i="8"/>
  <c r="AS22" i="8"/>
  <c r="AX22" i="8"/>
  <c r="BG22" i="8"/>
  <c r="BJ22" i="8"/>
  <c r="AT23" i="8"/>
  <c r="BC23" i="8"/>
  <c r="AV23" i="8"/>
  <c r="BE23" i="8"/>
  <c r="AW23" i="8"/>
  <c r="BF23" i="8"/>
  <c r="AS23" i="8"/>
  <c r="AX23" i="8"/>
  <c r="BG23" i="8"/>
  <c r="BJ23" i="8"/>
  <c r="AT24" i="8"/>
  <c r="BC24" i="8"/>
  <c r="AV24" i="8"/>
  <c r="BE24" i="8"/>
  <c r="AW24" i="8"/>
  <c r="BF24" i="8"/>
  <c r="AS24" i="8"/>
  <c r="AX24" i="8"/>
  <c r="BG24" i="8"/>
  <c r="BJ24" i="8"/>
  <c r="AT25" i="8"/>
  <c r="BC25" i="8"/>
  <c r="AV25" i="8"/>
  <c r="BE25" i="8"/>
  <c r="AW25" i="8"/>
  <c r="BF25" i="8"/>
  <c r="AS25" i="8"/>
  <c r="AX25" i="8"/>
  <c r="BG25" i="8"/>
  <c r="BJ25" i="8"/>
  <c r="AT26" i="8"/>
  <c r="BC26" i="8"/>
  <c r="AV26" i="8"/>
  <c r="BE26" i="8"/>
  <c r="AW26" i="8"/>
  <c r="BF26" i="8"/>
  <c r="AS26" i="8"/>
  <c r="AX26" i="8"/>
  <c r="BG26" i="8"/>
  <c r="BJ26" i="8"/>
  <c r="AT27" i="8"/>
  <c r="BC27" i="8"/>
  <c r="AV27" i="8"/>
  <c r="BE27" i="8"/>
  <c r="AW27" i="8"/>
  <c r="BF27" i="8"/>
  <c r="AS27" i="8"/>
  <c r="AX27" i="8"/>
  <c r="BG27" i="8"/>
  <c r="BJ27" i="8"/>
  <c r="AT28" i="8"/>
  <c r="BC28" i="8"/>
  <c r="AV28" i="8"/>
  <c r="BE28" i="8"/>
  <c r="AW28" i="8"/>
  <c r="BF28" i="8"/>
  <c r="AS28" i="8"/>
  <c r="AX28" i="8"/>
  <c r="BG28" i="8"/>
  <c r="BJ28" i="8"/>
  <c r="AT29" i="8"/>
  <c r="BC29" i="8"/>
  <c r="AV29" i="8"/>
  <c r="BE29" i="8"/>
  <c r="AW29" i="8"/>
  <c r="BF29" i="8"/>
  <c r="AS29" i="8"/>
  <c r="AX29" i="8"/>
  <c r="BG29" i="8"/>
  <c r="BJ29" i="8"/>
  <c r="AT30" i="8"/>
  <c r="BC30" i="8"/>
  <c r="AV30" i="8"/>
  <c r="BE30" i="8"/>
  <c r="AW30" i="8"/>
  <c r="BF30" i="8"/>
  <c r="AS30" i="8"/>
  <c r="AX30" i="8"/>
  <c r="BG30" i="8"/>
  <c r="BJ30" i="8"/>
  <c r="AT31" i="8"/>
  <c r="BC31" i="8"/>
  <c r="AV31" i="8"/>
  <c r="BE31" i="8"/>
  <c r="AW31" i="8"/>
  <c r="BF31" i="8"/>
  <c r="AS31" i="8"/>
  <c r="AX31" i="8"/>
  <c r="BG31" i="8"/>
  <c r="BJ31" i="8"/>
  <c r="AT32" i="8"/>
  <c r="BC32" i="8"/>
  <c r="AV32" i="8"/>
  <c r="BE32" i="8"/>
  <c r="AW32" i="8"/>
  <c r="BF32" i="8"/>
  <c r="AS32" i="8"/>
  <c r="AX32" i="8"/>
  <c r="BG32" i="8"/>
  <c r="BJ32" i="8"/>
  <c r="AT33" i="8"/>
  <c r="BC33" i="8"/>
  <c r="AV33" i="8"/>
  <c r="BE33" i="8"/>
  <c r="AW33" i="8"/>
  <c r="BF33" i="8"/>
  <c r="AS33" i="8"/>
  <c r="AX33" i="8"/>
  <c r="BG33" i="8"/>
  <c r="BJ33" i="8"/>
  <c r="AT35" i="8"/>
  <c r="BC35" i="8"/>
  <c r="AV35" i="8"/>
  <c r="BE35" i="8"/>
  <c r="AW35" i="8"/>
  <c r="BF35" i="8"/>
  <c r="AS35" i="8"/>
  <c r="AX35" i="8"/>
  <c r="BG35" i="8"/>
  <c r="BJ35" i="8"/>
  <c r="AT36" i="8"/>
  <c r="BC36" i="8"/>
  <c r="AV36" i="8"/>
  <c r="BE36" i="8"/>
  <c r="AW36" i="8"/>
  <c r="BF36" i="8"/>
  <c r="AS36" i="8"/>
  <c r="AX36" i="8"/>
  <c r="BG36" i="8"/>
  <c r="BJ36" i="8"/>
  <c r="AT37" i="8"/>
  <c r="BC37" i="8"/>
  <c r="AV37" i="8"/>
  <c r="BE37" i="8"/>
  <c r="AW37" i="8"/>
  <c r="BF37" i="8"/>
  <c r="AS37" i="8"/>
  <c r="AX37" i="8"/>
  <c r="BG37" i="8"/>
  <c r="BJ37" i="8"/>
  <c r="BP34" i="8"/>
  <c r="BK7" i="8"/>
  <c r="AU8" i="8"/>
  <c r="BD8" i="8"/>
  <c r="BK8" i="8"/>
  <c r="AU9" i="8"/>
  <c r="BD9" i="8"/>
  <c r="BK9" i="8"/>
  <c r="AU10" i="8"/>
  <c r="BD10" i="8"/>
  <c r="BK10" i="8"/>
  <c r="AU11" i="8"/>
  <c r="BD11" i="8"/>
  <c r="BK11" i="8"/>
  <c r="AU12" i="8"/>
  <c r="BD12" i="8"/>
  <c r="BK12" i="8"/>
  <c r="AU13" i="8"/>
  <c r="BD13" i="8"/>
  <c r="BK13" i="8"/>
  <c r="AU14" i="8"/>
  <c r="BD14" i="8"/>
  <c r="BK14" i="8"/>
  <c r="AU15" i="8"/>
  <c r="BD15" i="8"/>
  <c r="BK15" i="8"/>
  <c r="AU16" i="8"/>
  <c r="BD16" i="8"/>
  <c r="BK16" i="8"/>
  <c r="AU17" i="8"/>
  <c r="BD17" i="8"/>
  <c r="BK17" i="8"/>
  <c r="AU18" i="8"/>
  <c r="BD18" i="8"/>
  <c r="BK18" i="8"/>
  <c r="AU19" i="8"/>
  <c r="BD19" i="8"/>
  <c r="BK19" i="8"/>
  <c r="AU20" i="8"/>
  <c r="BD20" i="8"/>
  <c r="BK20" i="8"/>
  <c r="AU21" i="8"/>
  <c r="BD21" i="8"/>
  <c r="BK21" i="8"/>
  <c r="AU22" i="8"/>
  <c r="BD22" i="8"/>
  <c r="BK22" i="8"/>
  <c r="AU23" i="8"/>
  <c r="BD23" i="8"/>
  <c r="BK23" i="8"/>
  <c r="AU24" i="8"/>
  <c r="BD24" i="8"/>
  <c r="BK24" i="8"/>
  <c r="AU25" i="8"/>
  <c r="BD25" i="8"/>
  <c r="BK25" i="8"/>
  <c r="AU26" i="8"/>
  <c r="BD26" i="8"/>
  <c r="BK26" i="8"/>
  <c r="AU27" i="8"/>
  <c r="BD27" i="8"/>
  <c r="BK27" i="8"/>
  <c r="AU28" i="8"/>
  <c r="BD28" i="8"/>
  <c r="BK28" i="8"/>
  <c r="AU29" i="8"/>
  <c r="BD29" i="8"/>
  <c r="BK29" i="8"/>
  <c r="AU30" i="8"/>
  <c r="BD30" i="8"/>
  <c r="BK30" i="8"/>
  <c r="AU31" i="8"/>
  <c r="BD31" i="8"/>
  <c r="BK31" i="8"/>
  <c r="AU32" i="8"/>
  <c r="BD32" i="8"/>
  <c r="BK32" i="8"/>
  <c r="AU33" i="8"/>
  <c r="BD33" i="8"/>
  <c r="BK33" i="8"/>
  <c r="AU35" i="8"/>
  <c r="BD35" i="8"/>
  <c r="BK35" i="8"/>
  <c r="AU36" i="8"/>
  <c r="BD36" i="8"/>
  <c r="BK36" i="8"/>
  <c r="AU37" i="8"/>
  <c r="BD37" i="8"/>
  <c r="BK37" i="8"/>
  <c r="BQ34" i="8"/>
  <c r="B34" i="8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G32" i="19"/>
  <c r="AF32" i="19"/>
  <c r="AH32" i="19"/>
  <c r="AI32" i="19"/>
  <c r="AK32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H5" i="19"/>
  <c r="AI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H6" i="19"/>
  <c r="AI6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H7" i="19"/>
  <c r="AI7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H8" i="19"/>
  <c r="AI8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H9" i="19"/>
  <c r="AI9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H10" i="19"/>
  <c r="AI10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H11" i="19"/>
  <c r="AI11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H12" i="19"/>
  <c r="AI12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H13" i="19"/>
  <c r="AI13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H14" i="19"/>
  <c r="AI14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H15" i="19"/>
  <c r="AI15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H16" i="19"/>
  <c r="AI16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H17" i="19"/>
  <c r="AI17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H18" i="19"/>
  <c r="AI18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H19" i="19"/>
  <c r="AI19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H20" i="19"/>
  <c r="AI20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H21" i="19"/>
  <c r="AI21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H22" i="19"/>
  <c r="AI22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H23" i="19"/>
  <c r="AI23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H24" i="19"/>
  <c r="AI2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H25" i="19"/>
  <c r="AI25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H26" i="19"/>
  <c r="AI26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H27" i="19"/>
  <c r="AI27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H28" i="19"/>
  <c r="AI28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H29" i="19"/>
  <c r="AI29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H30" i="19"/>
  <c r="AI30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H31" i="19"/>
  <c r="AI31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H33" i="19"/>
  <c r="AI33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H34" i="19"/>
  <c r="AI34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H35" i="19"/>
  <c r="AI35" i="19"/>
  <c r="AL32" i="19"/>
  <c r="AM32" i="19"/>
  <c r="E1" i="19"/>
  <c r="AM1" i="19"/>
  <c r="A2" i="13"/>
  <c r="A3" i="13"/>
  <c r="AM2" i="19"/>
  <c r="AN32" i="19"/>
  <c r="AO32" i="19"/>
  <c r="F1" i="19"/>
  <c r="AO1" i="19"/>
  <c r="A4" i="13"/>
  <c r="AO2" i="19"/>
  <c r="AP32" i="19"/>
  <c r="AQ32" i="19"/>
  <c r="G1" i="19"/>
  <c r="AQ1" i="19"/>
  <c r="A5" i="13"/>
  <c r="AQ2" i="19"/>
  <c r="AR32" i="19"/>
  <c r="AS32" i="19"/>
  <c r="H1" i="19"/>
  <c r="AS1" i="19"/>
  <c r="A6" i="13"/>
  <c r="AS2" i="19"/>
  <c r="AT32" i="19"/>
  <c r="AU32" i="19"/>
  <c r="I1" i="19"/>
  <c r="AU1" i="19"/>
  <c r="A7" i="13"/>
  <c r="AU2" i="19"/>
  <c r="AV32" i="19"/>
  <c r="AW32" i="19"/>
  <c r="J1" i="19"/>
  <c r="AW1" i="19"/>
  <c r="A8" i="13"/>
  <c r="AW2" i="19"/>
  <c r="AX32" i="19"/>
  <c r="AY32" i="19"/>
  <c r="K1" i="19"/>
  <c r="AY1" i="19"/>
  <c r="A9" i="13"/>
  <c r="AY2" i="19"/>
  <c r="AZ32" i="19"/>
  <c r="BA32" i="19"/>
  <c r="L1" i="19"/>
  <c r="BA1" i="19"/>
  <c r="A10" i="13"/>
  <c r="BA2" i="19"/>
  <c r="BB32" i="19"/>
  <c r="BC32" i="19"/>
  <c r="M1" i="19"/>
  <c r="BC1" i="19"/>
  <c r="A11" i="13"/>
  <c r="BC2" i="19"/>
  <c r="BD32" i="19"/>
  <c r="BE32" i="19"/>
  <c r="N1" i="19"/>
  <c r="BE1" i="19"/>
  <c r="A12" i="13"/>
  <c r="BE2" i="19"/>
  <c r="BF32" i="19"/>
  <c r="BG32" i="19"/>
  <c r="O1" i="19"/>
  <c r="BG1" i="19"/>
  <c r="A13" i="13"/>
  <c r="BG2" i="19"/>
  <c r="BH32" i="19"/>
  <c r="BI32" i="19"/>
  <c r="P1" i="19"/>
  <c r="BI1" i="19"/>
  <c r="A14" i="13"/>
  <c r="BI2" i="19"/>
  <c r="BJ32" i="19"/>
  <c r="BK32" i="19"/>
  <c r="Q1" i="19"/>
  <c r="BK1" i="19"/>
  <c r="A15" i="13"/>
  <c r="BK2" i="19"/>
  <c r="BL32" i="19"/>
  <c r="BM32" i="19"/>
  <c r="R1" i="19"/>
  <c r="BM1" i="19"/>
  <c r="A16" i="13"/>
  <c r="BM2" i="19"/>
  <c r="BN32" i="19"/>
  <c r="BO32" i="19"/>
  <c r="S1" i="19"/>
  <c r="BO1" i="19"/>
  <c r="A17" i="13"/>
  <c r="BO2" i="19"/>
  <c r="BP32" i="19"/>
  <c r="BQ32" i="19"/>
  <c r="T1" i="19"/>
  <c r="BQ1" i="19"/>
  <c r="A18" i="13"/>
  <c r="BQ2" i="19"/>
  <c r="BR32" i="19"/>
  <c r="BS32" i="19"/>
  <c r="U1" i="19"/>
  <c r="BS1" i="19"/>
  <c r="A19" i="13"/>
  <c r="BS2" i="19"/>
  <c r="BT32" i="19"/>
  <c r="BU32" i="19"/>
  <c r="V1" i="19"/>
  <c r="BU1" i="19"/>
  <c r="A20" i="13"/>
  <c r="BU2" i="19"/>
  <c r="BV32" i="19"/>
  <c r="BW32" i="19"/>
  <c r="W1" i="19"/>
  <c r="BW1" i="19"/>
  <c r="A21" i="13"/>
  <c r="BW2" i="19"/>
  <c r="BX32" i="19"/>
  <c r="BY32" i="19"/>
  <c r="X1" i="19"/>
  <c r="BY1" i="19"/>
  <c r="A22" i="13"/>
  <c r="BY2" i="19"/>
  <c r="BZ32" i="19"/>
  <c r="CA32" i="19"/>
  <c r="Y1" i="19"/>
  <c r="CA1" i="19"/>
  <c r="A23" i="13"/>
  <c r="CA2" i="19"/>
  <c r="CB32" i="19"/>
  <c r="CC32" i="19"/>
  <c r="Z1" i="19"/>
  <c r="CC1" i="19"/>
  <c r="A24" i="13"/>
  <c r="CC2" i="19"/>
  <c r="CD32" i="19"/>
  <c r="CE32" i="19"/>
  <c r="AA1" i="19"/>
  <c r="CE1" i="19"/>
  <c r="A25" i="13"/>
  <c r="CE2" i="19"/>
  <c r="CF32" i="19"/>
  <c r="CG32" i="19"/>
  <c r="AB1" i="19"/>
  <c r="CG1" i="19"/>
  <c r="A26" i="13"/>
  <c r="CG2" i="19"/>
  <c r="CH32" i="19"/>
  <c r="CI32" i="19"/>
  <c r="AC1" i="19"/>
  <c r="CI1" i="19"/>
  <c r="A27" i="13"/>
  <c r="CI2" i="19"/>
  <c r="CJ32" i="19"/>
  <c r="CK32" i="19"/>
  <c r="AD1" i="19"/>
  <c r="CK1" i="19"/>
  <c r="A28" i="13"/>
  <c r="CK2" i="19"/>
  <c r="CL32" i="19"/>
  <c r="CM32" i="19"/>
  <c r="CN32" i="19"/>
  <c r="CO32" i="19"/>
  <c r="AM5" i="19"/>
  <c r="AO5" i="19"/>
  <c r="AQ5" i="19"/>
  <c r="AS5" i="19"/>
  <c r="AU5" i="19"/>
  <c r="AW5" i="19"/>
  <c r="AY5" i="19"/>
  <c r="BA5" i="19"/>
  <c r="BC5" i="19"/>
  <c r="BE5" i="19"/>
  <c r="BG5" i="19"/>
  <c r="BI5" i="19"/>
  <c r="BK5" i="19"/>
  <c r="BM5" i="19"/>
  <c r="BO5" i="19"/>
  <c r="BQ5" i="19"/>
  <c r="BS5" i="19"/>
  <c r="BU5" i="19"/>
  <c r="BW5" i="19"/>
  <c r="BY5" i="19"/>
  <c r="CA5" i="19"/>
  <c r="CC5" i="19"/>
  <c r="CE5" i="19"/>
  <c r="CG5" i="19"/>
  <c r="CI5" i="19"/>
  <c r="CK5" i="19"/>
  <c r="CM5" i="19"/>
  <c r="CN5" i="19"/>
  <c r="AM6" i="19"/>
  <c r="AO6" i="19"/>
  <c r="AQ6" i="19"/>
  <c r="AS6" i="19"/>
  <c r="AU6" i="19"/>
  <c r="AW6" i="19"/>
  <c r="AY6" i="19"/>
  <c r="BA6" i="19"/>
  <c r="BC6" i="19"/>
  <c r="BE6" i="19"/>
  <c r="BG6" i="19"/>
  <c r="BI6" i="19"/>
  <c r="BK6" i="19"/>
  <c r="BM6" i="19"/>
  <c r="BO6" i="19"/>
  <c r="BQ6" i="19"/>
  <c r="BS6" i="19"/>
  <c r="BU6" i="19"/>
  <c r="BW6" i="19"/>
  <c r="BY6" i="19"/>
  <c r="CA6" i="19"/>
  <c r="CC6" i="19"/>
  <c r="CE6" i="19"/>
  <c r="CG6" i="19"/>
  <c r="CI6" i="19"/>
  <c r="CK6" i="19"/>
  <c r="CM6" i="19"/>
  <c r="CN6" i="19"/>
  <c r="AM7" i="19"/>
  <c r="AO7" i="19"/>
  <c r="AQ7" i="19"/>
  <c r="AS7" i="19"/>
  <c r="AU7" i="19"/>
  <c r="AW7" i="19"/>
  <c r="AY7" i="19"/>
  <c r="BA7" i="19"/>
  <c r="BC7" i="19"/>
  <c r="BE7" i="19"/>
  <c r="BG7" i="19"/>
  <c r="BI7" i="19"/>
  <c r="BK7" i="19"/>
  <c r="BM7" i="19"/>
  <c r="BO7" i="19"/>
  <c r="BQ7" i="19"/>
  <c r="BS7" i="19"/>
  <c r="BU7" i="19"/>
  <c r="BW7" i="19"/>
  <c r="BY7" i="19"/>
  <c r="CA7" i="19"/>
  <c r="CC7" i="19"/>
  <c r="CE7" i="19"/>
  <c r="CG7" i="19"/>
  <c r="CI7" i="19"/>
  <c r="CK7" i="19"/>
  <c r="CM7" i="19"/>
  <c r="CN7" i="19"/>
  <c r="AM8" i="19"/>
  <c r="AO8" i="19"/>
  <c r="AQ8" i="19"/>
  <c r="AS8" i="19"/>
  <c r="AU8" i="19"/>
  <c r="AW8" i="19"/>
  <c r="AY8" i="19"/>
  <c r="BA8" i="19"/>
  <c r="BC8" i="19"/>
  <c r="BE8" i="19"/>
  <c r="BG8" i="19"/>
  <c r="BI8" i="19"/>
  <c r="BK8" i="19"/>
  <c r="BM8" i="19"/>
  <c r="BO8" i="19"/>
  <c r="BQ8" i="19"/>
  <c r="BS8" i="19"/>
  <c r="BU8" i="19"/>
  <c r="BW8" i="19"/>
  <c r="BY8" i="19"/>
  <c r="CA8" i="19"/>
  <c r="CC8" i="19"/>
  <c r="CE8" i="19"/>
  <c r="CG8" i="19"/>
  <c r="CI8" i="19"/>
  <c r="CK8" i="19"/>
  <c r="CM8" i="19"/>
  <c r="CN8" i="19"/>
  <c r="AM9" i="19"/>
  <c r="AO9" i="19"/>
  <c r="AQ9" i="19"/>
  <c r="AS9" i="19"/>
  <c r="AU9" i="19"/>
  <c r="AW9" i="19"/>
  <c r="AY9" i="19"/>
  <c r="BA9" i="19"/>
  <c r="BC9" i="19"/>
  <c r="BE9" i="19"/>
  <c r="BG9" i="19"/>
  <c r="BI9" i="19"/>
  <c r="BK9" i="19"/>
  <c r="BM9" i="19"/>
  <c r="BO9" i="19"/>
  <c r="BQ9" i="19"/>
  <c r="BS9" i="19"/>
  <c r="BU9" i="19"/>
  <c r="BW9" i="19"/>
  <c r="BY9" i="19"/>
  <c r="CA9" i="19"/>
  <c r="CC9" i="19"/>
  <c r="CE9" i="19"/>
  <c r="CG9" i="19"/>
  <c r="CI9" i="19"/>
  <c r="CK9" i="19"/>
  <c r="CM9" i="19"/>
  <c r="CN9" i="19"/>
  <c r="AM10" i="19"/>
  <c r="AO10" i="19"/>
  <c r="AQ10" i="19"/>
  <c r="AS10" i="19"/>
  <c r="AU10" i="19"/>
  <c r="AW10" i="19"/>
  <c r="AY10" i="19"/>
  <c r="BA10" i="19"/>
  <c r="BC10" i="19"/>
  <c r="BE10" i="19"/>
  <c r="BG10" i="19"/>
  <c r="BI10" i="19"/>
  <c r="BK10" i="19"/>
  <c r="BM10" i="19"/>
  <c r="BO10" i="19"/>
  <c r="BQ10" i="19"/>
  <c r="BS10" i="19"/>
  <c r="BU10" i="19"/>
  <c r="BW10" i="19"/>
  <c r="BY10" i="19"/>
  <c r="CA10" i="19"/>
  <c r="CC10" i="19"/>
  <c r="CE10" i="19"/>
  <c r="CG10" i="19"/>
  <c r="CI10" i="19"/>
  <c r="CK10" i="19"/>
  <c r="CM10" i="19"/>
  <c r="CN10" i="19"/>
  <c r="AM11" i="19"/>
  <c r="AO11" i="19"/>
  <c r="AQ11" i="19"/>
  <c r="AS11" i="19"/>
  <c r="AU11" i="19"/>
  <c r="AW11" i="19"/>
  <c r="AY11" i="19"/>
  <c r="BA11" i="19"/>
  <c r="BC11" i="19"/>
  <c r="BE11" i="19"/>
  <c r="BG11" i="19"/>
  <c r="BI11" i="19"/>
  <c r="BK11" i="19"/>
  <c r="BM11" i="19"/>
  <c r="BO11" i="19"/>
  <c r="BQ11" i="19"/>
  <c r="BS11" i="19"/>
  <c r="BU11" i="19"/>
  <c r="BW11" i="19"/>
  <c r="BY11" i="19"/>
  <c r="CA11" i="19"/>
  <c r="CC11" i="19"/>
  <c r="CE11" i="19"/>
  <c r="CG11" i="19"/>
  <c r="CI11" i="19"/>
  <c r="CK11" i="19"/>
  <c r="CM11" i="19"/>
  <c r="CN11" i="19"/>
  <c r="AM12" i="19"/>
  <c r="AO12" i="19"/>
  <c r="AQ12" i="19"/>
  <c r="AS12" i="19"/>
  <c r="AU12" i="19"/>
  <c r="AW12" i="19"/>
  <c r="AY12" i="19"/>
  <c r="BA12" i="19"/>
  <c r="BC12" i="19"/>
  <c r="BE12" i="19"/>
  <c r="BG12" i="19"/>
  <c r="BI12" i="19"/>
  <c r="BK12" i="19"/>
  <c r="BM12" i="19"/>
  <c r="BO12" i="19"/>
  <c r="BQ12" i="19"/>
  <c r="BS12" i="19"/>
  <c r="BU12" i="19"/>
  <c r="BW12" i="19"/>
  <c r="BY12" i="19"/>
  <c r="CA12" i="19"/>
  <c r="CC12" i="19"/>
  <c r="CE12" i="19"/>
  <c r="CG12" i="19"/>
  <c r="CI12" i="19"/>
  <c r="CK12" i="19"/>
  <c r="CM12" i="19"/>
  <c r="CN12" i="19"/>
  <c r="AM13" i="19"/>
  <c r="AO13" i="19"/>
  <c r="AQ13" i="19"/>
  <c r="AS13" i="19"/>
  <c r="AU13" i="19"/>
  <c r="AW13" i="19"/>
  <c r="AY13" i="19"/>
  <c r="BA13" i="19"/>
  <c r="BC13" i="19"/>
  <c r="BE13" i="19"/>
  <c r="BG13" i="19"/>
  <c r="BI13" i="19"/>
  <c r="BK13" i="19"/>
  <c r="BM13" i="19"/>
  <c r="BO13" i="19"/>
  <c r="BQ13" i="19"/>
  <c r="BS13" i="19"/>
  <c r="BU13" i="19"/>
  <c r="BW13" i="19"/>
  <c r="BY13" i="19"/>
  <c r="CA13" i="19"/>
  <c r="CC13" i="19"/>
  <c r="CE13" i="19"/>
  <c r="CG13" i="19"/>
  <c r="CI13" i="19"/>
  <c r="CK13" i="19"/>
  <c r="CM13" i="19"/>
  <c r="CN13" i="19"/>
  <c r="AM14" i="19"/>
  <c r="AO14" i="19"/>
  <c r="AQ14" i="19"/>
  <c r="AS14" i="19"/>
  <c r="AU14" i="19"/>
  <c r="AW14" i="19"/>
  <c r="AY14" i="19"/>
  <c r="BA14" i="19"/>
  <c r="BC14" i="19"/>
  <c r="BE14" i="19"/>
  <c r="BG14" i="19"/>
  <c r="BI14" i="19"/>
  <c r="BK14" i="19"/>
  <c r="BM14" i="19"/>
  <c r="BO14" i="19"/>
  <c r="BQ14" i="19"/>
  <c r="BS14" i="19"/>
  <c r="BU14" i="19"/>
  <c r="BW14" i="19"/>
  <c r="BY14" i="19"/>
  <c r="CA14" i="19"/>
  <c r="CC14" i="19"/>
  <c r="CE14" i="19"/>
  <c r="CG14" i="19"/>
  <c r="CI14" i="19"/>
  <c r="CK14" i="19"/>
  <c r="CM14" i="19"/>
  <c r="CN14" i="19"/>
  <c r="AM15" i="19"/>
  <c r="AO15" i="19"/>
  <c r="AQ15" i="19"/>
  <c r="AS15" i="19"/>
  <c r="AU15" i="19"/>
  <c r="AW15" i="19"/>
  <c r="AY15" i="19"/>
  <c r="BA15" i="19"/>
  <c r="BC15" i="19"/>
  <c r="BE15" i="19"/>
  <c r="BG15" i="19"/>
  <c r="BI15" i="19"/>
  <c r="BK15" i="19"/>
  <c r="BM15" i="19"/>
  <c r="BO15" i="19"/>
  <c r="BQ15" i="19"/>
  <c r="BS15" i="19"/>
  <c r="BU15" i="19"/>
  <c r="BW15" i="19"/>
  <c r="BY15" i="19"/>
  <c r="CA15" i="19"/>
  <c r="CC15" i="19"/>
  <c r="CE15" i="19"/>
  <c r="CG15" i="19"/>
  <c r="CI15" i="19"/>
  <c r="CK15" i="19"/>
  <c r="CM15" i="19"/>
  <c r="CN15" i="19"/>
  <c r="AM16" i="19"/>
  <c r="AO16" i="19"/>
  <c r="AQ16" i="19"/>
  <c r="AS16" i="19"/>
  <c r="AU16" i="19"/>
  <c r="AW16" i="19"/>
  <c r="AY16" i="19"/>
  <c r="BA16" i="19"/>
  <c r="BC16" i="19"/>
  <c r="BE16" i="19"/>
  <c r="BG16" i="19"/>
  <c r="BI16" i="19"/>
  <c r="BK16" i="19"/>
  <c r="BM16" i="19"/>
  <c r="BO16" i="19"/>
  <c r="BQ16" i="19"/>
  <c r="BS16" i="19"/>
  <c r="BU16" i="19"/>
  <c r="BW16" i="19"/>
  <c r="BY16" i="19"/>
  <c r="CA16" i="19"/>
  <c r="CC16" i="19"/>
  <c r="CE16" i="19"/>
  <c r="CG16" i="19"/>
  <c r="CI16" i="19"/>
  <c r="CK16" i="19"/>
  <c r="CM16" i="19"/>
  <c r="CN16" i="19"/>
  <c r="AM17" i="19"/>
  <c r="AO17" i="19"/>
  <c r="AQ17" i="19"/>
  <c r="AS17" i="19"/>
  <c r="AU17" i="19"/>
  <c r="AW17" i="19"/>
  <c r="AY17" i="19"/>
  <c r="BA17" i="19"/>
  <c r="BC17" i="19"/>
  <c r="BE17" i="19"/>
  <c r="BG17" i="19"/>
  <c r="BI17" i="19"/>
  <c r="BK17" i="19"/>
  <c r="BM17" i="19"/>
  <c r="BO17" i="19"/>
  <c r="BQ17" i="19"/>
  <c r="BS17" i="19"/>
  <c r="BU17" i="19"/>
  <c r="BW17" i="19"/>
  <c r="BY17" i="19"/>
  <c r="CA17" i="19"/>
  <c r="CC17" i="19"/>
  <c r="CE17" i="19"/>
  <c r="CG17" i="19"/>
  <c r="CI17" i="19"/>
  <c r="CK17" i="19"/>
  <c r="CM17" i="19"/>
  <c r="CN17" i="19"/>
  <c r="AM18" i="19"/>
  <c r="AO18" i="19"/>
  <c r="AQ18" i="19"/>
  <c r="AS18" i="19"/>
  <c r="AU18" i="19"/>
  <c r="AW18" i="19"/>
  <c r="AY18" i="19"/>
  <c r="BA18" i="19"/>
  <c r="BC18" i="19"/>
  <c r="BE18" i="19"/>
  <c r="BG18" i="19"/>
  <c r="BI18" i="19"/>
  <c r="BK18" i="19"/>
  <c r="BM18" i="19"/>
  <c r="BO18" i="19"/>
  <c r="BQ18" i="19"/>
  <c r="BS18" i="19"/>
  <c r="BU18" i="19"/>
  <c r="BW18" i="19"/>
  <c r="BY18" i="19"/>
  <c r="CA18" i="19"/>
  <c r="CC18" i="19"/>
  <c r="CE18" i="19"/>
  <c r="CG18" i="19"/>
  <c r="CI18" i="19"/>
  <c r="CK18" i="19"/>
  <c r="CM18" i="19"/>
  <c r="CN18" i="19"/>
  <c r="AM19" i="19"/>
  <c r="AO19" i="19"/>
  <c r="AQ19" i="19"/>
  <c r="AS19" i="19"/>
  <c r="AU19" i="19"/>
  <c r="AW19" i="19"/>
  <c r="AY19" i="19"/>
  <c r="BA19" i="19"/>
  <c r="BC19" i="19"/>
  <c r="BE19" i="19"/>
  <c r="BG19" i="19"/>
  <c r="BI19" i="19"/>
  <c r="BK19" i="19"/>
  <c r="BM19" i="19"/>
  <c r="BO19" i="19"/>
  <c r="BQ19" i="19"/>
  <c r="BS19" i="19"/>
  <c r="BU19" i="19"/>
  <c r="BW19" i="19"/>
  <c r="BY19" i="19"/>
  <c r="CA19" i="19"/>
  <c r="CC19" i="19"/>
  <c r="CE19" i="19"/>
  <c r="CG19" i="19"/>
  <c r="CI19" i="19"/>
  <c r="CK19" i="19"/>
  <c r="CM19" i="19"/>
  <c r="CN19" i="19"/>
  <c r="AM20" i="19"/>
  <c r="AO20" i="19"/>
  <c r="AQ20" i="19"/>
  <c r="AS20" i="19"/>
  <c r="AU20" i="19"/>
  <c r="AW20" i="19"/>
  <c r="AY20" i="19"/>
  <c r="BA20" i="19"/>
  <c r="BC20" i="19"/>
  <c r="BE20" i="19"/>
  <c r="BG20" i="19"/>
  <c r="BI20" i="19"/>
  <c r="BK20" i="19"/>
  <c r="BM20" i="19"/>
  <c r="BO20" i="19"/>
  <c r="BQ20" i="19"/>
  <c r="BS20" i="19"/>
  <c r="BU20" i="19"/>
  <c r="BW20" i="19"/>
  <c r="BY20" i="19"/>
  <c r="CA20" i="19"/>
  <c r="CC20" i="19"/>
  <c r="CE20" i="19"/>
  <c r="CG20" i="19"/>
  <c r="CI20" i="19"/>
  <c r="CK20" i="19"/>
  <c r="CM20" i="19"/>
  <c r="CN20" i="19"/>
  <c r="AM21" i="19"/>
  <c r="AO21" i="19"/>
  <c r="AQ21" i="19"/>
  <c r="AS21" i="19"/>
  <c r="AU21" i="19"/>
  <c r="AW21" i="19"/>
  <c r="AY21" i="19"/>
  <c r="BA21" i="19"/>
  <c r="BC21" i="19"/>
  <c r="BE21" i="19"/>
  <c r="BG21" i="19"/>
  <c r="BI21" i="19"/>
  <c r="BK21" i="19"/>
  <c r="BM21" i="19"/>
  <c r="BO21" i="19"/>
  <c r="BQ21" i="19"/>
  <c r="BS21" i="19"/>
  <c r="BU21" i="19"/>
  <c r="BW21" i="19"/>
  <c r="BY21" i="19"/>
  <c r="CA21" i="19"/>
  <c r="CC21" i="19"/>
  <c r="CE21" i="19"/>
  <c r="CG21" i="19"/>
  <c r="CI21" i="19"/>
  <c r="CK21" i="19"/>
  <c r="CM21" i="19"/>
  <c r="CN21" i="19"/>
  <c r="AM22" i="19"/>
  <c r="AO22" i="19"/>
  <c r="AQ22" i="19"/>
  <c r="AS22" i="19"/>
  <c r="AU22" i="19"/>
  <c r="AW22" i="19"/>
  <c r="AY22" i="19"/>
  <c r="BA22" i="19"/>
  <c r="BC22" i="19"/>
  <c r="BE22" i="19"/>
  <c r="BG22" i="19"/>
  <c r="BI22" i="19"/>
  <c r="BK22" i="19"/>
  <c r="BM22" i="19"/>
  <c r="BO22" i="19"/>
  <c r="BQ22" i="19"/>
  <c r="BS22" i="19"/>
  <c r="BU22" i="19"/>
  <c r="BW22" i="19"/>
  <c r="BY22" i="19"/>
  <c r="CA22" i="19"/>
  <c r="CC22" i="19"/>
  <c r="CE22" i="19"/>
  <c r="CG22" i="19"/>
  <c r="CI22" i="19"/>
  <c r="CK22" i="19"/>
  <c r="CM22" i="19"/>
  <c r="CN22" i="19"/>
  <c r="AM23" i="19"/>
  <c r="AO23" i="19"/>
  <c r="AQ23" i="19"/>
  <c r="AS23" i="19"/>
  <c r="AU23" i="19"/>
  <c r="AW23" i="19"/>
  <c r="AY23" i="19"/>
  <c r="BA23" i="19"/>
  <c r="BC23" i="19"/>
  <c r="BE23" i="19"/>
  <c r="BG23" i="19"/>
  <c r="BI23" i="19"/>
  <c r="BK23" i="19"/>
  <c r="BM23" i="19"/>
  <c r="BO23" i="19"/>
  <c r="BQ23" i="19"/>
  <c r="BS23" i="19"/>
  <c r="BU23" i="19"/>
  <c r="BW23" i="19"/>
  <c r="BY23" i="19"/>
  <c r="CA23" i="19"/>
  <c r="CC23" i="19"/>
  <c r="CE23" i="19"/>
  <c r="CG23" i="19"/>
  <c r="CI23" i="19"/>
  <c r="CK23" i="19"/>
  <c r="CM23" i="19"/>
  <c r="CN23" i="19"/>
  <c r="AM24" i="19"/>
  <c r="AO24" i="19"/>
  <c r="AQ24" i="19"/>
  <c r="AS24" i="19"/>
  <c r="AU24" i="19"/>
  <c r="AW24" i="19"/>
  <c r="AY24" i="19"/>
  <c r="BA24" i="19"/>
  <c r="BC24" i="19"/>
  <c r="BE24" i="19"/>
  <c r="BG24" i="19"/>
  <c r="BI24" i="19"/>
  <c r="BK24" i="19"/>
  <c r="BM24" i="19"/>
  <c r="BO24" i="19"/>
  <c r="BQ24" i="19"/>
  <c r="BS24" i="19"/>
  <c r="BU24" i="19"/>
  <c r="BW24" i="19"/>
  <c r="BY24" i="19"/>
  <c r="CA24" i="19"/>
  <c r="CC24" i="19"/>
  <c r="CE24" i="19"/>
  <c r="CG24" i="19"/>
  <c r="CI24" i="19"/>
  <c r="CK24" i="19"/>
  <c r="CM24" i="19"/>
  <c r="CN24" i="19"/>
  <c r="AM25" i="19"/>
  <c r="AO25" i="19"/>
  <c r="AQ25" i="19"/>
  <c r="AS25" i="19"/>
  <c r="AU25" i="19"/>
  <c r="AW25" i="19"/>
  <c r="AY25" i="19"/>
  <c r="BA25" i="19"/>
  <c r="BC25" i="19"/>
  <c r="BE25" i="19"/>
  <c r="BG25" i="19"/>
  <c r="BI25" i="19"/>
  <c r="BK25" i="19"/>
  <c r="BM25" i="19"/>
  <c r="BO25" i="19"/>
  <c r="BQ25" i="19"/>
  <c r="BS25" i="19"/>
  <c r="BU25" i="19"/>
  <c r="BW25" i="19"/>
  <c r="BY25" i="19"/>
  <c r="CA25" i="19"/>
  <c r="CC25" i="19"/>
  <c r="CE25" i="19"/>
  <c r="CG25" i="19"/>
  <c r="CI25" i="19"/>
  <c r="CK25" i="19"/>
  <c r="CM25" i="19"/>
  <c r="CN25" i="19"/>
  <c r="AM26" i="19"/>
  <c r="AO26" i="19"/>
  <c r="AQ26" i="19"/>
  <c r="AS26" i="19"/>
  <c r="AU26" i="19"/>
  <c r="AW26" i="19"/>
  <c r="AY26" i="19"/>
  <c r="BA26" i="19"/>
  <c r="BC26" i="19"/>
  <c r="BE26" i="19"/>
  <c r="BG26" i="19"/>
  <c r="BI26" i="19"/>
  <c r="BK26" i="19"/>
  <c r="BM26" i="19"/>
  <c r="BO26" i="19"/>
  <c r="BQ26" i="19"/>
  <c r="BS26" i="19"/>
  <c r="BU26" i="19"/>
  <c r="BW26" i="19"/>
  <c r="BY26" i="19"/>
  <c r="CA26" i="19"/>
  <c r="CC26" i="19"/>
  <c r="CE26" i="19"/>
  <c r="CG26" i="19"/>
  <c r="CI26" i="19"/>
  <c r="CK26" i="19"/>
  <c r="CM26" i="19"/>
  <c r="CN26" i="19"/>
  <c r="AM27" i="19"/>
  <c r="AO27" i="19"/>
  <c r="AQ27" i="19"/>
  <c r="AS27" i="19"/>
  <c r="AU27" i="19"/>
  <c r="AW27" i="19"/>
  <c r="AY27" i="19"/>
  <c r="BA27" i="19"/>
  <c r="BC27" i="19"/>
  <c r="BE27" i="19"/>
  <c r="BG27" i="19"/>
  <c r="BI27" i="19"/>
  <c r="BK27" i="19"/>
  <c r="BM27" i="19"/>
  <c r="BO27" i="19"/>
  <c r="BQ27" i="19"/>
  <c r="BS27" i="19"/>
  <c r="BU27" i="19"/>
  <c r="BW27" i="19"/>
  <c r="BY27" i="19"/>
  <c r="CA27" i="19"/>
  <c r="CC27" i="19"/>
  <c r="CE27" i="19"/>
  <c r="CG27" i="19"/>
  <c r="CI27" i="19"/>
  <c r="CK27" i="19"/>
  <c r="CM27" i="19"/>
  <c r="CN27" i="19"/>
  <c r="AM28" i="19"/>
  <c r="AO28" i="19"/>
  <c r="AQ28" i="19"/>
  <c r="AS28" i="19"/>
  <c r="AU28" i="19"/>
  <c r="AW28" i="19"/>
  <c r="AY28" i="19"/>
  <c r="BA28" i="19"/>
  <c r="BC28" i="19"/>
  <c r="BE28" i="19"/>
  <c r="BG28" i="19"/>
  <c r="BI28" i="19"/>
  <c r="BK28" i="19"/>
  <c r="BM28" i="19"/>
  <c r="BO28" i="19"/>
  <c r="BQ28" i="19"/>
  <c r="BS28" i="19"/>
  <c r="BU28" i="19"/>
  <c r="BW28" i="19"/>
  <c r="BY28" i="19"/>
  <c r="CA28" i="19"/>
  <c r="CC28" i="19"/>
  <c r="CE28" i="19"/>
  <c r="CG28" i="19"/>
  <c r="CI28" i="19"/>
  <c r="CK28" i="19"/>
  <c r="CM28" i="19"/>
  <c r="CN28" i="19"/>
  <c r="AM29" i="19"/>
  <c r="AO29" i="19"/>
  <c r="AQ29" i="19"/>
  <c r="AS29" i="19"/>
  <c r="AU29" i="19"/>
  <c r="AW29" i="19"/>
  <c r="AY29" i="19"/>
  <c r="BA29" i="19"/>
  <c r="BC29" i="19"/>
  <c r="BE29" i="19"/>
  <c r="BG29" i="19"/>
  <c r="BI29" i="19"/>
  <c r="BK29" i="19"/>
  <c r="BM29" i="19"/>
  <c r="BO29" i="19"/>
  <c r="BQ29" i="19"/>
  <c r="BS29" i="19"/>
  <c r="BU29" i="19"/>
  <c r="BW29" i="19"/>
  <c r="BY29" i="19"/>
  <c r="CA29" i="19"/>
  <c r="CC29" i="19"/>
  <c r="CE29" i="19"/>
  <c r="CG29" i="19"/>
  <c r="CI29" i="19"/>
  <c r="CK29" i="19"/>
  <c r="CM29" i="19"/>
  <c r="CN29" i="19"/>
  <c r="AM30" i="19"/>
  <c r="AO30" i="19"/>
  <c r="AQ30" i="19"/>
  <c r="AS30" i="19"/>
  <c r="AU30" i="19"/>
  <c r="AW30" i="19"/>
  <c r="AY30" i="19"/>
  <c r="BA30" i="19"/>
  <c r="BC30" i="19"/>
  <c r="BE30" i="19"/>
  <c r="BG30" i="19"/>
  <c r="BI30" i="19"/>
  <c r="BK30" i="19"/>
  <c r="BM30" i="19"/>
  <c r="BO30" i="19"/>
  <c r="BQ30" i="19"/>
  <c r="BS30" i="19"/>
  <c r="BU30" i="19"/>
  <c r="BW30" i="19"/>
  <c r="BY30" i="19"/>
  <c r="CA30" i="19"/>
  <c r="CC30" i="19"/>
  <c r="CE30" i="19"/>
  <c r="CG30" i="19"/>
  <c r="CI30" i="19"/>
  <c r="CK30" i="19"/>
  <c r="CM30" i="19"/>
  <c r="CN30" i="19"/>
  <c r="AM31" i="19"/>
  <c r="AO31" i="19"/>
  <c r="AQ31" i="19"/>
  <c r="AS31" i="19"/>
  <c r="AU31" i="19"/>
  <c r="AW31" i="19"/>
  <c r="AY31" i="19"/>
  <c r="BA31" i="19"/>
  <c r="BC31" i="19"/>
  <c r="BE31" i="19"/>
  <c r="BG31" i="19"/>
  <c r="BI31" i="19"/>
  <c r="BK31" i="19"/>
  <c r="BM31" i="19"/>
  <c r="BO31" i="19"/>
  <c r="BQ31" i="19"/>
  <c r="BS31" i="19"/>
  <c r="BU31" i="19"/>
  <c r="BW31" i="19"/>
  <c r="BY31" i="19"/>
  <c r="CA31" i="19"/>
  <c r="CC31" i="19"/>
  <c r="CE31" i="19"/>
  <c r="CG31" i="19"/>
  <c r="CI31" i="19"/>
  <c r="CK31" i="19"/>
  <c r="CM31" i="19"/>
  <c r="CN31" i="19"/>
  <c r="AM33" i="19"/>
  <c r="AO33" i="19"/>
  <c r="AQ33" i="19"/>
  <c r="AS33" i="19"/>
  <c r="AU33" i="19"/>
  <c r="AW33" i="19"/>
  <c r="AY33" i="19"/>
  <c r="BA33" i="19"/>
  <c r="BC33" i="19"/>
  <c r="BE33" i="19"/>
  <c r="BG33" i="19"/>
  <c r="BI33" i="19"/>
  <c r="BK33" i="19"/>
  <c r="BM33" i="19"/>
  <c r="BO33" i="19"/>
  <c r="BQ33" i="19"/>
  <c r="BS33" i="19"/>
  <c r="BU33" i="19"/>
  <c r="BW33" i="19"/>
  <c r="BY33" i="19"/>
  <c r="CA33" i="19"/>
  <c r="CC33" i="19"/>
  <c r="CE33" i="19"/>
  <c r="CG33" i="19"/>
  <c r="CI33" i="19"/>
  <c r="CK33" i="19"/>
  <c r="CM33" i="19"/>
  <c r="CN33" i="19"/>
  <c r="AM34" i="19"/>
  <c r="AO34" i="19"/>
  <c r="AQ34" i="19"/>
  <c r="AS34" i="19"/>
  <c r="AU34" i="19"/>
  <c r="AW34" i="19"/>
  <c r="AY34" i="19"/>
  <c r="BA34" i="19"/>
  <c r="BC34" i="19"/>
  <c r="BE34" i="19"/>
  <c r="BG34" i="19"/>
  <c r="BI34" i="19"/>
  <c r="BK34" i="19"/>
  <c r="BM34" i="19"/>
  <c r="BO34" i="19"/>
  <c r="BQ34" i="19"/>
  <c r="BS34" i="19"/>
  <c r="BU34" i="19"/>
  <c r="BW34" i="19"/>
  <c r="BY34" i="19"/>
  <c r="CA34" i="19"/>
  <c r="CC34" i="19"/>
  <c r="CE34" i="19"/>
  <c r="CG34" i="19"/>
  <c r="CI34" i="19"/>
  <c r="CK34" i="19"/>
  <c r="CM34" i="19"/>
  <c r="CN34" i="19"/>
  <c r="AM35" i="19"/>
  <c r="AO35" i="19"/>
  <c r="AQ35" i="19"/>
  <c r="AS35" i="19"/>
  <c r="AU35" i="19"/>
  <c r="AW35" i="19"/>
  <c r="AY35" i="19"/>
  <c r="BA35" i="19"/>
  <c r="BC35" i="19"/>
  <c r="BE35" i="19"/>
  <c r="BG35" i="19"/>
  <c r="BI35" i="19"/>
  <c r="BK35" i="19"/>
  <c r="BM35" i="19"/>
  <c r="BO35" i="19"/>
  <c r="BQ35" i="19"/>
  <c r="BS35" i="19"/>
  <c r="BU35" i="19"/>
  <c r="BW35" i="19"/>
  <c r="BY35" i="19"/>
  <c r="CA35" i="19"/>
  <c r="CC35" i="19"/>
  <c r="CE35" i="19"/>
  <c r="CG35" i="19"/>
  <c r="CI35" i="19"/>
  <c r="CK35" i="19"/>
  <c r="CM35" i="19"/>
  <c r="CN35" i="19"/>
  <c r="CP32" i="19"/>
  <c r="AN5" i="19"/>
  <c r="AP5" i="19"/>
  <c r="AR5" i="19"/>
  <c r="AT5" i="19"/>
  <c r="AV5" i="19"/>
  <c r="AX5" i="19"/>
  <c r="AZ5" i="19"/>
  <c r="BB5" i="19"/>
  <c r="BD5" i="19"/>
  <c r="BF5" i="19"/>
  <c r="BH5" i="19"/>
  <c r="BJ5" i="19"/>
  <c r="BL5" i="19"/>
  <c r="BN5" i="19"/>
  <c r="BP5" i="19"/>
  <c r="BR5" i="19"/>
  <c r="BT5" i="19"/>
  <c r="BV5" i="19"/>
  <c r="BX5" i="19"/>
  <c r="BZ5" i="19"/>
  <c r="CB5" i="19"/>
  <c r="CD5" i="19"/>
  <c r="CF5" i="19"/>
  <c r="CH5" i="19"/>
  <c r="CJ5" i="19"/>
  <c r="CL5" i="19"/>
  <c r="CO5" i="19"/>
  <c r="AN6" i="19"/>
  <c r="AP6" i="19"/>
  <c r="AR6" i="19"/>
  <c r="AT6" i="19"/>
  <c r="AV6" i="19"/>
  <c r="AX6" i="19"/>
  <c r="AZ6" i="19"/>
  <c r="BB6" i="19"/>
  <c r="BD6" i="19"/>
  <c r="BF6" i="19"/>
  <c r="BH6" i="19"/>
  <c r="BJ6" i="19"/>
  <c r="BL6" i="19"/>
  <c r="BN6" i="19"/>
  <c r="BP6" i="19"/>
  <c r="BR6" i="19"/>
  <c r="BT6" i="19"/>
  <c r="BV6" i="19"/>
  <c r="BX6" i="19"/>
  <c r="BZ6" i="19"/>
  <c r="CB6" i="19"/>
  <c r="CD6" i="19"/>
  <c r="CF6" i="19"/>
  <c r="CH6" i="19"/>
  <c r="CJ6" i="19"/>
  <c r="CL6" i="19"/>
  <c r="CO6" i="19"/>
  <c r="AN7" i="19"/>
  <c r="AP7" i="19"/>
  <c r="AR7" i="19"/>
  <c r="AT7" i="19"/>
  <c r="AV7" i="19"/>
  <c r="AX7" i="19"/>
  <c r="AZ7" i="19"/>
  <c r="BB7" i="19"/>
  <c r="BD7" i="19"/>
  <c r="BF7" i="19"/>
  <c r="BH7" i="19"/>
  <c r="BJ7" i="19"/>
  <c r="BL7" i="19"/>
  <c r="BN7" i="19"/>
  <c r="BP7" i="19"/>
  <c r="BR7" i="19"/>
  <c r="BT7" i="19"/>
  <c r="BV7" i="19"/>
  <c r="BX7" i="19"/>
  <c r="BZ7" i="19"/>
  <c r="CB7" i="19"/>
  <c r="CD7" i="19"/>
  <c r="CF7" i="19"/>
  <c r="CH7" i="19"/>
  <c r="CJ7" i="19"/>
  <c r="CL7" i="19"/>
  <c r="CO7" i="19"/>
  <c r="AN8" i="19"/>
  <c r="AP8" i="19"/>
  <c r="AR8" i="19"/>
  <c r="AT8" i="19"/>
  <c r="AV8" i="19"/>
  <c r="AX8" i="19"/>
  <c r="AZ8" i="19"/>
  <c r="BB8" i="19"/>
  <c r="BD8" i="19"/>
  <c r="BF8" i="19"/>
  <c r="BH8" i="19"/>
  <c r="BJ8" i="19"/>
  <c r="BL8" i="19"/>
  <c r="BN8" i="19"/>
  <c r="BP8" i="19"/>
  <c r="BR8" i="19"/>
  <c r="BT8" i="19"/>
  <c r="BV8" i="19"/>
  <c r="BX8" i="19"/>
  <c r="BZ8" i="19"/>
  <c r="CB8" i="19"/>
  <c r="CD8" i="19"/>
  <c r="CF8" i="19"/>
  <c r="CH8" i="19"/>
  <c r="CJ8" i="19"/>
  <c r="CL8" i="19"/>
  <c r="CO8" i="19"/>
  <c r="AN9" i="19"/>
  <c r="AP9" i="19"/>
  <c r="AR9" i="19"/>
  <c r="AT9" i="19"/>
  <c r="AV9" i="19"/>
  <c r="AX9" i="19"/>
  <c r="AZ9" i="19"/>
  <c r="BB9" i="19"/>
  <c r="BD9" i="19"/>
  <c r="BF9" i="19"/>
  <c r="BH9" i="19"/>
  <c r="BJ9" i="19"/>
  <c r="BL9" i="19"/>
  <c r="BN9" i="19"/>
  <c r="BP9" i="19"/>
  <c r="BR9" i="19"/>
  <c r="BT9" i="19"/>
  <c r="BV9" i="19"/>
  <c r="BX9" i="19"/>
  <c r="BZ9" i="19"/>
  <c r="CB9" i="19"/>
  <c r="CD9" i="19"/>
  <c r="CF9" i="19"/>
  <c r="CH9" i="19"/>
  <c r="CJ9" i="19"/>
  <c r="CL9" i="19"/>
  <c r="CO9" i="19"/>
  <c r="AN10" i="19"/>
  <c r="AP10" i="19"/>
  <c r="AR10" i="19"/>
  <c r="AT10" i="19"/>
  <c r="AV10" i="19"/>
  <c r="AX10" i="19"/>
  <c r="AZ10" i="19"/>
  <c r="BB10" i="19"/>
  <c r="BD10" i="19"/>
  <c r="BF10" i="19"/>
  <c r="BH10" i="19"/>
  <c r="BJ10" i="19"/>
  <c r="BL10" i="19"/>
  <c r="BN10" i="19"/>
  <c r="BP10" i="19"/>
  <c r="BR10" i="19"/>
  <c r="BT10" i="19"/>
  <c r="BV10" i="19"/>
  <c r="BX10" i="19"/>
  <c r="BZ10" i="19"/>
  <c r="CB10" i="19"/>
  <c r="CD10" i="19"/>
  <c r="CF10" i="19"/>
  <c r="CH10" i="19"/>
  <c r="CJ10" i="19"/>
  <c r="CL10" i="19"/>
  <c r="CO10" i="19"/>
  <c r="AN11" i="19"/>
  <c r="AP11" i="19"/>
  <c r="AR11" i="19"/>
  <c r="AT11" i="19"/>
  <c r="AV11" i="19"/>
  <c r="AX11" i="19"/>
  <c r="AZ11" i="19"/>
  <c r="BB11" i="19"/>
  <c r="BD11" i="19"/>
  <c r="BF11" i="19"/>
  <c r="BH11" i="19"/>
  <c r="BJ11" i="19"/>
  <c r="BL11" i="19"/>
  <c r="BN11" i="19"/>
  <c r="BP11" i="19"/>
  <c r="BR11" i="19"/>
  <c r="BT11" i="19"/>
  <c r="BV11" i="19"/>
  <c r="BX11" i="19"/>
  <c r="BZ11" i="19"/>
  <c r="CB11" i="19"/>
  <c r="CD11" i="19"/>
  <c r="CF11" i="19"/>
  <c r="CH11" i="19"/>
  <c r="CJ11" i="19"/>
  <c r="CL11" i="19"/>
  <c r="CO11" i="19"/>
  <c r="AN12" i="19"/>
  <c r="AP12" i="19"/>
  <c r="AR12" i="19"/>
  <c r="AT12" i="19"/>
  <c r="AV12" i="19"/>
  <c r="AX12" i="19"/>
  <c r="AZ12" i="19"/>
  <c r="BB12" i="19"/>
  <c r="BD12" i="19"/>
  <c r="BF12" i="19"/>
  <c r="BH12" i="19"/>
  <c r="BJ12" i="19"/>
  <c r="BL12" i="19"/>
  <c r="BN12" i="19"/>
  <c r="BP12" i="19"/>
  <c r="BR12" i="19"/>
  <c r="BT12" i="19"/>
  <c r="BV12" i="19"/>
  <c r="BX12" i="19"/>
  <c r="BZ12" i="19"/>
  <c r="CB12" i="19"/>
  <c r="CD12" i="19"/>
  <c r="CF12" i="19"/>
  <c r="CH12" i="19"/>
  <c r="CJ12" i="19"/>
  <c r="CL12" i="19"/>
  <c r="CO12" i="19"/>
  <c r="AN13" i="19"/>
  <c r="AP13" i="19"/>
  <c r="AR13" i="19"/>
  <c r="AT13" i="19"/>
  <c r="AV13" i="19"/>
  <c r="AX13" i="19"/>
  <c r="AZ13" i="19"/>
  <c r="BB13" i="19"/>
  <c r="BD13" i="19"/>
  <c r="BF13" i="19"/>
  <c r="BH13" i="19"/>
  <c r="BJ13" i="19"/>
  <c r="BL13" i="19"/>
  <c r="BN13" i="19"/>
  <c r="BP13" i="19"/>
  <c r="BR13" i="19"/>
  <c r="BT13" i="19"/>
  <c r="BV13" i="19"/>
  <c r="BX13" i="19"/>
  <c r="BZ13" i="19"/>
  <c r="CB13" i="19"/>
  <c r="CD13" i="19"/>
  <c r="CF13" i="19"/>
  <c r="CH13" i="19"/>
  <c r="CJ13" i="19"/>
  <c r="CL13" i="19"/>
  <c r="CO13" i="19"/>
  <c r="AN14" i="19"/>
  <c r="AP14" i="19"/>
  <c r="AR14" i="19"/>
  <c r="AT14" i="19"/>
  <c r="AV14" i="19"/>
  <c r="AX14" i="19"/>
  <c r="AZ14" i="19"/>
  <c r="BB14" i="19"/>
  <c r="BD14" i="19"/>
  <c r="BF14" i="19"/>
  <c r="BH14" i="19"/>
  <c r="BJ14" i="19"/>
  <c r="BL14" i="19"/>
  <c r="BN14" i="19"/>
  <c r="BP14" i="19"/>
  <c r="BR14" i="19"/>
  <c r="BT14" i="19"/>
  <c r="BV14" i="19"/>
  <c r="BX14" i="19"/>
  <c r="BZ14" i="19"/>
  <c r="CB14" i="19"/>
  <c r="CD14" i="19"/>
  <c r="CF14" i="19"/>
  <c r="CH14" i="19"/>
  <c r="CJ14" i="19"/>
  <c r="CL14" i="19"/>
  <c r="CO14" i="19"/>
  <c r="AN15" i="19"/>
  <c r="AP15" i="19"/>
  <c r="AR15" i="19"/>
  <c r="AT15" i="19"/>
  <c r="AV15" i="19"/>
  <c r="AX15" i="19"/>
  <c r="AZ15" i="19"/>
  <c r="BB15" i="19"/>
  <c r="BD15" i="19"/>
  <c r="BF15" i="19"/>
  <c r="BH15" i="19"/>
  <c r="BJ15" i="19"/>
  <c r="BL15" i="19"/>
  <c r="BN15" i="19"/>
  <c r="BP15" i="19"/>
  <c r="BR15" i="19"/>
  <c r="BT15" i="19"/>
  <c r="BV15" i="19"/>
  <c r="BX15" i="19"/>
  <c r="BZ15" i="19"/>
  <c r="CB15" i="19"/>
  <c r="CD15" i="19"/>
  <c r="CF15" i="19"/>
  <c r="CH15" i="19"/>
  <c r="CJ15" i="19"/>
  <c r="CL15" i="19"/>
  <c r="CO15" i="19"/>
  <c r="AN16" i="19"/>
  <c r="AP16" i="19"/>
  <c r="AR16" i="19"/>
  <c r="AT16" i="19"/>
  <c r="AV16" i="19"/>
  <c r="AX16" i="19"/>
  <c r="AZ16" i="19"/>
  <c r="BB16" i="19"/>
  <c r="BD16" i="19"/>
  <c r="BF16" i="19"/>
  <c r="BH16" i="19"/>
  <c r="BJ16" i="19"/>
  <c r="BL16" i="19"/>
  <c r="BN16" i="19"/>
  <c r="BP16" i="19"/>
  <c r="BR16" i="19"/>
  <c r="BT16" i="19"/>
  <c r="BV16" i="19"/>
  <c r="BX16" i="19"/>
  <c r="BZ16" i="19"/>
  <c r="CB16" i="19"/>
  <c r="CD16" i="19"/>
  <c r="CF16" i="19"/>
  <c r="CH16" i="19"/>
  <c r="CJ16" i="19"/>
  <c r="CL16" i="19"/>
  <c r="CO16" i="19"/>
  <c r="AN17" i="19"/>
  <c r="AP17" i="19"/>
  <c r="AR17" i="19"/>
  <c r="AT17" i="19"/>
  <c r="AV17" i="19"/>
  <c r="AX17" i="19"/>
  <c r="AZ17" i="19"/>
  <c r="BB17" i="19"/>
  <c r="BD17" i="19"/>
  <c r="BF17" i="19"/>
  <c r="BH17" i="19"/>
  <c r="BJ17" i="19"/>
  <c r="BL17" i="19"/>
  <c r="BN17" i="19"/>
  <c r="BP17" i="19"/>
  <c r="BR17" i="19"/>
  <c r="BT17" i="19"/>
  <c r="BV17" i="19"/>
  <c r="BX17" i="19"/>
  <c r="BZ17" i="19"/>
  <c r="CB17" i="19"/>
  <c r="CD17" i="19"/>
  <c r="CF17" i="19"/>
  <c r="CH17" i="19"/>
  <c r="CJ17" i="19"/>
  <c r="CL17" i="19"/>
  <c r="CO17" i="19"/>
  <c r="AN18" i="19"/>
  <c r="AP18" i="19"/>
  <c r="AR18" i="19"/>
  <c r="AT18" i="19"/>
  <c r="AV18" i="19"/>
  <c r="AX18" i="19"/>
  <c r="AZ18" i="19"/>
  <c r="BB18" i="19"/>
  <c r="BD18" i="19"/>
  <c r="BF18" i="19"/>
  <c r="BH18" i="19"/>
  <c r="BJ18" i="19"/>
  <c r="BL18" i="19"/>
  <c r="BN18" i="19"/>
  <c r="BP18" i="19"/>
  <c r="BR18" i="19"/>
  <c r="BT18" i="19"/>
  <c r="BV18" i="19"/>
  <c r="BX18" i="19"/>
  <c r="BZ18" i="19"/>
  <c r="CB18" i="19"/>
  <c r="CD18" i="19"/>
  <c r="CF18" i="19"/>
  <c r="CH18" i="19"/>
  <c r="CJ18" i="19"/>
  <c r="CL18" i="19"/>
  <c r="CO18" i="19"/>
  <c r="AN19" i="19"/>
  <c r="AP19" i="19"/>
  <c r="AR19" i="19"/>
  <c r="AT19" i="19"/>
  <c r="AV19" i="19"/>
  <c r="AX19" i="19"/>
  <c r="AZ19" i="19"/>
  <c r="BB19" i="19"/>
  <c r="BD19" i="19"/>
  <c r="BF19" i="19"/>
  <c r="BH19" i="19"/>
  <c r="BJ19" i="19"/>
  <c r="BL19" i="19"/>
  <c r="BN19" i="19"/>
  <c r="BP19" i="19"/>
  <c r="BR19" i="19"/>
  <c r="BT19" i="19"/>
  <c r="BV19" i="19"/>
  <c r="BX19" i="19"/>
  <c r="BZ19" i="19"/>
  <c r="CB19" i="19"/>
  <c r="CD19" i="19"/>
  <c r="CF19" i="19"/>
  <c r="CH19" i="19"/>
  <c r="CJ19" i="19"/>
  <c r="CL19" i="19"/>
  <c r="CO19" i="19"/>
  <c r="AN20" i="19"/>
  <c r="AP20" i="19"/>
  <c r="AR20" i="19"/>
  <c r="AT20" i="19"/>
  <c r="AV20" i="19"/>
  <c r="AX20" i="19"/>
  <c r="AZ20" i="19"/>
  <c r="BB20" i="19"/>
  <c r="BD20" i="19"/>
  <c r="BF20" i="19"/>
  <c r="BH20" i="19"/>
  <c r="BJ20" i="19"/>
  <c r="BL20" i="19"/>
  <c r="BN20" i="19"/>
  <c r="BP20" i="19"/>
  <c r="BR20" i="19"/>
  <c r="BT20" i="19"/>
  <c r="BV20" i="19"/>
  <c r="BX20" i="19"/>
  <c r="BZ20" i="19"/>
  <c r="CB20" i="19"/>
  <c r="CD20" i="19"/>
  <c r="CF20" i="19"/>
  <c r="CH20" i="19"/>
  <c r="CJ20" i="19"/>
  <c r="CL20" i="19"/>
  <c r="CO20" i="19"/>
  <c r="AN21" i="19"/>
  <c r="AP21" i="19"/>
  <c r="AR21" i="19"/>
  <c r="AT21" i="19"/>
  <c r="AV21" i="19"/>
  <c r="AX21" i="19"/>
  <c r="AZ21" i="19"/>
  <c r="BB21" i="19"/>
  <c r="BD21" i="19"/>
  <c r="BF21" i="19"/>
  <c r="BH21" i="19"/>
  <c r="BJ21" i="19"/>
  <c r="BL21" i="19"/>
  <c r="BN21" i="19"/>
  <c r="BP21" i="19"/>
  <c r="BR21" i="19"/>
  <c r="BT21" i="19"/>
  <c r="BV21" i="19"/>
  <c r="BX21" i="19"/>
  <c r="BZ21" i="19"/>
  <c r="CB21" i="19"/>
  <c r="CD21" i="19"/>
  <c r="CF21" i="19"/>
  <c r="CH21" i="19"/>
  <c r="CJ21" i="19"/>
  <c r="CL21" i="19"/>
  <c r="CO21" i="19"/>
  <c r="AN22" i="19"/>
  <c r="AP22" i="19"/>
  <c r="AR22" i="19"/>
  <c r="AT22" i="19"/>
  <c r="AV22" i="19"/>
  <c r="AX22" i="19"/>
  <c r="AZ22" i="19"/>
  <c r="BB22" i="19"/>
  <c r="BD22" i="19"/>
  <c r="BF22" i="19"/>
  <c r="BH22" i="19"/>
  <c r="BJ22" i="19"/>
  <c r="BL22" i="19"/>
  <c r="BN22" i="19"/>
  <c r="BP22" i="19"/>
  <c r="BR22" i="19"/>
  <c r="BT22" i="19"/>
  <c r="BV22" i="19"/>
  <c r="BX22" i="19"/>
  <c r="BZ22" i="19"/>
  <c r="CB22" i="19"/>
  <c r="CD22" i="19"/>
  <c r="CF22" i="19"/>
  <c r="CH22" i="19"/>
  <c r="CJ22" i="19"/>
  <c r="CL22" i="19"/>
  <c r="CO22" i="19"/>
  <c r="AN23" i="19"/>
  <c r="AP23" i="19"/>
  <c r="AR23" i="19"/>
  <c r="AT23" i="19"/>
  <c r="AV23" i="19"/>
  <c r="AX23" i="19"/>
  <c r="AZ23" i="19"/>
  <c r="BB23" i="19"/>
  <c r="BD23" i="19"/>
  <c r="BF23" i="19"/>
  <c r="BH23" i="19"/>
  <c r="BJ23" i="19"/>
  <c r="BL23" i="19"/>
  <c r="BN23" i="19"/>
  <c r="BP23" i="19"/>
  <c r="BR23" i="19"/>
  <c r="BT23" i="19"/>
  <c r="BV23" i="19"/>
  <c r="BX23" i="19"/>
  <c r="BZ23" i="19"/>
  <c r="CB23" i="19"/>
  <c r="CD23" i="19"/>
  <c r="CF23" i="19"/>
  <c r="CH23" i="19"/>
  <c r="CJ23" i="19"/>
  <c r="CL23" i="19"/>
  <c r="CO23" i="19"/>
  <c r="AN24" i="19"/>
  <c r="AP24" i="19"/>
  <c r="AR24" i="19"/>
  <c r="AT24" i="19"/>
  <c r="AV24" i="19"/>
  <c r="AX24" i="19"/>
  <c r="AZ24" i="19"/>
  <c r="BB24" i="19"/>
  <c r="BD24" i="19"/>
  <c r="BF24" i="19"/>
  <c r="BH24" i="19"/>
  <c r="BJ24" i="19"/>
  <c r="BL24" i="19"/>
  <c r="BN24" i="19"/>
  <c r="BP24" i="19"/>
  <c r="BR24" i="19"/>
  <c r="BT24" i="19"/>
  <c r="BV24" i="19"/>
  <c r="BX24" i="19"/>
  <c r="BZ24" i="19"/>
  <c r="CB24" i="19"/>
  <c r="CD24" i="19"/>
  <c r="CF24" i="19"/>
  <c r="CH24" i="19"/>
  <c r="CJ24" i="19"/>
  <c r="CL24" i="19"/>
  <c r="CO24" i="19"/>
  <c r="AN25" i="19"/>
  <c r="AP25" i="19"/>
  <c r="AR25" i="19"/>
  <c r="AT25" i="19"/>
  <c r="AV25" i="19"/>
  <c r="AX25" i="19"/>
  <c r="AZ25" i="19"/>
  <c r="BB25" i="19"/>
  <c r="BD25" i="19"/>
  <c r="BF25" i="19"/>
  <c r="BH25" i="19"/>
  <c r="BJ25" i="19"/>
  <c r="BL25" i="19"/>
  <c r="BN25" i="19"/>
  <c r="BP25" i="19"/>
  <c r="BR25" i="19"/>
  <c r="BT25" i="19"/>
  <c r="BV25" i="19"/>
  <c r="BX25" i="19"/>
  <c r="BZ25" i="19"/>
  <c r="CB25" i="19"/>
  <c r="CD25" i="19"/>
  <c r="CF25" i="19"/>
  <c r="CH25" i="19"/>
  <c r="CJ25" i="19"/>
  <c r="CL25" i="19"/>
  <c r="CO25" i="19"/>
  <c r="AN26" i="19"/>
  <c r="AP26" i="19"/>
  <c r="AR26" i="19"/>
  <c r="AT26" i="19"/>
  <c r="AV26" i="19"/>
  <c r="AX26" i="19"/>
  <c r="AZ26" i="19"/>
  <c r="BB26" i="19"/>
  <c r="BD26" i="19"/>
  <c r="BF26" i="19"/>
  <c r="BH26" i="19"/>
  <c r="BJ26" i="19"/>
  <c r="BL26" i="19"/>
  <c r="BN26" i="19"/>
  <c r="BP26" i="19"/>
  <c r="BR26" i="19"/>
  <c r="BT26" i="19"/>
  <c r="BV26" i="19"/>
  <c r="BX26" i="19"/>
  <c r="BZ26" i="19"/>
  <c r="CB26" i="19"/>
  <c r="CD26" i="19"/>
  <c r="CF26" i="19"/>
  <c r="CH26" i="19"/>
  <c r="CJ26" i="19"/>
  <c r="CL26" i="19"/>
  <c r="CO26" i="19"/>
  <c r="AN27" i="19"/>
  <c r="AP27" i="19"/>
  <c r="AR27" i="19"/>
  <c r="AT27" i="19"/>
  <c r="AV27" i="19"/>
  <c r="AX27" i="19"/>
  <c r="AZ27" i="19"/>
  <c r="BB27" i="19"/>
  <c r="BD27" i="19"/>
  <c r="BF27" i="19"/>
  <c r="BH27" i="19"/>
  <c r="BJ27" i="19"/>
  <c r="BL27" i="19"/>
  <c r="BN27" i="19"/>
  <c r="BP27" i="19"/>
  <c r="BR27" i="19"/>
  <c r="BT27" i="19"/>
  <c r="BV27" i="19"/>
  <c r="BX27" i="19"/>
  <c r="BZ27" i="19"/>
  <c r="CB27" i="19"/>
  <c r="CD27" i="19"/>
  <c r="CF27" i="19"/>
  <c r="CH27" i="19"/>
  <c r="CJ27" i="19"/>
  <c r="CL27" i="19"/>
  <c r="CO27" i="19"/>
  <c r="AN28" i="19"/>
  <c r="AP28" i="19"/>
  <c r="AR28" i="19"/>
  <c r="AT28" i="19"/>
  <c r="AV28" i="19"/>
  <c r="AX28" i="19"/>
  <c r="AZ28" i="19"/>
  <c r="BB28" i="19"/>
  <c r="BD28" i="19"/>
  <c r="BF28" i="19"/>
  <c r="BH28" i="19"/>
  <c r="BJ28" i="19"/>
  <c r="BL28" i="19"/>
  <c r="BN28" i="19"/>
  <c r="BP28" i="19"/>
  <c r="BR28" i="19"/>
  <c r="BT28" i="19"/>
  <c r="BV28" i="19"/>
  <c r="BX28" i="19"/>
  <c r="BZ28" i="19"/>
  <c r="CB28" i="19"/>
  <c r="CD28" i="19"/>
  <c r="CF28" i="19"/>
  <c r="CH28" i="19"/>
  <c r="CJ28" i="19"/>
  <c r="CL28" i="19"/>
  <c r="CO28" i="19"/>
  <c r="AN29" i="19"/>
  <c r="AP29" i="19"/>
  <c r="AR29" i="19"/>
  <c r="AT29" i="19"/>
  <c r="AV29" i="19"/>
  <c r="AX29" i="19"/>
  <c r="AZ29" i="19"/>
  <c r="BB29" i="19"/>
  <c r="BD29" i="19"/>
  <c r="BF29" i="19"/>
  <c r="BH29" i="19"/>
  <c r="BJ29" i="19"/>
  <c r="BL29" i="19"/>
  <c r="BN29" i="19"/>
  <c r="BP29" i="19"/>
  <c r="BR29" i="19"/>
  <c r="BT29" i="19"/>
  <c r="BV29" i="19"/>
  <c r="BX29" i="19"/>
  <c r="BZ29" i="19"/>
  <c r="CB29" i="19"/>
  <c r="CD29" i="19"/>
  <c r="CF29" i="19"/>
  <c r="CH29" i="19"/>
  <c r="CJ29" i="19"/>
  <c r="CL29" i="19"/>
  <c r="CO29" i="19"/>
  <c r="AN30" i="19"/>
  <c r="AP30" i="19"/>
  <c r="AR30" i="19"/>
  <c r="AT30" i="19"/>
  <c r="AV30" i="19"/>
  <c r="AX30" i="19"/>
  <c r="AZ30" i="19"/>
  <c r="BB30" i="19"/>
  <c r="BD30" i="19"/>
  <c r="BF30" i="19"/>
  <c r="BH30" i="19"/>
  <c r="BJ30" i="19"/>
  <c r="BL30" i="19"/>
  <c r="BN30" i="19"/>
  <c r="BP30" i="19"/>
  <c r="BR30" i="19"/>
  <c r="BT30" i="19"/>
  <c r="BV30" i="19"/>
  <c r="BX30" i="19"/>
  <c r="BZ30" i="19"/>
  <c r="CB30" i="19"/>
  <c r="CD30" i="19"/>
  <c r="CF30" i="19"/>
  <c r="CH30" i="19"/>
  <c r="CJ30" i="19"/>
  <c r="CL30" i="19"/>
  <c r="CO30" i="19"/>
  <c r="AN31" i="19"/>
  <c r="AP31" i="19"/>
  <c r="AR31" i="19"/>
  <c r="AT31" i="19"/>
  <c r="AV31" i="19"/>
  <c r="AX31" i="19"/>
  <c r="AZ31" i="19"/>
  <c r="BB31" i="19"/>
  <c r="BD31" i="19"/>
  <c r="BF31" i="19"/>
  <c r="BH31" i="19"/>
  <c r="BJ31" i="19"/>
  <c r="BL31" i="19"/>
  <c r="BN31" i="19"/>
  <c r="BP31" i="19"/>
  <c r="BR31" i="19"/>
  <c r="BT31" i="19"/>
  <c r="BV31" i="19"/>
  <c r="BX31" i="19"/>
  <c r="BZ31" i="19"/>
  <c r="CB31" i="19"/>
  <c r="CD31" i="19"/>
  <c r="CF31" i="19"/>
  <c r="CH31" i="19"/>
  <c r="CJ31" i="19"/>
  <c r="CL31" i="19"/>
  <c r="CO31" i="19"/>
  <c r="AN33" i="19"/>
  <c r="AP33" i="19"/>
  <c r="AR33" i="19"/>
  <c r="AT33" i="19"/>
  <c r="AV33" i="19"/>
  <c r="AX33" i="19"/>
  <c r="AZ33" i="19"/>
  <c r="BB33" i="19"/>
  <c r="BD33" i="19"/>
  <c r="BF33" i="19"/>
  <c r="BH33" i="19"/>
  <c r="BJ33" i="19"/>
  <c r="BL33" i="19"/>
  <c r="BN33" i="19"/>
  <c r="BP33" i="19"/>
  <c r="BR33" i="19"/>
  <c r="BT33" i="19"/>
  <c r="BV33" i="19"/>
  <c r="BX33" i="19"/>
  <c r="BZ33" i="19"/>
  <c r="CB33" i="19"/>
  <c r="CD33" i="19"/>
  <c r="CF33" i="19"/>
  <c r="CH33" i="19"/>
  <c r="CJ33" i="19"/>
  <c r="CL33" i="19"/>
  <c r="CO33" i="19"/>
  <c r="AN34" i="19"/>
  <c r="AP34" i="19"/>
  <c r="AR34" i="19"/>
  <c r="AT34" i="19"/>
  <c r="AV34" i="19"/>
  <c r="AX34" i="19"/>
  <c r="AZ34" i="19"/>
  <c r="BB34" i="19"/>
  <c r="BD34" i="19"/>
  <c r="BF34" i="19"/>
  <c r="BH34" i="19"/>
  <c r="BJ34" i="19"/>
  <c r="BL34" i="19"/>
  <c r="BN34" i="19"/>
  <c r="BP34" i="19"/>
  <c r="BR34" i="19"/>
  <c r="BT34" i="19"/>
  <c r="BV34" i="19"/>
  <c r="BX34" i="19"/>
  <c r="BZ34" i="19"/>
  <c r="CB34" i="19"/>
  <c r="CD34" i="19"/>
  <c r="CF34" i="19"/>
  <c r="CH34" i="19"/>
  <c r="CJ34" i="19"/>
  <c r="CL34" i="19"/>
  <c r="CO34" i="19"/>
  <c r="AN35" i="19"/>
  <c r="AP35" i="19"/>
  <c r="AR35" i="19"/>
  <c r="AT35" i="19"/>
  <c r="AV35" i="19"/>
  <c r="AX35" i="19"/>
  <c r="AZ35" i="19"/>
  <c r="BB35" i="19"/>
  <c r="BD35" i="19"/>
  <c r="BF35" i="19"/>
  <c r="BH35" i="19"/>
  <c r="BJ35" i="19"/>
  <c r="BL35" i="19"/>
  <c r="BN35" i="19"/>
  <c r="BP35" i="19"/>
  <c r="BR35" i="19"/>
  <c r="BT35" i="19"/>
  <c r="BV35" i="19"/>
  <c r="BX35" i="19"/>
  <c r="BZ35" i="19"/>
  <c r="CB35" i="19"/>
  <c r="CD35" i="19"/>
  <c r="CF35" i="19"/>
  <c r="CH35" i="19"/>
  <c r="CJ35" i="19"/>
  <c r="CL35" i="19"/>
  <c r="CO35" i="19"/>
  <c r="CQ32" i="19"/>
  <c r="B32" i="19"/>
  <c r="D2" i="17"/>
  <c r="D32" i="17"/>
  <c r="E4" i="4"/>
  <c r="E2" i="17"/>
  <c r="E32" i="17"/>
  <c r="F4" i="4"/>
  <c r="F2" i="17"/>
  <c r="F32" i="17"/>
  <c r="G4" i="4"/>
  <c r="G2" i="17"/>
  <c r="G32" i="17"/>
  <c r="H4" i="4"/>
  <c r="H2" i="17"/>
  <c r="H32" i="17"/>
  <c r="I2" i="17"/>
  <c r="I32" i="17"/>
  <c r="J4" i="4"/>
  <c r="J2" i="17"/>
  <c r="J32" i="17"/>
  <c r="K4" i="4"/>
  <c r="K2" i="17"/>
  <c r="K32" i="17"/>
  <c r="L4" i="4"/>
  <c r="L2" i="17"/>
  <c r="L32" i="17"/>
  <c r="M4" i="4"/>
  <c r="M2" i="17"/>
  <c r="M32" i="17"/>
  <c r="N4" i="4"/>
  <c r="N2" i="17"/>
  <c r="N32" i="17"/>
  <c r="O4" i="4"/>
  <c r="O2" i="17"/>
  <c r="O32" i="17"/>
  <c r="P4" i="4"/>
  <c r="P2" i="17"/>
  <c r="P32" i="17"/>
  <c r="Q4" i="4"/>
  <c r="Q2" i="17"/>
  <c r="Q32" i="17"/>
  <c r="R2" i="17"/>
  <c r="R32" i="17"/>
  <c r="S2" i="17"/>
  <c r="S32" i="17"/>
  <c r="T4" i="4"/>
  <c r="T2" i="17"/>
  <c r="T32" i="17"/>
  <c r="U4" i="4"/>
  <c r="U2" i="17"/>
  <c r="U32" i="17"/>
  <c r="V4" i="4"/>
  <c r="V2" i="17"/>
  <c r="V32" i="17"/>
  <c r="W4" i="4"/>
  <c r="W2" i="17"/>
  <c r="W32" i="17"/>
  <c r="X4" i="4"/>
  <c r="X2" i="17"/>
  <c r="X32" i="17"/>
  <c r="Y4" i="4"/>
  <c r="Y2" i="17"/>
  <c r="Y32" i="17"/>
  <c r="Z4" i="4"/>
  <c r="Z2" i="17"/>
  <c r="Z32" i="17"/>
  <c r="AA4" i="4"/>
  <c r="AA2" i="17"/>
  <c r="AA32" i="17"/>
  <c r="AB4" i="4"/>
  <c r="AB2" i="17"/>
  <c r="AB32" i="17"/>
  <c r="AC4" i="4"/>
  <c r="AC2" i="17"/>
  <c r="AC32" i="17"/>
  <c r="AD4" i="4"/>
  <c r="AD2" i="17"/>
  <c r="AD32" i="17"/>
  <c r="AE32" i="17"/>
  <c r="AG32" i="17"/>
  <c r="AF32" i="17"/>
  <c r="AH32" i="17"/>
  <c r="AI32" i="17"/>
  <c r="AK32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H5" i="17"/>
  <c r="AI5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H6" i="17"/>
  <c r="AI6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H7" i="17"/>
  <c r="AI7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H8" i="17"/>
  <c r="AI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H9" i="17"/>
  <c r="AI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H10" i="17"/>
  <c r="AI10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H11" i="17"/>
  <c r="AI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H12" i="17"/>
  <c r="AI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H13" i="17"/>
  <c r="AI13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H14" i="17"/>
  <c r="AI14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H15" i="17"/>
  <c r="AI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H16" i="17"/>
  <c r="AI16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H17" i="17"/>
  <c r="AI17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H18" i="17"/>
  <c r="AI18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H19" i="17"/>
  <c r="AI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H20" i="17"/>
  <c r="AI20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H21" i="17"/>
  <c r="AI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H22" i="17"/>
  <c r="AI22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H23" i="17"/>
  <c r="AI23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H24" i="17"/>
  <c r="AI24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H25" i="17"/>
  <c r="AI25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H26" i="17"/>
  <c r="AI26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H27" i="17"/>
  <c r="AI27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H28" i="17"/>
  <c r="AI28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H29" i="17"/>
  <c r="AI29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H30" i="17"/>
  <c r="AI30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H31" i="17"/>
  <c r="AI31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H33" i="17"/>
  <c r="AI33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H34" i="17"/>
  <c r="AI34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H35" i="17"/>
  <c r="AI35" i="17"/>
  <c r="AL32" i="17"/>
  <c r="AM32" i="17"/>
  <c r="E1" i="17"/>
  <c r="AM1" i="17"/>
  <c r="AM2" i="17"/>
  <c r="AN32" i="17"/>
  <c r="AO32" i="17"/>
  <c r="F1" i="17"/>
  <c r="AO1" i="17"/>
  <c r="AO2" i="17"/>
  <c r="AP32" i="17"/>
  <c r="AQ32" i="17"/>
  <c r="G1" i="17"/>
  <c r="AQ1" i="17"/>
  <c r="AQ2" i="17"/>
  <c r="AR32" i="17"/>
  <c r="AS32" i="17"/>
  <c r="H1" i="17"/>
  <c r="AS1" i="17"/>
  <c r="AS2" i="17"/>
  <c r="AT32" i="17"/>
  <c r="AU32" i="17"/>
  <c r="I1" i="17"/>
  <c r="AU1" i="17"/>
  <c r="AU2" i="17"/>
  <c r="AV32" i="17"/>
  <c r="AW32" i="17"/>
  <c r="J1" i="17"/>
  <c r="AW1" i="17"/>
  <c r="AW2" i="17"/>
  <c r="AX32" i="17"/>
  <c r="AY32" i="17"/>
  <c r="K1" i="17"/>
  <c r="AY1" i="17"/>
  <c r="AY2" i="17"/>
  <c r="AZ32" i="17"/>
  <c r="BA32" i="17"/>
  <c r="L1" i="17"/>
  <c r="BA1" i="17"/>
  <c r="BA2" i="17"/>
  <c r="BB32" i="17"/>
  <c r="BC32" i="17"/>
  <c r="M1" i="17"/>
  <c r="BC1" i="17"/>
  <c r="BC2" i="17"/>
  <c r="BD32" i="17"/>
  <c r="BE32" i="17"/>
  <c r="N1" i="17"/>
  <c r="BE1" i="17"/>
  <c r="BE2" i="17"/>
  <c r="BF32" i="17"/>
  <c r="BG32" i="17"/>
  <c r="O1" i="17"/>
  <c r="BG1" i="17"/>
  <c r="BG2" i="17"/>
  <c r="BH32" i="17"/>
  <c r="BI32" i="17"/>
  <c r="P1" i="17"/>
  <c r="BI1" i="17"/>
  <c r="BI2" i="17"/>
  <c r="BJ32" i="17"/>
  <c r="BK32" i="17"/>
  <c r="Q1" i="17"/>
  <c r="BK1" i="17"/>
  <c r="BK2" i="17"/>
  <c r="BL32" i="17"/>
  <c r="BM32" i="17"/>
  <c r="R1" i="17"/>
  <c r="BM1" i="17"/>
  <c r="BM2" i="17"/>
  <c r="BN32" i="17"/>
  <c r="BO32" i="17"/>
  <c r="S1" i="17"/>
  <c r="BO1" i="17"/>
  <c r="BO2" i="17"/>
  <c r="BP32" i="17"/>
  <c r="BQ32" i="17"/>
  <c r="T1" i="17"/>
  <c r="BQ1" i="17"/>
  <c r="BQ2" i="17"/>
  <c r="BR32" i="17"/>
  <c r="BS32" i="17"/>
  <c r="U1" i="17"/>
  <c r="BS1" i="17"/>
  <c r="BS2" i="17"/>
  <c r="BT32" i="17"/>
  <c r="BU32" i="17"/>
  <c r="V1" i="17"/>
  <c r="BU1" i="17"/>
  <c r="BU2" i="17"/>
  <c r="BV32" i="17"/>
  <c r="BW32" i="17"/>
  <c r="W1" i="17"/>
  <c r="BW1" i="17"/>
  <c r="BW2" i="17"/>
  <c r="BX32" i="17"/>
  <c r="BY32" i="17"/>
  <c r="X1" i="17"/>
  <c r="BY1" i="17"/>
  <c r="BY2" i="17"/>
  <c r="BZ32" i="17"/>
  <c r="CA32" i="17"/>
  <c r="Y1" i="17"/>
  <c r="CA1" i="17"/>
  <c r="CA2" i="17"/>
  <c r="CB32" i="17"/>
  <c r="CC32" i="17"/>
  <c r="Z1" i="17"/>
  <c r="CC1" i="17"/>
  <c r="CC2" i="17"/>
  <c r="CD32" i="17"/>
  <c r="CE32" i="17"/>
  <c r="AA1" i="17"/>
  <c r="CE1" i="17"/>
  <c r="CE2" i="17"/>
  <c r="CF32" i="17"/>
  <c r="CG32" i="17"/>
  <c r="AB1" i="17"/>
  <c r="CG1" i="17"/>
  <c r="CG2" i="17"/>
  <c r="CH32" i="17"/>
  <c r="CI32" i="17"/>
  <c r="AC1" i="17"/>
  <c r="CI1" i="17"/>
  <c r="CI2" i="17"/>
  <c r="CJ32" i="17"/>
  <c r="CK32" i="17"/>
  <c r="AD1" i="17"/>
  <c r="CK1" i="17"/>
  <c r="CK2" i="17"/>
  <c r="CL32" i="17"/>
  <c r="CM32" i="17"/>
  <c r="CN32" i="17"/>
  <c r="CO32" i="17"/>
  <c r="AM5" i="17"/>
  <c r="AO5" i="17"/>
  <c r="AQ5" i="17"/>
  <c r="AS5" i="17"/>
  <c r="AU5" i="17"/>
  <c r="AW5" i="17"/>
  <c r="AY5" i="17"/>
  <c r="BA5" i="17"/>
  <c r="BC5" i="17"/>
  <c r="BE5" i="17"/>
  <c r="BG5" i="17"/>
  <c r="BI5" i="17"/>
  <c r="BK5" i="17"/>
  <c r="BM5" i="17"/>
  <c r="BO5" i="17"/>
  <c r="BQ5" i="17"/>
  <c r="BS5" i="17"/>
  <c r="BU5" i="17"/>
  <c r="BW5" i="17"/>
  <c r="BY5" i="17"/>
  <c r="CA5" i="17"/>
  <c r="CC5" i="17"/>
  <c r="CE5" i="17"/>
  <c r="CG5" i="17"/>
  <c r="CI5" i="17"/>
  <c r="CK5" i="17"/>
  <c r="CM5" i="17"/>
  <c r="CN5" i="17"/>
  <c r="AM6" i="17"/>
  <c r="AO6" i="17"/>
  <c r="AQ6" i="17"/>
  <c r="AS6" i="17"/>
  <c r="AU6" i="17"/>
  <c r="AW6" i="17"/>
  <c r="AY6" i="17"/>
  <c r="BA6" i="17"/>
  <c r="BC6" i="17"/>
  <c r="BE6" i="17"/>
  <c r="BG6" i="17"/>
  <c r="BI6" i="17"/>
  <c r="BK6" i="17"/>
  <c r="BM6" i="17"/>
  <c r="BO6" i="17"/>
  <c r="BQ6" i="17"/>
  <c r="BS6" i="17"/>
  <c r="BU6" i="17"/>
  <c r="BW6" i="17"/>
  <c r="BY6" i="17"/>
  <c r="CA6" i="17"/>
  <c r="CC6" i="17"/>
  <c r="CE6" i="17"/>
  <c r="CG6" i="17"/>
  <c r="CI6" i="17"/>
  <c r="CK6" i="17"/>
  <c r="CM6" i="17"/>
  <c r="CN6" i="17"/>
  <c r="AM7" i="17"/>
  <c r="AO7" i="17"/>
  <c r="AQ7" i="17"/>
  <c r="AS7" i="17"/>
  <c r="AU7" i="17"/>
  <c r="AW7" i="17"/>
  <c r="AY7" i="17"/>
  <c r="BA7" i="17"/>
  <c r="BC7" i="17"/>
  <c r="BE7" i="17"/>
  <c r="BG7" i="17"/>
  <c r="BI7" i="17"/>
  <c r="BK7" i="17"/>
  <c r="BM7" i="17"/>
  <c r="BO7" i="17"/>
  <c r="BQ7" i="17"/>
  <c r="BS7" i="17"/>
  <c r="BU7" i="17"/>
  <c r="BW7" i="17"/>
  <c r="BY7" i="17"/>
  <c r="CA7" i="17"/>
  <c r="CC7" i="17"/>
  <c r="CE7" i="17"/>
  <c r="CG7" i="17"/>
  <c r="CI7" i="17"/>
  <c r="CK7" i="17"/>
  <c r="CM7" i="17"/>
  <c r="CN7" i="17"/>
  <c r="AM8" i="17"/>
  <c r="AO8" i="17"/>
  <c r="AQ8" i="17"/>
  <c r="AS8" i="17"/>
  <c r="AU8" i="17"/>
  <c r="AW8" i="17"/>
  <c r="AY8" i="17"/>
  <c r="BA8" i="17"/>
  <c r="BC8" i="17"/>
  <c r="BE8" i="17"/>
  <c r="BG8" i="17"/>
  <c r="BI8" i="17"/>
  <c r="BK8" i="17"/>
  <c r="BM8" i="17"/>
  <c r="BO8" i="17"/>
  <c r="BQ8" i="17"/>
  <c r="BS8" i="17"/>
  <c r="BU8" i="17"/>
  <c r="BW8" i="17"/>
  <c r="BY8" i="17"/>
  <c r="CA8" i="17"/>
  <c r="CC8" i="17"/>
  <c r="CE8" i="17"/>
  <c r="CG8" i="17"/>
  <c r="CI8" i="17"/>
  <c r="CK8" i="17"/>
  <c r="CM8" i="17"/>
  <c r="CN8" i="17"/>
  <c r="AM9" i="17"/>
  <c r="AO9" i="17"/>
  <c r="AQ9" i="17"/>
  <c r="AS9" i="17"/>
  <c r="AU9" i="17"/>
  <c r="AW9" i="17"/>
  <c r="AY9" i="17"/>
  <c r="BA9" i="17"/>
  <c r="BC9" i="17"/>
  <c r="BE9" i="17"/>
  <c r="BG9" i="17"/>
  <c r="BI9" i="17"/>
  <c r="BK9" i="17"/>
  <c r="BM9" i="17"/>
  <c r="BO9" i="17"/>
  <c r="BQ9" i="17"/>
  <c r="BS9" i="17"/>
  <c r="BU9" i="17"/>
  <c r="BW9" i="17"/>
  <c r="BY9" i="17"/>
  <c r="CA9" i="17"/>
  <c r="CC9" i="17"/>
  <c r="CE9" i="17"/>
  <c r="CG9" i="17"/>
  <c r="CI9" i="17"/>
  <c r="CK9" i="17"/>
  <c r="CM9" i="17"/>
  <c r="CN9" i="17"/>
  <c r="AM10" i="17"/>
  <c r="AO10" i="17"/>
  <c r="AQ10" i="17"/>
  <c r="AS10" i="17"/>
  <c r="AU10" i="17"/>
  <c r="AW10" i="17"/>
  <c r="AY10" i="17"/>
  <c r="BA10" i="17"/>
  <c r="BC10" i="17"/>
  <c r="BE10" i="17"/>
  <c r="BG10" i="17"/>
  <c r="BI10" i="17"/>
  <c r="BK10" i="17"/>
  <c r="BM10" i="17"/>
  <c r="BO10" i="17"/>
  <c r="BQ10" i="17"/>
  <c r="BS10" i="17"/>
  <c r="BU10" i="17"/>
  <c r="BW10" i="17"/>
  <c r="BY10" i="17"/>
  <c r="CA10" i="17"/>
  <c r="CC10" i="17"/>
  <c r="CE10" i="17"/>
  <c r="CG10" i="17"/>
  <c r="CI10" i="17"/>
  <c r="CK10" i="17"/>
  <c r="CM10" i="17"/>
  <c r="CN10" i="17"/>
  <c r="AM11" i="17"/>
  <c r="AO11" i="17"/>
  <c r="AQ11" i="17"/>
  <c r="AS11" i="17"/>
  <c r="AU11" i="17"/>
  <c r="AW11" i="17"/>
  <c r="AY11" i="17"/>
  <c r="BA11" i="17"/>
  <c r="BC11" i="17"/>
  <c r="BE11" i="17"/>
  <c r="BG11" i="17"/>
  <c r="BI11" i="17"/>
  <c r="BK11" i="17"/>
  <c r="BM11" i="17"/>
  <c r="BO11" i="17"/>
  <c r="BQ11" i="17"/>
  <c r="BS11" i="17"/>
  <c r="BU11" i="17"/>
  <c r="BW11" i="17"/>
  <c r="BY11" i="17"/>
  <c r="CA11" i="17"/>
  <c r="CC11" i="17"/>
  <c r="CE11" i="17"/>
  <c r="CG11" i="17"/>
  <c r="CI11" i="17"/>
  <c r="CK11" i="17"/>
  <c r="CM11" i="17"/>
  <c r="CN11" i="17"/>
  <c r="AM12" i="17"/>
  <c r="AO12" i="17"/>
  <c r="AQ12" i="17"/>
  <c r="AS12" i="17"/>
  <c r="AU12" i="17"/>
  <c r="AW12" i="17"/>
  <c r="AY12" i="17"/>
  <c r="BA12" i="17"/>
  <c r="BC12" i="17"/>
  <c r="BE12" i="17"/>
  <c r="BG12" i="17"/>
  <c r="BI12" i="17"/>
  <c r="BK12" i="17"/>
  <c r="BM12" i="17"/>
  <c r="BO12" i="17"/>
  <c r="BQ12" i="17"/>
  <c r="BS12" i="17"/>
  <c r="BU12" i="17"/>
  <c r="BW12" i="17"/>
  <c r="BY12" i="17"/>
  <c r="CA12" i="17"/>
  <c r="CC12" i="17"/>
  <c r="CE12" i="17"/>
  <c r="CG12" i="17"/>
  <c r="CI12" i="17"/>
  <c r="CK12" i="17"/>
  <c r="CM12" i="17"/>
  <c r="CN12" i="17"/>
  <c r="AM13" i="17"/>
  <c r="AO13" i="17"/>
  <c r="AQ13" i="17"/>
  <c r="AS13" i="17"/>
  <c r="AU13" i="17"/>
  <c r="AW13" i="17"/>
  <c r="AY13" i="17"/>
  <c r="BA13" i="17"/>
  <c r="BC13" i="17"/>
  <c r="BE13" i="17"/>
  <c r="BG13" i="17"/>
  <c r="BI13" i="17"/>
  <c r="BK13" i="17"/>
  <c r="BM13" i="17"/>
  <c r="BO13" i="17"/>
  <c r="BQ13" i="17"/>
  <c r="BS13" i="17"/>
  <c r="BU13" i="17"/>
  <c r="BW13" i="17"/>
  <c r="BY13" i="17"/>
  <c r="CA13" i="17"/>
  <c r="CC13" i="17"/>
  <c r="CE13" i="17"/>
  <c r="CG13" i="17"/>
  <c r="CI13" i="17"/>
  <c r="CK13" i="17"/>
  <c r="CM13" i="17"/>
  <c r="CN13" i="17"/>
  <c r="AM14" i="17"/>
  <c r="AO14" i="17"/>
  <c r="AQ14" i="17"/>
  <c r="AS14" i="17"/>
  <c r="AU14" i="17"/>
  <c r="AW14" i="17"/>
  <c r="AY14" i="17"/>
  <c r="BA14" i="17"/>
  <c r="BC14" i="17"/>
  <c r="BE14" i="17"/>
  <c r="BG14" i="17"/>
  <c r="BI14" i="17"/>
  <c r="BK14" i="17"/>
  <c r="BM14" i="17"/>
  <c r="BO14" i="17"/>
  <c r="BQ14" i="17"/>
  <c r="BS14" i="17"/>
  <c r="BU14" i="17"/>
  <c r="BW14" i="17"/>
  <c r="BY14" i="17"/>
  <c r="CA14" i="17"/>
  <c r="CC14" i="17"/>
  <c r="CE14" i="17"/>
  <c r="CG14" i="17"/>
  <c r="CI14" i="17"/>
  <c r="CK14" i="17"/>
  <c r="CM14" i="17"/>
  <c r="CN14" i="17"/>
  <c r="AM15" i="17"/>
  <c r="AO15" i="17"/>
  <c r="AQ15" i="17"/>
  <c r="AS15" i="17"/>
  <c r="AU15" i="17"/>
  <c r="AW15" i="17"/>
  <c r="AY15" i="17"/>
  <c r="BA15" i="17"/>
  <c r="BC15" i="17"/>
  <c r="BE15" i="17"/>
  <c r="BG15" i="17"/>
  <c r="BI15" i="17"/>
  <c r="BK15" i="17"/>
  <c r="BM15" i="17"/>
  <c r="BO15" i="17"/>
  <c r="BQ15" i="17"/>
  <c r="BS15" i="17"/>
  <c r="BU15" i="17"/>
  <c r="BW15" i="17"/>
  <c r="BY15" i="17"/>
  <c r="CA15" i="17"/>
  <c r="CC15" i="17"/>
  <c r="CE15" i="17"/>
  <c r="CG15" i="17"/>
  <c r="CI15" i="17"/>
  <c r="CK15" i="17"/>
  <c r="CM15" i="17"/>
  <c r="CN15" i="17"/>
  <c r="AM16" i="17"/>
  <c r="AO16" i="17"/>
  <c r="AQ16" i="17"/>
  <c r="AS16" i="17"/>
  <c r="AU16" i="17"/>
  <c r="AW16" i="17"/>
  <c r="AY16" i="17"/>
  <c r="BA16" i="17"/>
  <c r="BC16" i="17"/>
  <c r="BE16" i="17"/>
  <c r="BG16" i="17"/>
  <c r="BI16" i="17"/>
  <c r="BK16" i="17"/>
  <c r="BM16" i="17"/>
  <c r="BO16" i="17"/>
  <c r="BQ16" i="17"/>
  <c r="BS16" i="17"/>
  <c r="BU16" i="17"/>
  <c r="BW16" i="17"/>
  <c r="BY16" i="17"/>
  <c r="CA16" i="17"/>
  <c r="CC16" i="17"/>
  <c r="CE16" i="17"/>
  <c r="CG16" i="17"/>
  <c r="CI16" i="17"/>
  <c r="CK16" i="17"/>
  <c r="CM16" i="17"/>
  <c r="CN16" i="17"/>
  <c r="AM17" i="17"/>
  <c r="AO17" i="17"/>
  <c r="AQ17" i="17"/>
  <c r="AS17" i="17"/>
  <c r="AU17" i="17"/>
  <c r="AW17" i="17"/>
  <c r="AY17" i="17"/>
  <c r="BA17" i="17"/>
  <c r="BC17" i="17"/>
  <c r="BE17" i="17"/>
  <c r="BG17" i="17"/>
  <c r="BI17" i="17"/>
  <c r="BK17" i="17"/>
  <c r="BM17" i="17"/>
  <c r="BO17" i="17"/>
  <c r="BQ17" i="17"/>
  <c r="BS17" i="17"/>
  <c r="BU17" i="17"/>
  <c r="BW17" i="17"/>
  <c r="BY17" i="17"/>
  <c r="CA17" i="17"/>
  <c r="CC17" i="17"/>
  <c r="CE17" i="17"/>
  <c r="CG17" i="17"/>
  <c r="CI17" i="17"/>
  <c r="CK17" i="17"/>
  <c r="CM17" i="17"/>
  <c r="CN17" i="17"/>
  <c r="AM18" i="17"/>
  <c r="AO18" i="17"/>
  <c r="AQ18" i="17"/>
  <c r="AS18" i="17"/>
  <c r="AU18" i="17"/>
  <c r="AW18" i="17"/>
  <c r="AY18" i="17"/>
  <c r="BA18" i="17"/>
  <c r="BC18" i="17"/>
  <c r="BE18" i="17"/>
  <c r="BG18" i="17"/>
  <c r="BI18" i="17"/>
  <c r="BK18" i="17"/>
  <c r="BM18" i="17"/>
  <c r="BO18" i="17"/>
  <c r="BQ18" i="17"/>
  <c r="BS18" i="17"/>
  <c r="BU18" i="17"/>
  <c r="BW18" i="17"/>
  <c r="BY18" i="17"/>
  <c r="CA18" i="17"/>
  <c r="CC18" i="17"/>
  <c r="CE18" i="17"/>
  <c r="CG18" i="17"/>
  <c r="CI18" i="17"/>
  <c r="CK18" i="17"/>
  <c r="CM18" i="17"/>
  <c r="CN18" i="17"/>
  <c r="AM19" i="17"/>
  <c r="AO19" i="17"/>
  <c r="AQ19" i="17"/>
  <c r="AS19" i="17"/>
  <c r="AU19" i="17"/>
  <c r="AW19" i="17"/>
  <c r="AY19" i="17"/>
  <c r="BA19" i="17"/>
  <c r="BC19" i="17"/>
  <c r="BE19" i="17"/>
  <c r="BG19" i="17"/>
  <c r="BI19" i="17"/>
  <c r="BK19" i="17"/>
  <c r="BM19" i="17"/>
  <c r="BO19" i="17"/>
  <c r="BQ19" i="17"/>
  <c r="BS19" i="17"/>
  <c r="BU19" i="17"/>
  <c r="BW19" i="17"/>
  <c r="BY19" i="17"/>
  <c r="CA19" i="17"/>
  <c r="CC19" i="17"/>
  <c r="CE19" i="17"/>
  <c r="CG19" i="17"/>
  <c r="CI19" i="17"/>
  <c r="CK19" i="17"/>
  <c r="CM19" i="17"/>
  <c r="CN19" i="17"/>
  <c r="AM20" i="17"/>
  <c r="AO20" i="17"/>
  <c r="AQ20" i="17"/>
  <c r="AS20" i="17"/>
  <c r="AU20" i="17"/>
  <c r="AW20" i="17"/>
  <c r="AY20" i="17"/>
  <c r="BA20" i="17"/>
  <c r="BC20" i="17"/>
  <c r="BE20" i="17"/>
  <c r="BG20" i="17"/>
  <c r="BI20" i="17"/>
  <c r="BK20" i="17"/>
  <c r="BM20" i="17"/>
  <c r="BO20" i="17"/>
  <c r="BQ20" i="17"/>
  <c r="BS20" i="17"/>
  <c r="BU20" i="17"/>
  <c r="BW20" i="17"/>
  <c r="BY20" i="17"/>
  <c r="CA20" i="17"/>
  <c r="CC20" i="17"/>
  <c r="CE20" i="17"/>
  <c r="CG20" i="17"/>
  <c r="CI20" i="17"/>
  <c r="CK20" i="17"/>
  <c r="CM20" i="17"/>
  <c r="CN20" i="17"/>
  <c r="AM21" i="17"/>
  <c r="AO21" i="17"/>
  <c r="AQ21" i="17"/>
  <c r="AS21" i="17"/>
  <c r="AU21" i="17"/>
  <c r="AW21" i="17"/>
  <c r="AY21" i="17"/>
  <c r="BA21" i="17"/>
  <c r="BC21" i="17"/>
  <c r="BE21" i="17"/>
  <c r="BG21" i="17"/>
  <c r="BI21" i="17"/>
  <c r="BK21" i="17"/>
  <c r="BM21" i="17"/>
  <c r="BO21" i="17"/>
  <c r="BQ21" i="17"/>
  <c r="BS21" i="17"/>
  <c r="BU21" i="17"/>
  <c r="BW21" i="17"/>
  <c r="BY21" i="17"/>
  <c r="CA21" i="17"/>
  <c r="CC21" i="17"/>
  <c r="CE21" i="17"/>
  <c r="CG21" i="17"/>
  <c r="CI21" i="17"/>
  <c r="CK21" i="17"/>
  <c r="CM21" i="17"/>
  <c r="CN21" i="17"/>
  <c r="AM22" i="17"/>
  <c r="AO22" i="17"/>
  <c r="AQ22" i="17"/>
  <c r="AS22" i="17"/>
  <c r="AU22" i="17"/>
  <c r="AW22" i="17"/>
  <c r="AY22" i="17"/>
  <c r="BA22" i="17"/>
  <c r="BC22" i="17"/>
  <c r="BE22" i="17"/>
  <c r="BG22" i="17"/>
  <c r="BI22" i="17"/>
  <c r="BK22" i="17"/>
  <c r="BM22" i="17"/>
  <c r="BO22" i="17"/>
  <c r="BQ22" i="17"/>
  <c r="BS22" i="17"/>
  <c r="BU22" i="17"/>
  <c r="BW22" i="17"/>
  <c r="BY22" i="17"/>
  <c r="CA22" i="17"/>
  <c r="CC22" i="17"/>
  <c r="CE22" i="17"/>
  <c r="CG22" i="17"/>
  <c r="CI22" i="17"/>
  <c r="CK22" i="17"/>
  <c r="CM22" i="17"/>
  <c r="CN22" i="17"/>
  <c r="AM23" i="17"/>
  <c r="AO23" i="17"/>
  <c r="AQ23" i="17"/>
  <c r="AS23" i="17"/>
  <c r="AU23" i="17"/>
  <c r="AW23" i="17"/>
  <c r="AY23" i="17"/>
  <c r="BA23" i="17"/>
  <c r="BC23" i="17"/>
  <c r="BE23" i="17"/>
  <c r="BG23" i="17"/>
  <c r="BI23" i="17"/>
  <c r="BK23" i="17"/>
  <c r="BM23" i="17"/>
  <c r="BO23" i="17"/>
  <c r="BQ23" i="17"/>
  <c r="BS23" i="17"/>
  <c r="BU23" i="17"/>
  <c r="BW23" i="17"/>
  <c r="BY23" i="17"/>
  <c r="CA23" i="17"/>
  <c r="CC23" i="17"/>
  <c r="CE23" i="17"/>
  <c r="CG23" i="17"/>
  <c r="CI23" i="17"/>
  <c r="CK23" i="17"/>
  <c r="CM23" i="17"/>
  <c r="CN23" i="17"/>
  <c r="AM24" i="17"/>
  <c r="AO24" i="17"/>
  <c r="AQ24" i="17"/>
  <c r="AS24" i="17"/>
  <c r="AU24" i="17"/>
  <c r="AW24" i="17"/>
  <c r="AY24" i="17"/>
  <c r="BA24" i="17"/>
  <c r="BC24" i="17"/>
  <c r="BE24" i="17"/>
  <c r="BG24" i="17"/>
  <c r="BI24" i="17"/>
  <c r="BK24" i="17"/>
  <c r="BM24" i="17"/>
  <c r="BO24" i="17"/>
  <c r="BQ24" i="17"/>
  <c r="BS24" i="17"/>
  <c r="BU24" i="17"/>
  <c r="BW24" i="17"/>
  <c r="BY24" i="17"/>
  <c r="CA24" i="17"/>
  <c r="CC24" i="17"/>
  <c r="CE24" i="17"/>
  <c r="CG24" i="17"/>
  <c r="CI24" i="17"/>
  <c r="CK24" i="17"/>
  <c r="CM24" i="17"/>
  <c r="CN24" i="17"/>
  <c r="AM25" i="17"/>
  <c r="AO25" i="17"/>
  <c r="AQ25" i="17"/>
  <c r="AS25" i="17"/>
  <c r="AU25" i="17"/>
  <c r="AW25" i="17"/>
  <c r="AY25" i="17"/>
  <c r="BA25" i="17"/>
  <c r="BC25" i="17"/>
  <c r="BE25" i="17"/>
  <c r="BG25" i="17"/>
  <c r="BI25" i="17"/>
  <c r="BK25" i="17"/>
  <c r="BM25" i="17"/>
  <c r="BO25" i="17"/>
  <c r="BQ25" i="17"/>
  <c r="BS25" i="17"/>
  <c r="BU25" i="17"/>
  <c r="BW25" i="17"/>
  <c r="BY25" i="17"/>
  <c r="CA25" i="17"/>
  <c r="CC25" i="17"/>
  <c r="CE25" i="17"/>
  <c r="CG25" i="17"/>
  <c r="CI25" i="17"/>
  <c r="CK25" i="17"/>
  <c r="CM25" i="17"/>
  <c r="CN25" i="17"/>
  <c r="AM26" i="17"/>
  <c r="AO26" i="17"/>
  <c r="AQ26" i="17"/>
  <c r="AS26" i="17"/>
  <c r="AU26" i="17"/>
  <c r="AW26" i="17"/>
  <c r="AY26" i="17"/>
  <c r="BA26" i="17"/>
  <c r="BC26" i="17"/>
  <c r="BE26" i="17"/>
  <c r="BG26" i="17"/>
  <c r="BI26" i="17"/>
  <c r="BK26" i="17"/>
  <c r="BM26" i="17"/>
  <c r="BO26" i="17"/>
  <c r="BQ26" i="17"/>
  <c r="BS26" i="17"/>
  <c r="BU26" i="17"/>
  <c r="BW26" i="17"/>
  <c r="BY26" i="17"/>
  <c r="CA26" i="17"/>
  <c r="CC26" i="17"/>
  <c r="CE26" i="17"/>
  <c r="CG26" i="17"/>
  <c r="CI26" i="17"/>
  <c r="CK26" i="17"/>
  <c r="CM26" i="17"/>
  <c r="CN26" i="17"/>
  <c r="AM27" i="17"/>
  <c r="AO27" i="17"/>
  <c r="AQ27" i="17"/>
  <c r="AS27" i="17"/>
  <c r="AU27" i="17"/>
  <c r="AW27" i="17"/>
  <c r="AY27" i="17"/>
  <c r="BA27" i="17"/>
  <c r="BC27" i="17"/>
  <c r="BE27" i="17"/>
  <c r="BG27" i="17"/>
  <c r="BI27" i="17"/>
  <c r="BK27" i="17"/>
  <c r="BM27" i="17"/>
  <c r="BO27" i="17"/>
  <c r="BQ27" i="17"/>
  <c r="BS27" i="17"/>
  <c r="BU27" i="17"/>
  <c r="BW27" i="17"/>
  <c r="BY27" i="17"/>
  <c r="CA27" i="17"/>
  <c r="CC27" i="17"/>
  <c r="CE27" i="17"/>
  <c r="CG27" i="17"/>
  <c r="CI27" i="17"/>
  <c r="CK27" i="17"/>
  <c r="CM27" i="17"/>
  <c r="CN27" i="17"/>
  <c r="AM28" i="17"/>
  <c r="AO28" i="17"/>
  <c r="AQ28" i="17"/>
  <c r="AS28" i="17"/>
  <c r="AU28" i="17"/>
  <c r="AW28" i="17"/>
  <c r="AY28" i="17"/>
  <c r="BA28" i="17"/>
  <c r="BC28" i="17"/>
  <c r="BE28" i="17"/>
  <c r="BG28" i="17"/>
  <c r="BI28" i="17"/>
  <c r="BK28" i="17"/>
  <c r="BM28" i="17"/>
  <c r="BO28" i="17"/>
  <c r="BQ28" i="17"/>
  <c r="BS28" i="17"/>
  <c r="BU28" i="17"/>
  <c r="BW28" i="17"/>
  <c r="BY28" i="17"/>
  <c r="CA28" i="17"/>
  <c r="CC28" i="17"/>
  <c r="CE28" i="17"/>
  <c r="CG28" i="17"/>
  <c r="CI28" i="17"/>
  <c r="CK28" i="17"/>
  <c r="CM28" i="17"/>
  <c r="CN28" i="17"/>
  <c r="AM29" i="17"/>
  <c r="AO29" i="17"/>
  <c r="AQ29" i="17"/>
  <c r="AS29" i="17"/>
  <c r="AU29" i="17"/>
  <c r="AW29" i="17"/>
  <c r="AY29" i="17"/>
  <c r="BA29" i="17"/>
  <c r="BC29" i="17"/>
  <c r="BE29" i="17"/>
  <c r="BG29" i="17"/>
  <c r="BI29" i="17"/>
  <c r="BK29" i="17"/>
  <c r="BM29" i="17"/>
  <c r="BO29" i="17"/>
  <c r="BQ29" i="17"/>
  <c r="BS29" i="17"/>
  <c r="BU29" i="17"/>
  <c r="BW29" i="17"/>
  <c r="BY29" i="17"/>
  <c r="CA29" i="17"/>
  <c r="CC29" i="17"/>
  <c r="CE29" i="17"/>
  <c r="CG29" i="17"/>
  <c r="CI29" i="17"/>
  <c r="CK29" i="17"/>
  <c r="CM29" i="17"/>
  <c r="CN29" i="17"/>
  <c r="AM30" i="17"/>
  <c r="AO30" i="17"/>
  <c r="AQ30" i="17"/>
  <c r="AS30" i="17"/>
  <c r="AU30" i="17"/>
  <c r="AW30" i="17"/>
  <c r="AY30" i="17"/>
  <c r="BA30" i="17"/>
  <c r="BC30" i="17"/>
  <c r="BE30" i="17"/>
  <c r="BG30" i="17"/>
  <c r="BI30" i="17"/>
  <c r="BK30" i="17"/>
  <c r="BM30" i="17"/>
  <c r="BO30" i="17"/>
  <c r="BQ30" i="17"/>
  <c r="BS30" i="17"/>
  <c r="BU30" i="17"/>
  <c r="BW30" i="17"/>
  <c r="BY30" i="17"/>
  <c r="CA30" i="17"/>
  <c r="CC30" i="17"/>
  <c r="CE30" i="17"/>
  <c r="CG30" i="17"/>
  <c r="CI30" i="17"/>
  <c r="CK30" i="17"/>
  <c r="CM30" i="17"/>
  <c r="CN30" i="17"/>
  <c r="AM31" i="17"/>
  <c r="AO31" i="17"/>
  <c r="AQ31" i="17"/>
  <c r="AS31" i="17"/>
  <c r="AU31" i="17"/>
  <c r="AW31" i="17"/>
  <c r="AY31" i="17"/>
  <c r="BA31" i="17"/>
  <c r="BC31" i="17"/>
  <c r="BE31" i="17"/>
  <c r="BG31" i="17"/>
  <c r="BI31" i="17"/>
  <c r="BK31" i="17"/>
  <c r="BM31" i="17"/>
  <c r="BO31" i="17"/>
  <c r="BQ31" i="17"/>
  <c r="BS31" i="17"/>
  <c r="BU31" i="17"/>
  <c r="BW31" i="17"/>
  <c r="BY31" i="17"/>
  <c r="CA31" i="17"/>
  <c r="CC31" i="17"/>
  <c r="CE31" i="17"/>
  <c r="CG31" i="17"/>
  <c r="CI31" i="17"/>
  <c r="CK31" i="17"/>
  <c r="CM31" i="17"/>
  <c r="CN31" i="17"/>
  <c r="AM33" i="17"/>
  <c r="AO33" i="17"/>
  <c r="AQ33" i="17"/>
  <c r="AS33" i="17"/>
  <c r="AU33" i="17"/>
  <c r="AW33" i="17"/>
  <c r="AY33" i="17"/>
  <c r="BA33" i="17"/>
  <c r="BC33" i="17"/>
  <c r="BE33" i="17"/>
  <c r="BG33" i="17"/>
  <c r="BI33" i="17"/>
  <c r="BK33" i="17"/>
  <c r="BM33" i="17"/>
  <c r="BO33" i="17"/>
  <c r="BQ33" i="17"/>
  <c r="BS33" i="17"/>
  <c r="BU33" i="17"/>
  <c r="BW33" i="17"/>
  <c r="BY33" i="17"/>
  <c r="CA33" i="17"/>
  <c r="CC33" i="17"/>
  <c r="CE33" i="17"/>
  <c r="CG33" i="17"/>
  <c r="CI33" i="17"/>
  <c r="CK33" i="17"/>
  <c r="CM33" i="17"/>
  <c r="CN33" i="17"/>
  <c r="AM34" i="17"/>
  <c r="AO34" i="17"/>
  <c r="AQ34" i="17"/>
  <c r="AS34" i="17"/>
  <c r="AU34" i="17"/>
  <c r="AW34" i="17"/>
  <c r="AY34" i="17"/>
  <c r="BA34" i="17"/>
  <c r="BC34" i="17"/>
  <c r="BE34" i="17"/>
  <c r="BG34" i="17"/>
  <c r="BI34" i="17"/>
  <c r="BK34" i="17"/>
  <c r="BM34" i="17"/>
  <c r="BO34" i="17"/>
  <c r="BQ34" i="17"/>
  <c r="BS34" i="17"/>
  <c r="BU34" i="17"/>
  <c r="BW34" i="17"/>
  <c r="BY34" i="17"/>
  <c r="CA34" i="17"/>
  <c r="CC34" i="17"/>
  <c r="CE34" i="17"/>
  <c r="CG34" i="17"/>
  <c r="CI34" i="17"/>
  <c r="CK34" i="17"/>
  <c r="CM34" i="17"/>
  <c r="CN34" i="17"/>
  <c r="AM35" i="17"/>
  <c r="AO35" i="17"/>
  <c r="AQ35" i="17"/>
  <c r="AS35" i="17"/>
  <c r="AU35" i="17"/>
  <c r="AW35" i="17"/>
  <c r="AY35" i="17"/>
  <c r="BA35" i="17"/>
  <c r="BC35" i="17"/>
  <c r="BE35" i="17"/>
  <c r="BG35" i="17"/>
  <c r="BI35" i="17"/>
  <c r="BK35" i="17"/>
  <c r="BM35" i="17"/>
  <c r="BO35" i="17"/>
  <c r="BQ35" i="17"/>
  <c r="BS35" i="17"/>
  <c r="BU35" i="17"/>
  <c r="BW35" i="17"/>
  <c r="BY35" i="17"/>
  <c r="CA35" i="17"/>
  <c r="CC35" i="17"/>
  <c r="CE35" i="17"/>
  <c r="CG35" i="17"/>
  <c r="CI35" i="17"/>
  <c r="CK35" i="17"/>
  <c r="CM35" i="17"/>
  <c r="CN35" i="17"/>
  <c r="CP32" i="17"/>
  <c r="AN5" i="17"/>
  <c r="AP5" i="17"/>
  <c r="AR5" i="17"/>
  <c r="AT5" i="17"/>
  <c r="AV5" i="17"/>
  <c r="AX5" i="17"/>
  <c r="AZ5" i="17"/>
  <c r="BB5" i="17"/>
  <c r="BD5" i="17"/>
  <c r="BF5" i="17"/>
  <c r="BH5" i="17"/>
  <c r="BJ5" i="17"/>
  <c r="BL5" i="17"/>
  <c r="BN5" i="17"/>
  <c r="BP5" i="17"/>
  <c r="BR5" i="17"/>
  <c r="BT5" i="17"/>
  <c r="BV5" i="17"/>
  <c r="BX5" i="17"/>
  <c r="BZ5" i="17"/>
  <c r="CB5" i="17"/>
  <c r="CD5" i="17"/>
  <c r="CF5" i="17"/>
  <c r="CH5" i="17"/>
  <c r="CJ5" i="17"/>
  <c r="CL5" i="17"/>
  <c r="CO5" i="17"/>
  <c r="AN6" i="17"/>
  <c r="AP6" i="17"/>
  <c r="AR6" i="17"/>
  <c r="AT6" i="17"/>
  <c r="AV6" i="17"/>
  <c r="AX6" i="17"/>
  <c r="AZ6" i="17"/>
  <c r="BB6" i="17"/>
  <c r="BD6" i="17"/>
  <c r="BF6" i="17"/>
  <c r="BH6" i="17"/>
  <c r="BJ6" i="17"/>
  <c r="BL6" i="17"/>
  <c r="BN6" i="17"/>
  <c r="BP6" i="17"/>
  <c r="BR6" i="17"/>
  <c r="BT6" i="17"/>
  <c r="BV6" i="17"/>
  <c r="BX6" i="17"/>
  <c r="BZ6" i="17"/>
  <c r="CB6" i="17"/>
  <c r="CD6" i="17"/>
  <c r="CF6" i="17"/>
  <c r="CH6" i="17"/>
  <c r="CJ6" i="17"/>
  <c r="CL6" i="17"/>
  <c r="CO6" i="17"/>
  <c r="AN7" i="17"/>
  <c r="AP7" i="17"/>
  <c r="AR7" i="17"/>
  <c r="AT7" i="17"/>
  <c r="AV7" i="17"/>
  <c r="AX7" i="17"/>
  <c r="AZ7" i="17"/>
  <c r="BB7" i="17"/>
  <c r="BD7" i="17"/>
  <c r="BF7" i="17"/>
  <c r="BH7" i="17"/>
  <c r="BJ7" i="17"/>
  <c r="BL7" i="17"/>
  <c r="BN7" i="17"/>
  <c r="BP7" i="17"/>
  <c r="BR7" i="17"/>
  <c r="BT7" i="17"/>
  <c r="BV7" i="17"/>
  <c r="BX7" i="17"/>
  <c r="BZ7" i="17"/>
  <c r="CB7" i="17"/>
  <c r="CD7" i="17"/>
  <c r="CF7" i="17"/>
  <c r="CH7" i="17"/>
  <c r="CJ7" i="17"/>
  <c r="CL7" i="17"/>
  <c r="CO7" i="17"/>
  <c r="AN8" i="17"/>
  <c r="AP8" i="17"/>
  <c r="AR8" i="17"/>
  <c r="AT8" i="17"/>
  <c r="AV8" i="17"/>
  <c r="AX8" i="17"/>
  <c r="AZ8" i="17"/>
  <c r="BB8" i="17"/>
  <c r="BD8" i="17"/>
  <c r="BF8" i="17"/>
  <c r="BH8" i="17"/>
  <c r="BJ8" i="17"/>
  <c r="BL8" i="17"/>
  <c r="BN8" i="17"/>
  <c r="BP8" i="17"/>
  <c r="BR8" i="17"/>
  <c r="BT8" i="17"/>
  <c r="BV8" i="17"/>
  <c r="BX8" i="17"/>
  <c r="BZ8" i="17"/>
  <c r="CB8" i="17"/>
  <c r="CD8" i="17"/>
  <c r="CF8" i="17"/>
  <c r="CH8" i="17"/>
  <c r="CJ8" i="17"/>
  <c r="CL8" i="17"/>
  <c r="CO8" i="17"/>
  <c r="AN9" i="17"/>
  <c r="AP9" i="17"/>
  <c r="AR9" i="17"/>
  <c r="AT9" i="17"/>
  <c r="AV9" i="17"/>
  <c r="AX9" i="17"/>
  <c r="AZ9" i="17"/>
  <c r="BB9" i="17"/>
  <c r="BD9" i="17"/>
  <c r="BF9" i="17"/>
  <c r="BH9" i="17"/>
  <c r="BJ9" i="17"/>
  <c r="BL9" i="17"/>
  <c r="BN9" i="17"/>
  <c r="BP9" i="17"/>
  <c r="BR9" i="17"/>
  <c r="BT9" i="17"/>
  <c r="BV9" i="17"/>
  <c r="BX9" i="17"/>
  <c r="BZ9" i="17"/>
  <c r="CB9" i="17"/>
  <c r="CD9" i="17"/>
  <c r="CF9" i="17"/>
  <c r="CH9" i="17"/>
  <c r="CJ9" i="17"/>
  <c r="CL9" i="17"/>
  <c r="CO9" i="17"/>
  <c r="AN10" i="17"/>
  <c r="AP10" i="17"/>
  <c r="AR10" i="17"/>
  <c r="AT10" i="17"/>
  <c r="AV10" i="17"/>
  <c r="AX10" i="17"/>
  <c r="AZ10" i="17"/>
  <c r="BB10" i="17"/>
  <c r="BD10" i="17"/>
  <c r="BF10" i="17"/>
  <c r="BH10" i="17"/>
  <c r="BJ10" i="17"/>
  <c r="BL10" i="17"/>
  <c r="BN10" i="17"/>
  <c r="BP10" i="17"/>
  <c r="BR10" i="17"/>
  <c r="BT10" i="17"/>
  <c r="BV10" i="17"/>
  <c r="BX10" i="17"/>
  <c r="BZ10" i="17"/>
  <c r="CB10" i="17"/>
  <c r="CD10" i="17"/>
  <c r="CF10" i="17"/>
  <c r="CH10" i="17"/>
  <c r="CJ10" i="17"/>
  <c r="CL10" i="17"/>
  <c r="CO10" i="17"/>
  <c r="AN11" i="17"/>
  <c r="AP11" i="17"/>
  <c r="AR11" i="17"/>
  <c r="AT11" i="17"/>
  <c r="AV11" i="17"/>
  <c r="AX11" i="17"/>
  <c r="AZ11" i="17"/>
  <c r="BB11" i="17"/>
  <c r="BD11" i="17"/>
  <c r="BF11" i="17"/>
  <c r="BH11" i="17"/>
  <c r="BJ11" i="17"/>
  <c r="BL11" i="17"/>
  <c r="BN11" i="17"/>
  <c r="BP11" i="17"/>
  <c r="BR11" i="17"/>
  <c r="BT11" i="17"/>
  <c r="BV11" i="17"/>
  <c r="BX11" i="17"/>
  <c r="BZ11" i="17"/>
  <c r="CB11" i="17"/>
  <c r="CD11" i="17"/>
  <c r="CF11" i="17"/>
  <c r="CH11" i="17"/>
  <c r="CJ11" i="17"/>
  <c r="CL11" i="17"/>
  <c r="CO11" i="17"/>
  <c r="AN12" i="17"/>
  <c r="AP12" i="17"/>
  <c r="AR12" i="17"/>
  <c r="AT12" i="17"/>
  <c r="AV12" i="17"/>
  <c r="AX12" i="17"/>
  <c r="AZ12" i="17"/>
  <c r="BB12" i="17"/>
  <c r="BD12" i="17"/>
  <c r="BF12" i="17"/>
  <c r="BH12" i="17"/>
  <c r="BJ12" i="17"/>
  <c r="BL12" i="17"/>
  <c r="BN12" i="17"/>
  <c r="BP12" i="17"/>
  <c r="BR12" i="17"/>
  <c r="BT12" i="17"/>
  <c r="BV12" i="17"/>
  <c r="BX12" i="17"/>
  <c r="BZ12" i="17"/>
  <c r="CB12" i="17"/>
  <c r="CD12" i="17"/>
  <c r="CF12" i="17"/>
  <c r="CH12" i="17"/>
  <c r="CJ12" i="17"/>
  <c r="CL12" i="17"/>
  <c r="CO12" i="17"/>
  <c r="AN13" i="17"/>
  <c r="AP13" i="17"/>
  <c r="AR13" i="17"/>
  <c r="AT13" i="17"/>
  <c r="AV13" i="17"/>
  <c r="AX13" i="17"/>
  <c r="AZ13" i="17"/>
  <c r="BB13" i="17"/>
  <c r="BD13" i="17"/>
  <c r="BF13" i="17"/>
  <c r="BH13" i="17"/>
  <c r="BJ13" i="17"/>
  <c r="BL13" i="17"/>
  <c r="BN13" i="17"/>
  <c r="BP13" i="17"/>
  <c r="BR13" i="17"/>
  <c r="BT13" i="17"/>
  <c r="BV13" i="17"/>
  <c r="BX13" i="17"/>
  <c r="BZ13" i="17"/>
  <c r="CB13" i="17"/>
  <c r="CD13" i="17"/>
  <c r="CF13" i="17"/>
  <c r="CH13" i="17"/>
  <c r="CJ13" i="17"/>
  <c r="CL13" i="17"/>
  <c r="CO13" i="17"/>
  <c r="AN14" i="17"/>
  <c r="AP14" i="17"/>
  <c r="AR14" i="17"/>
  <c r="AT14" i="17"/>
  <c r="AV14" i="17"/>
  <c r="AX14" i="17"/>
  <c r="AZ14" i="17"/>
  <c r="BB14" i="17"/>
  <c r="BD14" i="17"/>
  <c r="BF14" i="17"/>
  <c r="BH14" i="17"/>
  <c r="BJ14" i="17"/>
  <c r="BL14" i="17"/>
  <c r="BN14" i="17"/>
  <c r="BP14" i="17"/>
  <c r="BR14" i="17"/>
  <c r="BT14" i="17"/>
  <c r="BV14" i="17"/>
  <c r="BX14" i="17"/>
  <c r="BZ14" i="17"/>
  <c r="CB14" i="17"/>
  <c r="CD14" i="17"/>
  <c r="CF14" i="17"/>
  <c r="CH14" i="17"/>
  <c r="CJ14" i="17"/>
  <c r="CL14" i="17"/>
  <c r="CO14" i="17"/>
  <c r="AN15" i="17"/>
  <c r="AP15" i="17"/>
  <c r="AR15" i="17"/>
  <c r="AT15" i="17"/>
  <c r="AV15" i="17"/>
  <c r="AX15" i="17"/>
  <c r="AZ15" i="17"/>
  <c r="BB15" i="17"/>
  <c r="BD15" i="17"/>
  <c r="BF15" i="17"/>
  <c r="BH15" i="17"/>
  <c r="BJ15" i="17"/>
  <c r="BL15" i="17"/>
  <c r="BN15" i="17"/>
  <c r="BP15" i="17"/>
  <c r="BR15" i="17"/>
  <c r="BT15" i="17"/>
  <c r="BV15" i="17"/>
  <c r="BX15" i="17"/>
  <c r="BZ15" i="17"/>
  <c r="CB15" i="17"/>
  <c r="CD15" i="17"/>
  <c r="CF15" i="17"/>
  <c r="CH15" i="17"/>
  <c r="CJ15" i="17"/>
  <c r="CL15" i="17"/>
  <c r="CO15" i="17"/>
  <c r="AN16" i="17"/>
  <c r="AP16" i="17"/>
  <c r="AR16" i="17"/>
  <c r="AT16" i="17"/>
  <c r="AV16" i="17"/>
  <c r="AX16" i="17"/>
  <c r="AZ16" i="17"/>
  <c r="BB16" i="17"/>
  <c r="BD16" i="17"/>
  <c r="BF16" i="17"/>
  <c r="BH16" i="17"/>
  <c r="BJ16" i="17"/>
  <c r="BL16" i="17"/>
  <c r="BN16" i="17"/>
  <c r="BP16" i="17"/>
  <c r="BR16" i="17"/>
  <c r="BT16" i="17"/>
  <c r="BV16" i="17"/>
  <c r="BX16" i="17"/>
  <c r="BZ16" i="17"/>
  <c r="CB16" i="17"/>
  <c r="CD16" i="17"/>
  <c r="CF16" i="17"/>
  <c r="CH16" i="17"/>
  <c r="CJ16" i="17"/>
  <c r="CL16" i="17"/>
  <c r="CO16" i="17"/>
  <c r="AN17" i="17"/>
  <c r="AP17" i="17"/>
  <c r="AR17" i="17"/>
  <c r="AT17" i="17"/>
  <c r="AV17" i="17"/>
  <c r="AX17" i="17"/>
  <c r="AZ17" i="17"/>
  <c r="BB17" i="17"/>
  <c r="BD17" i="17"/>
  <c r="BF17" i="17"/>
  <c r="BH17" i="17"/>
  <c r="BJ17" i="17"/>
  <c r="BL17" i="17"/>
  <c r="BN17" i="17"/>
  <c r="BP17" i="17"/>
  <c r="BR17" i="17"/>
  <c r="BT17" i="17"/>
  <c r="BV17" i="17"/>
  <c r="BX17" i="17"/>
  <c r="BZ17" i="17"/>
  <c r="CB17" i="17"/>
  <c r="CD17" i="17"/>
  <c r="CF17" i="17"/>
  <c r="CH17" i="17"/>
  <c r="CJ17" i="17"/>
  <c r="CL17" i="17"/>
  <c r="CO17" i="17"/>
  <c r="AN18" i="17"/>
  <c r="AP18" i="17"/>
  <c r="AR18" i="17"/>
  <c r="AT18" i="17"/>
  <c r="AV18" i="17"/>
  <c r="AX18" i="17"/>
  <c r="AZ18" i="17"/>
  <c r="BB18" i="17"/>
  <c r="BD18" i="17"/>
  <c r="BF18" i="17"/>
  <c r="BH18" i="17"/>
  <c r="BJ18" i="17"/>
  <c r="BL18" i="17"/>
  <c r="BN18" i="17"/>
  <c r="BP18" i="17"/>
  <c r="BR18" i="17"/>
  <c r="BT18" i="17"/>
  <c r="BV18" i="17"/>
  <c r="BX18" i="17"/>
  <c r="BZ18" i="17"/>
  <c r="CB18" i="17"/>
  <c r="CD18" i="17"/>
  <c r="CF18" i="17"/>
  <c r="CH18" i="17"/>
  <c r="CJ18" i="17"/>
  <c r="CL18" i="17"/>
  <c r="CO18" i="17"/>
  <c r="AN19" i="17"/>
  <c r="AP19" i="17"/>
  <c r="AR19" i="17"/>
  <c r="AT19" i="17"/>
  <c r="AV19" i="17"/>
  <c r="AX19" i="17"/>
  <c r="AZ19" i="17"/>
  <c r="BB19" i="17"/>
  <c r="BD19" i="17"/>
  <c r="BF19" i="17"/>
  <c r="BH19" i="17"/>
  <c r="BJ19" i="17"/>
  <c r="BL19" i="17"/>
  <c r="BN19" i="17"/>
  <c r="BP19" i="17"/>
  <c r="BR19" i="17"/>
  <c r="BT19" i="17"/>
  <c r="BV19" i="17"/>
  <c r="BX19" i="17"/>
  <c r="BZ19" i="17"/>
  <c r="CB19" i="17"/>
  <c r="CD19" i="17"/>
  <c r="CF19" i="17"/>
  <c r="CH19" i="17"/>
  <c r="CJ19" i="17"/>
  <c r="CL19" i="17"/>
  <c r="CO19" i="17"/>
  <c r="AN20" i="17"/>
  <c r="AP20" i="17"/>
  <c r="AR20" i="17"/>
  <c r="AT20" i="17"/>
  <c r="AV20" i="17"/>
  <c r="AX20" i="17"/>
  <c r="AZ20" i="17"/>
  <c r="BB20" i="17"/>
  <c r="BD20" i="17"/>
  <c r="BF20" i="17"/>
  <c r="BH20" i="17"/>
  <c r="BJ20" i="17"/>
  <c r="BL20" i="17"/>
  <c r="BN20" i="17"/>
  <c r="BP20" i="17"/>
  <c r="BR20" i="17"/>
  <c r="BT20" i="17"/>
  <c r="BV20" i="17"/>
  <c r="BX20" i="17"/>
  <c r="BZ20" i="17"/>
  <c r="CB20" i="17"/>
  <c r="CD20" i="17"/>
  <c r="CF20" i="17"/>
  <c r="CH20" i="17"/>
  <c r="CJ20" i="17"/>
  <c r="CL20" i="17"/>
  <c r="CO20" i="17"/>
  <c r="AN21" i="17"/>
  <c r="AP21" i="17"/>
  <c r="AR21" i="17"/>
  <c r="AT21" i="17"/>
  <c r="AV21" i="17"/>
  <c r="AX21" i="17"/>
  <c r="AZ21" i="17"/>
  <c r="BB21" i="17"/>
  <c r="BD21" i="17"/>
  <c r="BF21" i="17"/>
  <c r="BH21" i="17"/>
  <c r="BJ21" i="17"/>
  <c r="BL21" i="17"/>
  <c r="BN21" i="17"/>
  <c r="BP21" i="17"/>
  <c r="BR21" i="17"/>
  <c r="BT21" i="17"/>
  <c r="BV21" i="17"/>
  <c r="BX21" i="17"/>
  <c r="BZ21" i="17"/>
  <c r="CB21" i="17"/>
  <c r="CD21" i="17"/>
  <c r="CF21" i="17"/>
  <c r="CH21" i="17"/>
  <c r="CJ21" i="17"/>
  <c r="CL21" i="17"/>
  <c r="CO21" i="17"/>
  <c r="AN22" i="17"/>
  <c r="AP22" i="17"/>
  <c r="AR22" i="17"/>
  <c r="AT22" i="17"/>
  <c r="AV22" i="17"/>
  <c r="AX22" i="17"/>
  <c r="AZ22" i="17"/>
  <c r="BB22" i="17"/>
  <c r="BD22" i="17"/>
  <c r="BF22" i="17"/>
  <c r="BH22" i="17"/>
  <c r="BJ22" i="17"/>
  <c r="BL22" i="17"/>
  <c r="BN22" i="17"/>
  <c r="BP22" i="17"/>
  <c r="BR22" i="17"/>
  <c r="BT22" i="17"/>
  <c r="BV22" i="17"/>
  <c r="BX22" i="17"/>
  <c r="BZ22" i="17"/>
  <c r="CB22" i="17"/>
  <c r="CD22" i="17"/>
  <c r="CF22" i="17"/>
  <c r="CH22" i="17"/>
  <c r="CJ22" i="17"/>
  <c r="CL22" i="17"/>
  <c r="CO22" i="17"/>
  <c r="AN23" i="17"/>
  <c r="AP23" i="17"/>
  <c r="AR23" i="17"/>
  <c r="AT23" i="17"/>
  <c r="AV23" i="17"/>
  <c r="AX23" i="17"/>
  <c r="AZ23" i="17"/>
  <c r="BB23" i="17"/>
  <c r="BD23" i="17"/>
  <c r="BF23" i="17"/>
  <c r="BH23" i="17"/>
  <c r="BJ23" i="17"/>
  <c r="BL23" i="17"/>
  <c r="BN23" i="17"/>
  <c r="BP23" i="17"/>
  <c r="BR23" i="17"/>
  <c r="BT23" i="17"/>
  <c r="BV23" i="17"/>
  <c r="BX23" i="17"/>
  <c r="BZ23" i="17"/>
  <c r="CB23" i="17"/>
  <c r="CD23" i="17"/>
  <c r="CF23" i="17"/>
  <c r="CH23" i="17"/>
  <c r="CJ23" i="17"/>
  <c r="CL23" i="17"/>
  <c r="CO23" i="17"/>
  <c r="AN24" i="17"/>
  <c r="AP24" i="17"/>
  <c r="AR24" i="17"/>
  <c r="AT24" i="17"/>
  <c r="AV24" i="17"/>
  <c r="AX24" i="17"/>
  <c r="AZ24" i="17"/>
  <c r="BB24" i="17"/>
  <c r="BD24" i="17"/>
  <c r="BF24" i="17"/>
  <c r="BH24" i="17"/>
  <c r="BJ24" i="17"/>
  <c r="BL24" i="17"/>
  <c r="BN24" i="17"/>
  <c r="BP24" i="17"/>
  <c r="BR24" i="17"/>
  <c r="BT24" i="17"/>
  <c r="BV24" i="17"/>
  <c r="BX24" i="17"/>
  <c r="BZ24" i="17"/>
  <c r="CB24" i="17"/>
  <c r="CD24" i="17"/>
  <c r="CF24" i="17"/>
  <c r="CH24" i="17"/>
  <c r="CJ24" i="17"/>
  <c r="CL24" i="17"/>
  <c r="CO24" i="17"/>
  <c r="AN25" i="17"/>
  <c r="AP25" i="17"/>
  <c r="AR25" i="17"/>
  <c r="AT25" i="17"/>
  <c r="AV25" i="17"/>
  <c r="AX25" i="17"/>
  <c r="AZ25" i="17"/>
  <c r="BB25" i="17"/>
  <c r="BD25" i="17"/>
  <c r="BF25" i="17"/>
  <c r="BH25" i="17"/>
  <c r="BJ25" i="17"/>
  <c r="BL25" i="17"/>
  <c r="BN25" i="17"/>
  <c r="BP25" i="17"/>
  <c r="BR25" i="17"/>
  <c r="BT25" i="17"/>
  <c r="BV25" i="17"/>
  <c r="BX25" i="17"/>
  <c r="BZ25" i="17"/>
  <c r="CB25" i="17"/>
  <c r="CD25" i="17"/>
  <c r="CF25" i="17"/>
  <c r="CH25" i="17"/>
  <c r="CJ25" i="17"/>
  <c r="CL25" i="17"/>
  <c r="CO25" i="17"/>
  <c r="AN26" i="17"/>
  <c r="AP26" i="17"/>
  <c r="AR26" i="17"/>
  <c r="AT26" i="17"/>
  <c r="AV26" i="17"/>
  <c r="AX26" i="17"/>
  <c r="AZ26" i="17"/>
  <c r="BB26" i="17"/>
  <c r="BD26" i="17"/>
  <c r="BF26" i="17"/>
  <c r="BH26" i="17"/>
  <c r="BJ26" i="17"/>
  <c r="BL26" i="17"/>
  <c r="BN26" i="17"/>
  <c r="BP26" i="17"/>
  <c r="BR26" i="17"/>
  <c r="BT26" i="17"/>
  <c r="BV26" i="17"/>
  <c r="BX26" i="17"/>
  <c r="BZ26" i="17"/>
  <c r="CB26" i="17"/>
  <c r="CD26" i="17"/>
  <c r="CF26" i="17"/>
  <c r="CH26" i="17"/>
  <c r="CJ26" i="17"/>
  <c r="CL26" i="17"/>
  <c r="CO26" i="17"/>
  <c r="AN27" i="17"/>
  <c r="AP27" i="17"/>
  <c r="AR27" i="17"/>
  <c r="AT27" i="17"/>
  <c r="AV27" i="17"/>
  <c r="AX27" i="17"/>
  <c r="AZ27" i="17"/>
  <c r="BB27" i="17"/>
  <c r="BD27" i="17"/>
  <c r="BF27" i="17"/>
  <c r="BH27" i="17"/>
  <c r="BJ27" i="17"/>
  <c r="BL27" i="17"/>
  <c r="BN27" i="17"/>
  <c r="BP27" i="17"/>
  <c r="BR27" i="17"/>
  <c r="BT27" i="17"/>
  <c r="BV27" i="17"/>
  <c r="BX27" i="17"/>
  <c r="BZ27" i="17"/>
  <c r="CB27" i="17"/>
  <c r="CD27" i="17"/>
  <c r="CF27" i="17"/>
  <c r="CH27" i="17"/>
  <c r="CJ27" i="17"/>
  <c r="CL27" i="17"/>
  <c r="CO27" i="17"/>
  <c r="AN28" i="17"/>
  <c r="AP28" i="17"/>
  <c r="AR28" i="17"/>
  <c r="AT28" i="17"/>
  <c r="AV28" i="17"/>
  <c r="AX28" i="17"/>
  <c r="AZ28" i="17"/>
  <c r="BB28" i="17"/>
  <c r="BD28" i="17"/>
  <c r="BF28" i="17"/>
  <c r="BH28" i="17"/>
  <c r="BJ28" i="17"/>
  <c r="BL28" i="17"/>
  <c r="BN28" i="17"/>
  <c r="BP28" i="17"/>
  <c r="BR28" i="17"/>
  <c r="BT28" i="17"/>
  <c r="BV28" i="17"/>
  <c r="BX28" i="17"/>
  <c r="BZ28" i="17"/>
  <c r="CB28" i="17"/>
  <c r="CD28" i="17"/>
  <c r="CF28" i="17"/>
  <c r="CH28" i="17"/>
  <c r="CJ28" i="17"/>
  <c r="CL28" i="17"/>
  <c r="CO28" i="17"/>
  <c r="AN29" i="17"/>
  <c r="AP29" i="17"/>
  <c r="AR29" i="17"/>
  <c r="AT29" i="17"/>
  <c r="AV29" i="17"/>
  <c r="AX29" i="17"/>
  <c r="AZ29" i="17"/>
  <c r="BB29" i="17"/>
  <c r="BD29" i="17"/>
  <c r="BF29" i="17"/>
  <c r="BH29" i="17"/>
  <c r="BJ29" i="17"/>
  <c r="BL29" i="17"/>
  <c r="BN29" i="17"/>
  <c r="BP29" i="17"/>
  <c r="BR29" i="17"/>
  <c r="BT29" i="17"/>
  <c r="BV29" i="17"/>
  <c r="BX29" i="17"/>
  <c r="BZ29" i="17"/>
  <c r="CB29" i="17"/>
  <c r="CD29" i="17"/>
  <c r="CF29" i="17"/>
  <c r="CH29" i="17"/>
  <c r="CJ29" i="17"/>
  <c r="CL29" i="17"/>
  <c r="CO29" i="17"/>
  <c r="AN30" i="17"/>
  <c r="AP30" i="17"/>
  <c r="AR30" i="17"/>
  <c r="AT30" i="17"/>
  <c r="AV30" i="17"/>
  <c r="AX30" i="17"/>
  <c r="AZ30" i="17"/>
  <c r="BB30" i="17"/>
  <c r="BD30" i="17"/>
  <c r="BF30" i="17"/>
  <c r="BH30" i="17"/>
  <c r="BJ30" i="17"/>
  <c r="BL30" i="17"/>
  <c r="BN30" i="17"/>
  <c r="BP30" i="17"/>
  <c r="BR30" i="17"/>
  <c r="BT30" i="17"/>
  <c r="BV30" i="17"/>
  <c r="BX30" i="17"/>
  <c r="BZ30" i="17"/>
  <c r="CB30" i="17"/>
  <c r="CD30" i="17"/>
  <c r="CF30" i="17"/>
  <c r="CH30" i="17"/>
  <c r="CJ30" i="17"/>
  <c r="CL30" i="17"/>
  <c r="CO30" i="17"/>
  <c r="AN31" i="17"/>
  <c r="AP31" i="17"/>
  <c r="AR31" i="17"/>
  <c r="AT31" i="17"/>
  <c r="AV31" i="17"/>
  <c r="AX31" i="17"/>
  <c r="AZ31" i="17"/>
  <c r="BB31" i="17"/>
  <c r="BD31" i="17"/>
  <c r="BF31" i="17"/>
  <c r="BH31" i="17"/>
  <c r="BJ31" i="17"/>
  <c r="BL31" i="17"/>
  <c r="BN31" i="17"/>
  <c r="BP31" i="17"/>
  <c r="BR31" i="17"/>
  <c r="BT31" i="17"/>
  <c r="BV31" i="17"/>
  <c r="BX31" i="17"/>
  <c r="BZ31" i="17"/>
  <c r="CB31" i="17"/>
  <c r="CD31" i="17"/>
  <c r="CF31" i="17"/>
  <c r="CH31" i="17"/>
  <c r="CJ31" i="17"/>
  <c r="CL31" i="17"/>
  <c r="CO31" i="17"/>
  <c r="AN33" i="17"/>
  <c r="AP33" i="17"/>
  <c r="AR33" i="17"/>
  <c r="AT33" i="17"/>
  <c r="AV33" i="17"/>
  <c r="AX33" i="17"/>
  <c r="AZ33" i="17"/>
  <c r="BB33" i="17"/>
  <c r="BD33" i="17"/>
  <c r="BF33" i="17"/>
  <c r="BH33" i="17"/>
  <c r="BJ33" i="17"/>
  <c r="BL33" i="17"/>
  <c r="BN33" i="17"/>
  <c r="BP33" i="17"/>
  <c r="BR33" i="17"/>
  <c r="BT33" i="17"/>
  <c r="BV33" i="17"/>
  <c r="BX33" i="17"/>
  <c r="BZ33" i="17"/>
  <c r="CB33" i="17"/>
  <c r="CD33" i="17"/>
  <c r="CF33" i="17"/>
  <c r="CH33" i="17"/>
  <c r="CJ33" i="17"/>
  <c r="CL33" i="17"/>
  <c r="CO33" i="17"/>
  <c r="AN34" i="17"/>
  <c r="AP34" i="17"/>
  <c r="AR34" i="17"/>
  <c r="AT34" i="17"/>
  <c r="AV34" i="17"/>
  <c r="AX34" i="17"/>
  <c r="AZ34" i="17"/>
  <c r="BB34" i="17"/>
  <c r="BD34" i="17"/>
  <c r="BF34" i="17"/>
  <c r="BH34" i="17"/>
  <c r="BJ34" i="17"/>
  <c r="BL34" i="17"/>
  <c r="BN34" i="17"/>
  <c r="BP34" i="17"/>
  <c r="BR34" i="17"/>
  <c r="BT34" i="17"/>
  <c r="BV34" i="17"/>
  <c r="BX34" i="17"/>
  <c r="BZ34" i="17"/>
  <c r="CB34" i="17"/>
  <c r="CD34" i="17"/>
  <c r="CF34" i="17"/>
  <c r="CH34" i="17"/>
  <c r="CJ34" i="17"/>
  <c r="CL34" i="17"/>
  <c r="CO34" i="17"/>
  <c r="AN35" i="17"/>
  <c r="AP35" i="17"/>
  <c r="AR35" i="17"/>
  <c r="AT35" i="17"/>
  <c r="AV35" i="17"/>
  <c r="AX35" i="17"/>
  <c r="AZ35" i="17"/>
  <c r="BB35" i="17"/>
  <c r="BD35" i="17"/>
  <c r="BF35" i="17"/>
  <c r="BH35" i="17"/>
  <c r="BJ35" i="17"/>
  <c r="BL35" i="17"/>
  <c r="BN35" i="17"/>
  <c r="BP35" i="17"/>
  <c r="BR35" i="17"/>
  <c r="BT35" i="17"/>
  <c r="BV35" i="17"/>
  <c r="BX35" i="17"/>
  <c r="BZ35" i="17"/>
  <c r="CB35" i="17"/>
  <c r="CD35" i="17"/>
  <c r="CF35" i="17"/>
  <c r="CH35" i="17"/>
  <c r="CJ35" i="17"/>
  <c r="CL35" i="17"/>
  <c r="CO35" i="17"/>
  <c r="CQ32" i="17"/>
  <c r="B32" i="17"/>
  <c r="C32" i="17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G34" i="4"/>
  <c r="B4" i="4"/>
  <c r="AF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H7" i="4"/>
  <c r="AI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H8" i="4"/>
  <c r="AI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H9" i="4"/>
  <c r="AI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H10" i="4"/>
  <c r="AI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H11" i="4"/>
  <c r="AI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H12" i="4"/>
  <c r="AI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H13" i="4"/>
  <c r="AI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H14" i="4"/>
  <c r="AI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H15" i="4"/>
  <c r="AI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H16" i="4"/>
  <c r="AI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H17" i="4"/>
  <c r="AI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H18" i="4"/>
  <c r="AI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H19" i="4"/>
  <c r="AI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H20" i="4"/>
  <c r="AI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H21" i="4"/>
  <c r="AI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H22" i="4"/>
  <c r="AI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H23" i="4"/>
  <c r="AI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H24" i="4"/>
  <c r="AI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H25" i="4"/>
  <c r="AI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H26" i="4"/>
  <c r="AI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H27" i="4"/>
  <c r="AI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H28" i="4"/>
  <c r="AI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H29" i="4"/>
  <c r="AI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H30" i="4"/>
  <c r="AI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H31" i="4"/>
  <c r="AI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H32" i="4"/>
  <c r="AI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H33" i="4"/>
  <c r="AI33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H35" i="4"/>
  <c r="AI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H36" i="4"/>
  <c r="AI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H37" i="4"/>
  <c r="AI37" i="4"/>
  <c r="BM34" i="4"/>
  <c r="AO7" i="4"/>
  <c r="AY7" i="4"/>
  <c r="AP7" i="4"/>
  <c r="AZ7" i="4"/>
  <c r="AQ7" i="4"/>
  <c r="BA7" i="4"/>
  <c r="AR7" i="4"/>
  <c r="AN7" i="4"/>
  <c r="BB7" i="4"/>
  <c r="BH7" i="4"/>
  <c r="AO8" i="4"/>
  <c r="AY8" i="4"/>
  <c r="AP8" i="4"/>
  <c r="AZ8" i="4"/>
  <c r="AQ8" i="4"/>
  <c r="AM8" i="4"/>
  <c r="BA8" i="4"/>
  <c r="AR8" i="4"/>
  <c r="AN8" i="4"/>
  <c r="BB8" i="4"/>
  <c r="BH8" i="4"/>
  <c r="AO9" i="4"/>
  <c r="AY9" i="4"/>
  <c r="AP9" i="4"/>
  <c r="AZ9" i="4"/>
  <c r="AQ9" i="4"/>
  <c r="AM9" i="4"/>
  <c r="BA9" i="4"/>
  <c r="AR9" i="4"/>
  <c r="AN9" i="4"/>
  <c r="BB9" i="4"/>
  <c r="BH9" i="4"/>
  <c r="AO10" i="4"/>
  <c r="AY10" i="4"/>
  <c r="AP10" i="4"/>
  <c r="AZ10" i="4"/>
  <c r="AQ10" i="4"/>
  <c r="AM10" i="4"/>
  <c r="BA10" i="4"/>
  <c r="AR10" i="4"/>
  <c r="AN10" i="4"/>
  <c r="BB10" i="4"/>
  <c r="BH10" i="4"/>
  <c r="AO11" i="4"/>
  <c r="AY11" i="4"/>
  <c r="AP11" i="4"/>
  <c r="AZ11" i="4"/>
  <c r="AQ11" i="4"/>
  <c r="AM11" i="4"/>
  <c r="BA11" i="4"/>
  <c r="AR11" i="4"/>
  <c r="BB11" i="4"/>
  <c r="BH11" i="4"/>
  <c r="AO12" i="4"/>
  <c r="AY12" i="4"/>
  <c r="AP12" i="4"/>
  <c r="AZ12" i="4"/>
  <c r="AQ12" i="4"/>
  <c r="AM12" i="4"/>
  <c r="BA12" i="4"/>
  <c r="AR12" i="4"/>
  <c r="AN12" i="4"/>
  <c r="BB12" i="4"/>
  <c r="BH12" i="4"/>
  <c r="AO13" i="4"/>
  <c r="AY13" i="4"/>
  <c r="AP13" i="4"/>
  <c r="AZ13" i="4"/>
  <c r="AQ13" i="4"/>
  <c r="AM13" i="4"/>
  <c r="BA13" i="4"/>
  <c r="AR13" i="4"/>
  <c r="AN13" i="4"/>
  <c r="BB13" i="4"/>
  <c r="BH13" i="4"/>
  <c r="AO14" i="4"/>
  <c r="AY14" i="4"/>
  <c r="AP14" i="4"/>
  <c r="AZ14" i="4"/>
  <c r="AQ14" i="4"/>
  <c r="AM14" i="4"/>
  <c r="BA14" i="4"/>
  <c r="AR14" i="4"/>
  <c r="AN14" i="4"/>
  <c r="BB14" i="4"/>
  <c r="BH14" i="4"/>
  <c r="AO15" i="4"/>
  <c r="AK15" i="4"/>
  <c r="AY15" i="4"/>
  <c r="AP15" i="4"/>
  <c r="AZ15" i="4"/>
  <c r="AQ15" i="4"/>
  <c r="AM15" i="4"/>
  <c r="BA15" i="4"/>
  <c r="AR15" i="4"/>
  <c r="AN15" i="4"/>
  <c r="BB15" i="4"/>
  <c r="BH15" i="4"/>
  <c r="AO16" i="4"/>
  <c r="AY16" i="4"/>
  <c r="AP16" i="4"/>
  <c r="AZ16" i="4"/>
  <c r="AQ16" i="4"/>
  <c r="AM16" i="4"/>
  <c r="BA16" i="4"/>
  <c r="AR16" i="4"/>
  <c r="AN16" i="4"/>
  <c r="BB16" i="4"/>
  <c r="BH16" i="4"/>
  <c r="AO17" i="4"/>
  <c r="AY17" i="4"/>
  <c r="AP17" i="4"/>
  <c r="AZ17" i="4"/>
  <c r="AQ17" i="4"/>
  <c r="BA17" i="4"/>
  <c r="AR17" i="4"/>
  <c r="AN17" i="4"/>
  <c r="BB17" i="4"/>
  <c r="BH17" i="4"/>
  <c r="AO18" i="4"/>
  <c r="AY18" i="4"/>
  <c r="AP18" i="4"/>
  <c r="AZ18" i="4"/>
  <c r="AQ18" i="4"/>
  <c r="AM18" i="4"/>
  <c r="BA18" i="4"/>
  <c r="AR18" i="4"/>
  <c r="AN18" i="4"/>
  <c r="BB18" i="4"/>
  <c r="BH18" i="4"/>
  <c r="AO19" i="4"/>
  <c r="AY19" i="4"/>
  <c r="AP19" i="4"/>
  <c r="AL19" i="4"/>
  <c r="AZ19" i="4"/>
  <c r="AQ19" i="4"/>
  <c r="AM19" i="4"/>
  <c r="BA19" i="4"/>
  <c r="AR19" i="4"/>
  <c r="AN19" i="4"/>
  <c r="BB19" i="4"/>
  <c r="BH19" i="4"/>
  <c r="AO20" i="4"/>
  <c r="AK20" i="4"/>
  <c r="AY20" i="4"/>
  <c r="AP20" i="4"/>
  <c r="AZ20" i="4"/>
  <c r="AQ20" i="4"/>
  <c r="BA20" i="4"/>
  <c r="AR20" i="4"/>
  <c r="AN20" i="4"/>
  <c r="BB20" i="4"/>
  <c r="BH20" i="4"/>
  <c r="AO21" i="4"/>
  <c r="AY21" i="4"/>
  <c r="AP21" i="4"/>
  <c r="AZ21" i="4"/>
  <c r="AQ21" i="4"/>
  <c r="AM21" i="4"/>
  <c r="BA21" i="4"/>
  <c r="AR21" i="4"/>
  <c r="BB21" i="4"/>
  <c r="BH21" i="4"/>
  <c r="AO22" i="4"/>
  <c r="AY22" i="4"/>
  <c r="AP22" i="4"/>
  <c r="AZ22" i="4"/>
  <c r="AQ22" i="4"/>
  <c r="BA22" i="4"/>
  <c r="AR22" i="4"/>
  <c r="AN22" i="4"/>
  <c r="BB22" i="4"/>
  <c r="BH22" i="4"/>
  <c r="AO23" i="4"/>
  <c r="AY23" i="4"/>
  <c r="AP23" i="4"/>
  <c r="AZ23" i="4"/>
  <c r="AQ23" i="4"/>
  <c r="AM23" i="4"/>
  <c r="BA23" i="4"/>
  <c r="AR23" i="4"/>
  <c r="AN23" i="4"/>
  <c r="BB23" i="4"/>
  <c r="BH23" i="4"/>
  <c r="AO24" i="4"/>
  <c r="AY24" i="4"/>
  <c r="AP24" i="4"/>
  <c r="AZ24" i="4"/>
  <c r="AQ24" i="4"/>
  <c r="AM24" i="4"/>
  <c r="BA24" i="4"/>
  <c r="AR24" i="4"/>
  <c r="BB24" i="4"/>
  <c r="BH24" i="4"/>
  <c r="AO25" i="4"/>
  <c r="AK25" i="4"/>
  <c r="AY25" i="4"/>
  <c r="AP25" i="4"/>
  <c r="AZ25" i="4"/>
  <c r="AQ25" i="4"/>
  <c r="AM25" i="4"/>
  <c r="BA25" i="4"/>
  <c r="AR25" i="4"/>
  <c r="BB25" i="4"/>
  <c r="BH25" i="4"/>
  <c r="AO26" i="4"/>
  <c r="AK26" i="4"/>
  <c r="AY26" i="4"/>
  <c r="AP26" i="4"/>
  <c r="AZ26" i="4"/>
  <c r="AQ26" i="4"/>
  <c r="AM26" i="4"/>
  <c r="BA26" i="4"/>
  <c r="AR26" i="4"/>
  <c r="AN26" i="4"/>
  <c r="BB26" i="4"/>
  <c r="BH26" i="4"/>
  <c r="AO27" i="4"/>
  <c r="AK27" i="4"/>
  <c r="AY27" i="4"/>
  <c r="AP27" i="4"/>
  <c r="AL27" i="4"/>
  <c r="AZ27" i="4"/>
  <c r="AQ27" i="4"/>
  <c r="AM27" i="4"/>
  <c r="BA27" i="4"/>
  <c r="AR27" i="4"/>
  <c r="AN27" i="4"/>
  <c r="BB27" i="4"/>
  <c r="BH27" i="4"/>
  <c r="AO28" i="4"/>
  <c r="AK28" i="4"/>
  <c r="AY28" i="4"/>
  <c r="AP28" i="4"/>
  <c r="AZ28" i="4"/>
  <c r="AQ28" i="4"/>
  <c r="AM28" i="4"/>
  <c r="BA28" i="4"/>
  <c r="AR28" i="4"/>
  <c r="AN28" i="4"/>
  <c r="BB28" i="4"/>
  <c r="BH28" i="4"/>
  <c r="AO29" i="4"/>
  <c r="AY29" i="4"/>
  <c r="AP29" i="4"/>
  <c r="AZ29" i="4"/>
  <c r="AQ29" i="4"/>
  <c r="AM29" i="4"/>
  <c r="BA29" i="4"/>
  <c r="AR29" i="4"/>
  <c r="AN29" i="4"/>
  <c r="BB29" i="4"/>
  <c r="BH29" i="4"/>
  <c r="AO30" i="4"/>
  <c r="AY30" i="4"/>
  <c r="AP30" i="4"/>
  <c r="AZ30" i="4"/>
  <c r="AQ30" i="4"/>
  <c r="AM30" i="4"/>
  <c r="BA30" i="4"/>
  <c r="AR30" i="4"/>
  <c r="AN30" i="4"/>
  <c r="BB30" i="4"/>
  <c r="BH30" i="4"/>
  <c r="AO31" i="4"/>
  <c r="AY31" i="4"/>
  <c r="AP31" i="4"/>
  <c r="AZ31" i="4"/>
  <c r="AQ31" i="4"/>
  <c r="AM31" i="4"/>
  <c r="BA31" i="4"/>
  <c r="AR31" i="4"/>
  <c r="AN31" i="4"/>
  <c r="BB31" i="4"/>
  <c r="BH31" i="4"/>
  <c r="AO32" i="4"/>
  <c r="AK32" i="4"/>
  <c r="AY32" i="4"/>
  <c r="AP32" i="4"/>
  <c r="AZ32" i="4"/>
  <c r="AQ32" i="4"/>
  <c r="AM32" i="4"/>
  <c r="BA32" i="4"/>
  <c r="AR32" i="4"/>
  <c r="AN32" i="4"/>
  <c r="BB32" i="4"/>
  <c r="BH32" i="4"/>
  <c r="AO33" i="4"/>
  <c r="AK33" i="4"/>
  <c r="AY33" i="4"/>
  <c r="AP33" i="4"/>
  <c r="AZ33" i="4"/>
  <c r="AQ33" i="4"/>
  <c r="AM33" i="4"/>
  <c r="BA33" i="4"/>
  <c r="AR33" i="4"/>
  <c r="BB33" i="4"/>
  <c r="BH33" i="4"/>
  <c r="AO35" i="4"/>
  <c r="AY35" i="4"/>
  <c r="AP35" i="4"/>
  <c r="AZ35" i="4"/>
  <c r="AQ35" i="4"/>
  <c r="BA35" i="4"/>
  <c r="AR35" i="4"/>
  <c r="AN35" i="4"/>
  <c r="BB35" i="4"/>
  <c r="BH35" i="4"/>
  <c r="AO36" i="4"/>
  <c r="AK36" i="4"/>
  <c r="AY36" i="4"/>
  <c r="AP36" i="4"/>
  <c r="AZ36" i="4"/>
  <c r="AQ36" i="4"/>
  <c r="AM36" i="4"/>
  <c r="BA36" i="4"/>
  <c r="AR36" i="4"/>
  <c r="AN36" i="4"/>
  <c r="BB36" i="4"/>
  <c r="BH36" i="4"/>
  <c r="AO37" i="4"/>
  <c r="AK37" i="4"/>
  <c r="AY37" i="4"/>
  <c r="AP37" i="4"/>
  <c r="AL37" i="4"/>
  <c r="AZ37" i="4"/>
  <c r="AQ37" i="4"/>
  <c r="BA37" i="4"/>
  <c r="AR37" i="4"/>
  <c r="AN37" i="4"/>
  <c r="BB37" i="4"/>
  <c r="BH37" i="4"/>
  <c r="BN34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5" i="4"/>
  <c r="BI36" i="4"/>
  <c r="BI37" i="4"/>
  <c r="BO34" i="4"/>
  <c r="AT7" i="4"/>
  <c r="BC7" i="4"/>
  <c r="AU7" i="4"/>
  <c r="BD7" i="4"/>
  <c r="AV7" i="4"/>
  <c r="BE7" i="4"/>
  <c r="AW7" i="4"/>
  <c r="BF7" i="4"/>
  <c r="AS7" i="4"/>
  <c r="AX7" i="4"/>
  <c r="BG7" i="4"/>
  <c r="BJ7" i="4"/>
  <c r="AT8" i="4"/>
  <c r="BC8" i="4"/>
  <c r="AV8" i="4"/>
  <c r="BE8" i="4"/>
  <c r="AW8" i="4"/>
  <c r="BF8" i="4"/>
  <c r="AS8" i="4"/>
  <c r="AX8" i="4"/>
  <c r="BG8" i="4"/>
  <c r="BJ8" i="4"/>
  <c r="AT9" i="4"/>
  <c r="BC9" i="4"/>
  <c r="AV9" i="4"/>
  <c r="BE9" i="4"/>
  <c r="AW9" i="4"/>
  <c r="BF9" i="4"/>
  <c r="AS9" i="4"/>
  <c r="AX9" i="4"/>
  <c r="BG9" i="4"/>
  <c r="BJ9" i="4"/>
  <c r="AT10" i="4"/>
  <c r="BC10" i="4"/>
  <c r="AV10" i="4"/>
  <c r="BE10" i="4"/>
  <c r="AW10" i="4"/>
  <c r="BF10" i="4"/>
  <c r="AS10" i="4"/>
  <c r="AX10" i="4"/>
  <c r="BG10" i="4"/>
  <c r="BJ10" i="4"/>
  <c r="AT11" i="4"/>
  <c r="BC11" i="4"/>
  <c r="AV11" i="4"/>
  <c r="BE11" i="4"/>
  <c r="AW11" i="4"/>
  <c r="BF11" i="4"/>
  <c r="AS11" i="4"/>
  <c r="AX11" i="4"/>
  <c r="BG11" i="4"/>
  <c r="BJ11" i="4"/>
  <c r="AT12" i="4"/>
  <c r="BC12" i="4"/>
  <c r="AV12" i="4"/>
  <c r="BE12" i="4"/>
  <c r="AW12" i="4"/>
  <c r="BF12" i="4"/>
  <c r="AS12" i="4"/>
  <c r="AX12" i="4"/>
  <c r="BG12" i="4"/>
  <c r="BJ12" i="4"/>
  <c r="AT13" i="4"/>
  <c r="BC13" i="4"/>
  <c r="AV13" i="4"/>
  <c r="BE13" i="4"/>
  <c r="AW13" i="4"/>
  <c r="BF13" i="4"/>
  <c r="AS13" i="4"/>
  <c r="AX13" i="4"/>
  <c r="BG13" i="4"/>
  <c r="BJ13" i="4"/>
  <c r="AT14" i="4"/>
  <c r="BC14" i="4"/>
  <c r="AV14" i="4"/>
  <c r="BE14" i="4"/>
  <c r="AW14" i="4"/>
  <c r="BF14" i="4"/>
  <c r="AS14" i="4"/>
  <c r="AX14" i="4"/>
  <c r="BG14" i="4"/>
  <c r="BJ14" i="4"/>
  <c r="AT15" i="4"/>
  <c r="BC15" i="4"/>
  <c r="AV15" i="4"/>
  <c r="BE15" i="4"/>
  <c r="AW15" i="4"/>
  <c r="BF15" i="4"/>
  <c r="AS15" i="4"/>
  <c r="AX15" i="4"/>
  <c r="BG15" i="4"/>
  <c r="BJ15" i="4"/>
  <c r="AT16" i="4"/>
  <c r="BC16" i="4"/>
  <c r="AV16" i="4"/>
  <c r="BE16" i="4"/>
  <c r="AW16" i="4"/>
  <c r="BF16" i="4"/>
  <c r="AS16" i="4"/>
  <c r="AX16" i="4"/>
  <c r="BG16" i="4"/>
  <c r="BJ16" i="4"/>
  <c r="AT17" i="4"/>
  <c r="BC17" i="4"/>
  <c r="AV17" i="4"/>
  <c r="BE17" i="4"/>
  <c r="AW17" i="4"/>
  <c r="BF17" i="4"/>
  <c r="AS17" i="4"/>
  <c r="AX17" i="4"/>
  <c r="BG17" i="4"/>
  <c r="BJ17" i="4"/>
  <c r="AT18" i="4"/>
  <c r="BC18" i="4"/>
  <c r="AV18" i="4"/>
  <c r="BE18" i="4"/>
  <c r="AW18" i="4"/>
  <c r="BF18" i="4"/>
  <c r="AS18" i="4"/>
  <c r="AX18" i="4"/>
  <c r="BG18" i="4"/>
  <c r="BJ18" i="4"/>
  <c r="AT19" i="4"/>
  <c r="BC19" i="4"/>
  <c r="AV19" i="4"/>
  <c r="BE19" i="4"/>
  <c r="AW19" i="4"/>
  <c r="BF19" i="4"/>
  <c r="AS19" i="4"/>
  <c r="AX19" i="4"/>
  <c r="BG19" i="4"/>
  <c r="BJ19" i="4"/>
  <c r="AT20" i="4"/>
  <c r="BC20" i="4"/>
  <c r="AV20" i="4"/>
  <c r="BE20" i="4"/>
  <c r="AW20" i="4"/>
  <c r="BF20" i="4"/>
  <c r="AS20" i="4"/>
  <c r="AX20" i="4"/>
  <c r="BG20" i="4"/>
  <c r="BJ20" i="4"/>
  <c r="AT21" i="4"/>
  <c r="BC21" i="4"/>
  <c r="AV21" i="4"/>
  <c r="BE21" i="4"/>
  <c r="AW21" i="4"/>
  <c r="BF21" i="4"/>
  <c r="AS21" i="4"/>
  <c r="AX21" i="4"/>
  <c r="BG21" i="4"/>
  <c r="BJ21" i="4"/>
  <c r="AT22" i="4"/>
  <c r="BC22" i="4"/>
  <c r="AV22" i="4"/>
  <c r="BE22" i="4"/>
  <c r="AW22" i="4"/>
  <c r="BF22" i="4"/>
  <c r="AS22" i="4"/>
  <c r="AX22" i="4"/>
  <c r="BG22" i="4"/>
  <c r="BJ22" i="4"/>
  <c r="AT23" i="4"/>
  <c r="BC23" i="4"/>
  <c r="AV23" i="4"/>
  <c r="BE23" i="4"/>
  <c r="AW23" i="4"/>
  <c r="BF23" i="4"/>
  <c r="AS23" i="4"/>
  <c r="AX23" i="4"/>
  <c r="BG23" i="4"/>
  <c r="BJ23" i="4"/>
  <c r="AT24" i="4"/>
  <c r="BC24" i="4"/>
  <c r="AV24" i="4"/>
  <c r="BE24" i="4"/>
  <c r="AW24" i="4"/>
  <c r="BF24" i="4"/>
  <c r="AS24" i="4"/>
  <c r="AX24" i="4"/>
  <c r="BG24" i="4"/>
  <c r="BJ24" i="4"/>
  <c r="AT25" i="4"/>
  <c r="BC25" i="4"/>
  <c r="AV25" i="4"/>
  <c r="BE25" i="4"/>
  <c r="AW25" i="4"/>
  <c r="BF25" i="4"/>
  <c r="AS25" i="4"/>
  <c r="AX25" i="4"/>
  <c r="BG25" i="4"/>
  <c r="BJ25" i="4"/>
  <c r="AT26" i="4"/>
  <c r="BC26" i="4"/>
  <c r="AV26" i="4"/>
  <c r="BE26" i="4"/>
  <c r="AW26" i="4"/>
  <c r="BF26" i="4"/>
  <c r="AS26" i="4"/>
  <c r="AX26" i="4"/>
  <c r="BG26" i="4"/>
  <c r="BJ26" i="4"/>
  <c r="AT27" i="4"/>
  <c r="BC27" i="4"/>
  <c r="AV27" i="4"/>
  <c r="BE27" i="4"/>
  <c r="AW27" i="4"/>
  <c r="BF27" i="4"/>
  <c r="AS27" i="4"/>
  <c r="AX27" i="4"/>
  <c r="BG27" i="4"/>
  <c r="BJ27" i="4"/>
  <c r="AT28" i="4"/>
  <c r="BC28" i="4"/>
  <c r="AV28" i="4"/>
  <c r="BE28" i="4"/>
  <c r="AW28" i="4"/>
  <c r="BF28" i="4"/>
  <c r="AS28" i="4"/>
  <c r="AX28" i="4"/>
  <c r="BG28" i="4"/>
  <c r="BJ28" i="4"/>
  <c r="AT29" i="4"/>
  <c r="BC29" i="4"/>
  <c r="AV29" i="4"/>
  <c r="BE29" i="4"/>
  <c r="AW29" i="4"/>
  <c r="BF29" i="4"/>
  <c r="AS29" i="4"/>
  <c r="AX29" i="4"/>
  <c r="BG29" i="4"/>
  <c r="BJ29" i="4"/>
  <c r="AT30" i="4"/>
  <c r="BC30" i="4"/>
  <c r="AV30" i="4"/>
  <c r="BE30" i="4"/>
  <c r="AW30" i="4"/>
  <c r="BF30" i="4"/>
  <c r="AS30" i="4"/>
  <c r="AX30" i="4"/>
  <c r="BG30" i="4"/>
  <c r="BJ30" i="4"/>
  <c r="AT31" i="4"/>
  <c r="BC31" i="4"/>
  <c r="AV31" i="4"/>
  <c r="BE31" i="4"/>
  <c r="AW31" i="4"/>
  <c r="BF31" i="4"/>
  <c r="AS31" i="4"/>
  <c r="AX31" i="4"/>
  <c r="BG31" i="4"/>
  <c r="BJ31" i="4"/>
  <c r="AT32" i="4"/>
  <c r="BC32" i="4"/>
  <c r="AV32" i="4"/>
  <c r="BE32" i="4"/>
  <c r="AW32" i="4"/>
  <c r="BF32" i="4"/>
  <c r="AS32" i="4"/>
  <c r="AX32" i="4"/>
  <c r="BG32" i="4"/>
  <c r="BJ32" i="4"/>
  <c r="AT33" i="4"/>
  <c r="BC33" i="4"/>
  <c r="AV33" i="4"/>
  <c r="BE33" i="4"/>
  <c r="AW33" i="4"/>
  <c r="BF33" i="4"/>
  <c r="AS33" i="4"/>
  <c r="AX33" i="4"/>
  <c r="BG33" i="4"/>
  <c r="BJ33" i="4"/>
  <c r="AT35" i="4"/>
  <c r="BC35" i="4"/>
  <c r="AV35" i="4"/>
  <c r="BE35" i="4"/>
  <c r="AW35" i="4"/>
  <c r="BF35" i="4"/>
  <c r="AS35" i="4"/>
  <c r="AX35" i="4"/>
  <c r="BG35" i="4"/>
  <c r="BJ35" i="4"/>
  <c r="AT36" i="4"/>
  <c r="BC36" i="4"/>
  <c r="AV36" i="4"/>
  <c r="BE36" i="4"/>
  <c r="AW36" i="4"/>
  <c r="BF36" i="4"/>
  <c r="AS36" i="4"/>
  <c r="AX36" i="4"/>
  <c r="BG36" i="4"/>
  <c r="BJ36" i="4"/>
  <c r="AT37" i="4"/>
  <c r="BC37" i="4"/>
  <c r="AV37" i="4"/>
  <c r="BE37" i="4"/>
  <c r="AW37" i="4"/>
  <c r="BF37" i="4"/>
  <c r="AS37" i="4"/>
  <c r="AX37" i="4"/>
  <c r="BG37" i="4"/>
  <c r="BJ37" i="4"/>
  <c r="BP34" i="4"/>
  <c r="BK7" i="4"/>
  <c r="AU8" i="4"/>
  <c r="BD8" i="4"/>
  <c r="BK8" i="4"/>
  <c r="AU9" i="4"/>
  <c r="BD9" i="4"/>
  <c r="BK9" i="4"/>
  <c r="AU10" i="4"/>
  <c r="BD10" i="4"/>
  <c r="BK10" i="4"/>
  <c r="AU11" i="4"/>
  <c r="BD11" i="4"/>
  <c r="BK11" i="4"/>
  <c r="AU12" i="4"/>
  <c r="BD12" i="4"/>
  <c r="BK12" i="4"/>
  <c r="AU13" i="4"/>
  <c r="BD13" i="4"/>
  <c r="BK13" i="4"/>
  <c r="AU14" i="4"/>
  <c r="BD14" i="4"/>
  <c r="BK14" i="4"/>
  <c r="AU15" i="4"/>
  <c r="BD15" i="4"/>
  <c r="BK15" i="4"/>
  <c r="AU16" i="4"/>
  <c r="BD16" i="4"/>
  <c r="BK16" i="4"/>
  <c r="AU17" i="4"/>
  <c r="BD17" i="4"/>
  <c r="BK17" i="4"/>
  <c r="AU18" i="4"/>
  <c r="BD18" i="4"/>
  <c r="BK18" i="4"/>
  <c r="AU19" i="4"/>
  <c r="BD19" i="4"/>
  <c r="BK19" i="4"/>
  <c r="AU20" i="4"/>
  <c r="BD20" i="4"/>
  <c r="BK20" i="4"/>
  <c r="AU21" i="4"/>
  <c r="BD21" i="4"/>
  <c r="BK21" i="4"/>
  <c r="AU22" i="4"/>
  <c r="BD22" i="4"/>
  <c r="BK22" i="4"/>
  <c r="AU23" i="4"/>
  <c r="BD23" i="4"/>
  <c r="BK23" i="4"/>
  <c r="AU24" i="4"/>
  <c r="BD24" i="4"/>
  <c r="BK24" i="4"/>
  <c r="AU25" i="4"/>
  <c r="BD25" i="4"/>
  <c r="BK25" i="4"/>
  <c r="AU26" i="4"/>
  <c r="BD26" i="4"/>
  <c r="BK26" i="4"/>
  <c r="AU27" i="4"/>
  <c r="BD27" i="4"/>
  <c r="BK27" i="4"/>
  <c r="AU28" i="4"/>
  <c r="BD28" i="4"/>
  <c r="BK28" i="4"/>
  <c r="AU29" i="4"/>
  <c r="BD29" i="4"/>
  <c r="BK29" i="4"/>
  <c r="AU30" i="4"/>
  <c r="BD30" i="4"/>
  <c r="BK30" i="4"/>
  <c r="AU31" i="4"/>
  <c r="BD31" i="4"/>
  <c r="BK31" i="4"/>
  <c r="AU32" i="4"/>
  <c r="BD32" i="4"/>
  <c r="BK32" i="4"/>
  <c r="AU33" i="4"/>
  <c r="BD33" i="4"/>
  <c r="BK33" i="4"/>
  <c r="AU35" i="4"/>
  <c r="BD35" i="4"/>
  <c r="BK35" i="4"/>
  <c r="AU36" i="4"/>
  <c r="BD36" i="4"/>
  <c r="BK36" i="4"/>
  <c r="AU37" i="4"/>
  <c r="BD37" i="4"/>
  <c r="BK37" i="4"/>
  <c r="BQ34" i="4"/>
  <c r="BR34" i="4"/>
  <c r="BM7" i="4"/>
  <c r="BN7" i="4"/>
  <c r="BO7" i="4"/>
  <c r="BP7" i="4"/>
  <c r="BQ7" i="4"/>
  <c r="BR7" i="4"/>
  <c r="BM8" i="4"/>
  <c r="BN8" i="4"/>
  <c r="BO8" i="4"/>
  <c r="BP8" i="4"/>
  <c r="BQ8" i="4"/>
  <c r="BR8" i="4"/>
  <c r="BM9" i="4"/>
  <c r="BN9" i="4"/>
  <c r="BO9" i="4"/>
  <c r="BP9" i="4"/>
  <c r="BQ9" i="4"/>
  <c r="BR9" i="4"/>
  <c r="BM10" i="4"/>
  <c r="BN10" i="4"/>
  <c r="BO10" i="4"/>
  <c r="BP10" i="4"/>
  <c r="BQ10" i="4"/>
  <c r="BR10" i="4"/>
  <c r="BM11" i="4"/>
  <c r="BN11" i="4"/>
  <c r="BO11" i="4"/>
  <c r="BP11" i="4"/>
  <c r="BQ11" i="4"/>
  <c r="BR11" i="4"/>
  <c r="BM12" i="4"/>
  <c r="BN12" i="4"/>
  <c r="BO12" i="4"/>
  <c r="BP12" i="4"/>
  <c r="BQ12" i="4"/>
  <c r="BR12" i="4"/>
  <c r="BM13" i="4"/>
  <c r="BN13" i="4"/>
  <c r="BO13" i="4"/>
  <c r="BP13" i="4"/>
  <c r="BQ13" i="4"/>
  <c r="BR13" i="4"/>
  <c r="BM14" i="4"/>
  <c r="BN14" i="4"/>
  <c r="BO14" i="4"/>
  <c r="BP14" i="4"/>
  <c r="BQ14" i="4"/>
  <c r="BR14" i="4"/>
  <c r="BM15" i="4"/>
  <c r="BN15" i="4"/>
  <c r="BO15" i="4"/>
  <c r="BP15" i="4"/>
  <c r="BQ15" i="4"/>
  <c r="BR15" i="4"/>
  <c r="BM16" i="4"/>
  <c r="BN16" i="4"/>
  <c r="BO16" i="4"/>
  <c r="BP16" i="4"/>
  <c r="BQ16" i="4"/>
  <c r="BR16" i="4"/>
  <c r="BM17" i="4"/>
  <c r="BN17" i="4"/>
  <c r="BO17" i="4"/>
  <c r="BP17" i="4"/>
  <c r="BQ17" i="4"/>
  <c r="BR17" i="4"/>
  <c r="BM18" i="4"/>
  <c r="BN18" i="4"/>
  <c r="BO18" i="4"/>
  <c r="BP18" i="4"/>
  <c r="BQ18" i="4"/>
  <c r="BR18" i="4"/>
  <c r="BM19" i="4"/>
  <c r="BN19" i="4"/>
  <c r="BO19" i="4"/>
  <c r="BP19" i="4"/>
  <c r="BQ19" i="4"/>
  <c r="BR19" i="4"/>
  <c r="BM20" i="4"/>
  <c r="BN20" i="4"/>
  <c r="BO20" i="4"/>
  <c r="BP20" i="4"/>
  <c r="BQ20" i="4"/>
  <c r="BR20" i="4"/>
  <c r="BM21" i="4"/>
  <c r="BN21" i="4"/>
  <c r="BO21" i="4"/>
  <c r="BP21" i="4"/>
  <c r="BQ21" i="4"/>
  <c r="BR21" i="4"/>
  <c r="BM22" i="4"/>
  <c r="BN22" i="4"/>
  <c r="BO22" i="4"/>
  <c r="BP22" i="4"/>
  <c r="BQ22" i="4"/>
  <c r="BR22" i="4"/>
  <c r="BM23" i="4"/>
  <c r="BN23" i="4"/>
  <c r="BO23" i="4"/>
  <c r="BP23" i="4"/>
  <c r="BQ23" i="4"/>
  <c r="BR23" i="4"/>
  <c r="BM24" i="4"/>
  <c r="BN24" i="4"/>
  <c r="BO24" i="4"/>
  <c r="BP24" i="4"/>
  <c r="BQ24" i="4"/>
  <c r="BR24" i="4"/>
  <c r="BM25" i="4"/>
  <c r="BN25" i="4"/>
  <c r="BO25" i="4"/>
  <c r="BP25" i="4"/>
  <c r="BQ25" i="4"/>
  <c r="BR25" i="4"/>
  <c r="BM26" i="4"/>
  <c r="BN26" i="4"/>
  <c r="BO26" i="4"/>
  <c r="BP26" i="4"/>
  <c r="BQ26" i="4"/>
  <c r="BR26" i="4"/>
  <c r="BM27" i="4"/>
  <c r="BN27" i="4"/>
  <c r="BO27" i="4"/>
  <c r="BP27" i="4"/>
  <c r="BQ27" i="4"/>
  <c r="BR27" i="4"/>
  <c r="BM28" i="4"/>
  <c r="BN28" i="4"/>
  <c r="BO28" i="4"/>
  <c r="BP28" i="4"/>
  <c r="BQ28" i="4"/>
  <c r="BR28" i="4"/>
  <c r="BM29" i="4"/>
  <c r="BN29" i="4"/>
  <c r="BO29" i="4"/>
  <c r="BP29" i="4"/>
  <c r="BQ29" i="4"/>
  <c r="BR29" i="4"/>
  <c r="BM30" i="4"/>
  <c r="BN30" i="4"/>
  <c r="BO30" i="4"/>
  <c r="BP30" i="4"/>
  <c r="BQ30" i="4"/>
  <c r="BR30" i="4"/>
  <c r="BM31" i="4"/>
  <c r="BN31" i="4"/>
  <c r="BO31" i="4"/>
  <c r="BP31" i="4"/>
  <c r="BQ31" i="4"/>
  <c r="BR31" i="4"/>
  <c r="BM32" i="4"/>
  <c r="BN32" i="4"/>
  <c r="BO32" i="4"/>
  <c r="BP32" i="4"/>
  <c r="BQ32" i="4"/>
  <c r="BR32" i="4"/>
  <c r="BM33" i="4"/>
  <c r="BN33" i="4"/>
  <c r="BO33" i="4"/>
  <c r="BP33" i="4"/>
  <c r="BQ33" i="4"/>
  <c r="BR33" i="4"/>
  <c r="BM35" i="4"/>
  <c r="BN35" i="4"/>
  <c r="BO35" i="4"/>
  <c r="BP35" i="4"/>
  <c r="BQ35" i="4"/>
  <c r="BR35" i="4"/>
  <c r="BM36" i="4"/>
  <c r="BN36" i="4"/>
  <c r="BO36" i="4"/>
  <c r="BP36" i="4"/>
  <c r="BQ36" i="4"/>
  <c r="BR36" i="4"/>
  <c r="BM37" i="4"/>
  <c r="BN37" i="4"/>
  <c r="BO37" i="4"/>
  <c r="BP37" i="4"/>
  <c r="BQ37" i="4"/>
  <c r="BR37" i="4"/>
  <c r="BS34" i="4"/>
  <c r="B34" i="4"/>
  <c r="A29" i="2"/>
  <c r="AD29" i="20"/>
  <c r="A32" i="7"/>
  <c r="AD29" i="1"/>
  <c r="AI8" i="3"/>
  <c r="AI7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7" i="3"/>
  <c r="AG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H7" i="3"/>
  <c r="AG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H8" i="3"/>
  <c r="AG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H9" i="3"/>
  <c r="AG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H10" i="3"/>
  <c r="AG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H11" i="3"/>
  <c r="AG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H12" i="3"/>
  <c r="AG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H13" i="3"/>
  <c r="AG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H14" i="3"/>
  <c r="AG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H15" i="3"/>
  <c r="AG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H16" i="3"/>
  <c r="AG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H17" i="3"/>
  <c r="AG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H18" i="3"/>
  <c r="AG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H19" i="3"/>
  <c r="AG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H20" i="3"/>
  <c r="AG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H21" i="3"/>
  <c r="AG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H22" i="3"/>
  <c r="AG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H23" i="3"/>
  <c r="AG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H24" i="3"/>
  <c r="AG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H25" i="3"/>
  <c r="AG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H26" i="3"/>
  <c r="AG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H27" i="3"/>
  <c r="AG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H28" i="3"/>
  <c r="AG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H29" i="3"/>
  <c r="AG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H30" i="3"/>
  <c r="AG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H31" i="3"/>
  <c r="AG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H32" i="3"/>
  <c r="AG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H33" i="3"/>
  <c r="AG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H34" i="3"/>
  <c r="AG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H35" i="3"/>
  <c r="AG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H36" i="3"/>
  <c r="AJ7" i="3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AD32" i="20"/>
  <c r="AD31" i="20"/>
  <c r="AD30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D2" i="20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C12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C10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C6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C5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C2" i="14"/>
  <c r="A12" i="14"/>
  <c r="A11" i="14"/>
  <c r="A10" i="14"/>
  <c r="A8" i="14"/>
  <c r="A9" i="14"/>
  <c r="A7" i="14"/>
  <c r="A6" i="14"/>
  <c r="A5" i="14"/>
  <c r="A3" i="14"/>
  <c r="A4" i="14"/>
  <c r="A2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B1" i="14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3" i="19"/>
  <c r="AG34" i="19"/>
  <c r="AG35" i="19"/>
  <c r="AG5" i="19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3" i="17"/>
  <c r="AG34" i="17"/>
  <c r="AG35" i="17"/>
  <c r="AG5" i="17"/>
  <c r="AF5" i="19"/>
  <c r="CQ35" i="19"/>
  <c r="CP35" i="19"/>
  <c r="AL35" i="19"/>
  <c r="AK35" i="19"/>
  <c r="AF35" i="19"/>
  <c r="D35" i="19"/>
  <c r="C35" i="19"/>
  <c r="B35" i="19"/>
  <c r="CQ34" i="19"/>
  <c r="CP34" i="19"/>
  <c r="AL34" i="19"/>
  <c r="AK34" i="19"/>
  <c r="AF34" i="19"/>
  <c r="D34" i="19"/>
  <c r="C34" i="19"/>
  <c r="B34" i="19"/>
  <c r="CQ33" i="19"/>
  <c r="CP33" i="19"/>
  <c r="AL33" i="19"/>
  <c r="AK33" i="19"/>
  <c r="AF33" i="19"/>
  <c r="D33" i="19"/>
  <c r="C33" i="19"/>
  <c r="B33" i="19"/>
  <c r="CQ31" i="19"/>
  <c r="CP31" i="19"/>
  <c r="AL31" i="19"/>
  <c r="AK31" i="19"/>
  <c r="AF31" i="19"/>
  <c r="D31" i="19"/>
  <c r="C31" i="19"/>
  <c r="B31" i="19"/>
  <c r="CQ30" i="19"/>
  <c r="CP30" i="19"/>
  <c r="AL30" i="19"/>
  <c r="AK30" i="19"/>
  <c r="AF30" i="19"/>
  <c r="D30" i="19"/>
  <c r="C30" i="19"/>
  <c r="B30" i="19"/>
  <c r="CQ29" i="19"/>
  <c r="CP29" i="19"/>
  <c r="AL29" i="19"/>
  <c r="AK29" i="19"/>
  <c r="AF29" i="19"/>
  <c r="D29" i="19"/>
  <c r="C29" i="19"/>
  <c r="B29" i="19"/>
  <c r="CQ28" i="19"/>
  <c r="CP28" i="19"/>
  <c r="AL28" i="19"/>
  <c r="AK28" i="19"/>
  <c r="AF28" i="19"/>
  <c r="D28" i="19"/>
  <c r="C28" i="19"/>
  <c r="B28" i="19"/>
  <c r="CQ27" i="19"/>
  <c r="CP27" i="19"/>
  <c r="AL27" i="19"/>
  <c r="AK27" i="19"/>
  <c r="AF27" i="19"/>
  <c r="D27" i="19"/>
  <c r="C27" i="19"/>
  <c r="B27" i="19"/>
  <c r="CQ26" i="19"/>
  <c r="CP26" i="19"/>
  <c r="AL26" i="19"/>
  <c r="AK26" i="19"/>
  <c r="AF26" i="19"/>
  <c r="D26" i="19"/>
  <c r="C26" i="19"/>
  <c r="B26" i="19"/>
  <c r="CQ25" i="19"/>
  <c r="CP25" i="19"/>
  <c r="AL25" i="19"/>
  <c r="AK25" i="19"/>
  <c r="AF25" i="19"/>
  <c r="D25" i="19"/>
  <c r="C25" i="19"/>
  <c r="B25" i="19"/>
  <c r="CQ24" i="19"/>
  <c r="CP24" i="19"/>
  <c r="AL24" i="19"/>
  <c r="AK24" i="19"/>
  <c r="AF24" i="19"/>
  <c r="D24" i="19"/>
  <c r="C24" i="19"/>
  <c r="B24" i="19"/>
  <c r="CQ23" i="19"/>
  <c r="CP23" i="19"/>
  <c r="AL23" i="19"/>
  <c r="AK23" i="19"/>
  <c r="AF23" i="19"/>
  <c r="D23" i="19"/>
  <c r="C23" i="19"/>
  <c r="B23" i="19"/>
  <c r="CQ22" i="19"/>
  <c r="CP22" i="19"/>
  <c r="AL22" i="19"/>
  <c r="AK22" i="19"/>
  <c r="AF22" i="19"/>
  <c r="D22" i="19"/>
  <c r="C22" i="19"/>
  <c r="B22" i="19"/>
  <c r="CQ21" i="19"/>
  <c r="CP21" i="19"/>
  <c r="AL21" i="19"/>
  <c r="AK21" i="19"/>
  <c r="AF21" i="19"/>
  <c r="D21" i="19"/>
  <c r="C21" i="19"/>
  <c r="B21" i="19"/>
  <c r="CQ20" i="19"/>
  <c r="CP20" i="19"/>
  <c r="AL20" i="19"/>
  <c r="AK20" i="19"/>
  <c r="AF20" i="19"/>
  <c r="D20" i="19"/>
  <c r="C20" i="19"/>
  <c r="B20" i="19"/>
  <c r="CQ19" i="19"/>
  <c r="CP19" i="19"/>
  <c r="AL19" i="19"/>
  <c r="AK19" i="19"/>
  <c r="AF19" i="19"/>
  <c r="D19" i="19"/>
  <c r="C19" i="19"/>
  <c r="B19" i="19"/>
  <c r="CQ18" i="19"/>
  <c r="CP18" i="19"/>
  <c r="AL18" i="19"/>
  <c r="AK18" i="19"/>
  <c r="AF18" i="19"/>
  <c r="D18" i="19"/>
  <c r="C18" i="19"/>
  <c r="B18" i="19"/>
  <c r="CQ17" i="19"/>
  <c r="CP17" i="19"/>
  <c r="AL17" i="19"/>
  <c r="AK17" i="19"/>
  <c r="AF17" i="19"/>
  <c r="D17" i="19"/>
  <c r="C17" i="19"/>
  <c r="B17" i="19"/>
  <c r="CQ16" i="19"/>
  <c r="CP16" i="19"/>
  <c r="AL16" i="19"/>
  <c r="AK16" i="19"/>
  <c r="AF16" i="19"/>
  <c r="D16" i="19"/>
  <c r="C16" i="19"/>
  <c r="B16" i="19"/>
  <c r="CQ15" i="19"/>
  <c r="CP15" i="19"/>
  <c r="AL15" i="19"/>
  <c r="AK15" i="19"/>
  <c r="AF15" i="19"/>
  <c r="D15" i="19"/>
  <c r="C15" i="19"/>
  <c r="B15" i="19"/>
  <c r="CQ14" i="19"/>
  <c r="CP14" i="19"/>
  <c r="AL14" i="19"/>
  <c r="AK14" i="19"/>
  <c r="AF14" i="19"/>
  <c r="D14" i="19"/>
  <c r="C14" i="19"/>
  <c r="B14" i="19"/>
  <c r="CQ13" i="19"/>
  <c r="CP13" i="19"/>
  <c r="AL13" i="19"/>
  <c r="AK13" i="19"/>
  <c r="AF13" i="19"/>
  <c r="D13" i="19"/>
  <c r="C13" i="19"/>
  <c r="B13" i="19"/>
  <c r="CQ12" i="19"/>
  <c r="CP12" i="19"/>
  <c r="AL12" i="19"/>
  <c r="AK12" i="19"/>
  <c r="AF12" i="19"/>
  <c r="D12" i="19"/>
  <c r="C12" i="19"/>
  <c r="B12" i="19"/>
  <c r="CQ11" i="19"/>
  <c r="CP11" i="19"/>
  <c r="AL11" i="19"/>
  <c r="AK11" i="19"/>
  <c r="AF11" i="19"/>
  <c r="D11" i="19"/>
  <c r="C11" i="19"/>
  <c r="B11" i="19"/>
  <c r="CQ10" i="19"/>
  <c r="CP10" i="19"/>
  <c r="AL10" i="19"/>
  <c r="AK10" i="19"/>
  <c r="AF10" i="19"/>
  <c r="D10" i="19"/>
  <c r="C10" i="19"/>
  <c r="B10" i="19"/>
  <c r="CQ9" i="19"/>
  <c r="CP9" i="19"/>
  <c r="AL9" i="19"/>
  <c r="AK9" i="19"/>
  <c r="AF9" i="19"/>
  <c r="D9" i="19"/>
  <c r="C9" i="19"/>
  <c r="B9" i="19"/>
  <c r="CQ8" i="19"/>
  <c r="CP8" i="19"/>
  <c r="AL8" i="19"/>
  <c r="AK8" i="19"/>
  <c r="AF8" i="19"/>
  <c r="D8" i="19"/>
  <c r="C8" i="19"/>
  <c r="B8" i="19"/>
  <c r="CQ7" i="19"/>
  <c r="CP7" i="19"/>
  <c r="AL7" i="19"/>
  <c r="AK7" i="19"/>
  <c r="AF7" i="19"/>
  <c r="D7" i="19"/>
  <c r="C7" i="19"/>
  <c r="B7" i="19"/>
  <c r="CQ6" i="19"/>
  <c r="CP6" i="19"/>
  <c r="AL6" i="19"/>
  <c r="AK6" i="19"/>
  <c r="AF6" i="19"/>
  <c r="D6" i="19"/>
  <c r="C6" i="19"/>
  <c r="B6" i="19"/>
  <c r="CQ5" i="19"/>
  <c r="CP5" i="19"/>
  <c r="AL5" i="19"/>
  <c r="AK5" i="19"/>
  <c r="D5" i="19"/>
  <c r="C5" i="19"/>
  <c r="B5" i="19"/>
  <c r="D1" i="19"/>
  <c r="C1" i="19"/>
  <c r="CQ5" i="17"/>
  <c r="CQ6" i="17"/>
  <c r="CQ7" i="17"/>
  <c r="CQ8" i="17"/>
  <c r="CQ9" i="17"/>
  <c r="CQ10" i="17"/>
  <c r="CQ11" i="17"/>
  <c r="CQ12" i="17"/>
  <c r="CQ13" i="17"/>
  <c r="CQ14" i="17"/>
  <c r="CQ15" i="17"/>
  <c r="CQ16" i="17"/>
  <c r="CQ17" i="17"/>
  <c r="CQ18" i="17"/>
  <c r="CQ19" i="17"/>
  <c r="CQ20" i="17"/>
  <c r="CQ21" i="17"/>
  <c r="CQ22" i="17"/>
  <c r="CQ23" i="17"/>
  <c r="CQ24" i="17"/>
  <c r="CQ25" i="17"/>
  <c r="CQ26" i="17"/>
  <c r="CQ27" i="17"/>
  <c r="CQ28" i="17"/>
  <c r="CQ29" i="17"/>
  <c r="CQ30" i="17"/>
  <c r="CQ31" i="17"/>
  <c r="CQ33" i="17"/>
  <c r="CQ34" i="17"/>
  <c r="CQ35" i="17"/>
  <c r="CP6" i="17"/>
  <c r="CP7" i="17"/>
  <c r="CP8" i="17"/>
  <c r="CP9" i="17"/>
  <c r="CP10" i="17"/>
  <c r="CP11" i="17"/>
  <c r="CP12" i="17"/>
  <c r="CP13" i="17"/>
  <c r="CP14" i="17"/>
  <c r="CP15" i="17"/>
  <c r="CP16" i="17"/>
  <c r="CP17" i="17"/>
  <c r="CP18" i="17"/>
  <c r="CP19" i="17"/>
  <c r="CP20" i="17"/>
  <c r="CP21" i="17"/>
  <c r="CP22" i="17"/>
  <c r="CP23" i="17"/>
  <c r="CP24" i="17"/>
  <c r="CP25" i="17"/>
  <c r="CP26" i="17"/>
  <c r="CP27" i="17"/>
  <c r="CP28" i="17"/>
  <c r="CP29" i="17"/>
  <c r="CP30" i="17"/>
  <c r="CP31" i="17"/>
  <c r="CP33" i="17"/>
  <c r="CP34" i="17"/>
  <c r="CP35" i="17"/>
  <c r="CP5" i="17"/>
  <c r="AJ7" i="4"/>
  <c r="AL35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3" i="17"/>
  <c r="AL34" i="17"/>
  <c r="AK35" i="17"/>
  <c r="AF35" i="17"/>
  <c r="D35" i="17"/>
  <c r="C35" i="17"/>
  <c r="B35" i="17"/>
  <c r="AK34" i="17"/>
  <c r="AF34" i="17"/>
  <c r="D34" i="17"/>
  <c r="C34" i="17"/>
  <c r="B34" i="17"/>
  <c r="AK33" i="17"/>
  <c r="AF33" i="17"/>
  <c r="D33" i="17"/>
  <c r="C33" i="17"/>
  <c r="B33" i="17"/>
  <c r="AK31" i="17"/>
  <c r="AF31" i="17"/>
  <c r="D31" i="17"/>
  <c r="C31" i="17"/>
  <c r="B31" i="17"/>
  <c r="AK30" i="17"/>
  <c r="AF30" i="17"/>
  <c r="D30" i="17"/>
  <c r="C30" i="17"/>
  <c r="B30" i="17"/>
  <c r="AK29" i="17"/>
  <c r="AF29" i="17"/>
  <c r="D29" i="17"/>
  <c r="C29" i="17"/>
  <c r="B29" i="17"/>
  <c r="AK28" i="17"/>
  <c r="AF28" i="17"/>
  <c r="D28" i="17"/>
  <c r="C28" i="17"/>
  <c r="B28" i="17"/>
  <c r="AK27" i="17"/>
  <c r="AF27" i="17"/>
  <c r="D27" i="17"/>
  <c r="C27" i="17"/>
  <c r="B27" i="17"/>
  <c r="AK26" i="17"/>
  <c r="AF26" i="17"/>
  <c r="D26" i="17"/>
  <c r="C26" i="17"/>
  <c r="B26" i="17"/>
  <c r="AK25" i="17"/>
  <c r="AF25" i="17"/>
  <c r="D25" i="17"/>
  <c r="C25" i="17"/>
  <c r="B25" i="17"/>
  <c r="AK24" i="17"/>
  <c r="AF24" i="17"/>
  <c r="D24" i="17"/>
  <c r="C24" i="17"/>
  <c r="B24" i="17"/>
  <c r="AK23" i="17"/>
  <c r="AF23" i="17"/>
  <c r="D23" i="17"/>
  <c r="C23" i="17"/>
  <c r="B23" i="17"/>
  <c r="AK22" i="17"/>
  <c r="AF22" i="17"/>
  <c r="D22" i="17"/>
  <c r="C22" i="17"/>
  <c r="B22" i="17"/>
  <c r="AK21" i="17"/>
  <c r="AF21" i="17"/>
  <c r="D21" i="17"/>
  <c r="C21" i="17"/>
  <c r="B21" i="17"/>
  <c r="AK20" i="17"/>
  <c r="AF20" i="17"/>
  <c r="D20" i="17"/>
  <c r="C20" i="17"/>
  <c r="B20" i="17"/>
  <c r="AK19" i="17"/>
  <c r="AF19" i="17"/>
  <c r="D19" i="17"/>
  <c r="C19" i="17"/>
  <c r="B19" i="17"/>
  <c r="AK18" i="17"/>
  <c r="AF18" i="17"/>
  <c r="D18" i="17"/>
  <c r="C18" i="17"/>
  <c r="B18" i="17"/>
  <c r="AK17" i="17"/>
  <c r="AF17" i="17"/>
  <c r="D17" i="17"/>
  <c r="C17" i="17"/>
  <c r="B17" i="17"/>
  <c r="AK16" i="17"/>
  <c r="AF16" i="17"/>
  <c r="D16" i="17"/>
  <c r="C16" i="17"/>
  <c r="B16" i="17"/>
  <c r="AK15" i="17"/>
  <c r="AF15" i="17"/>
  <c r="D15" i="17"/>
  <c r="C15" i="17"/>
  <c r="B15" i="17"/>
  <c r="AK14" i="17"/>
  <c r="AF14" i="17"/>
  <c r="D14" i="17"/>
  <c r="C14" i="17"/>
  <c r="B14" i="17"/>
  <c r="AK13" i="17"/>
  <c r="AF13" i="17"/>
  <c r="D13" i="17"/>
  <c r="C13" i="17"/>
  <c r="B13" i="17"/>
  <c r="AK12" i="17"/>
  <c r="AF12" i="17"/>
  <c r="D12" i="17"/>
  <c r="C12" i="17"/>
  <c r="B12" i="17"/>
  <c r="AK11" i="17"/>
  <c r="AF11" i="17"/>
  <c r="D11" i="17"/>
  <c r="C11" i="17"/>
  <c r="B11" i="17"/>
  <c r="AK10" i="17"/>
  <c r="AF10" i="17"/>
  <c r="D10" i="17"/>
  <c r="C10" i="17"/>
  <c r="B10" i="17"/>
  <c r="AK9" i="17"/>
  <c r="AF9" i="17"/>
  <c r="D9" i="17"/>
  <c r="C9" i="17"/>
  <c r="B9" i="17"/>
  <c r="AK8" i="17"/>
  <c r="AF8" i="17"/>
  <c r="D8" i="17"/>
  <c r="C8" i="17"/>
  <c r="B8" i="17"/>
  <c r="AK7" i="17"/>
  <c r="AF7" i="17"/>
  <c r="D7" i="17"/>
  <c r="C7" i="17"/>
  <c r="B7" i="17"/>
  <c r="AK6" i="17"/>
  <c r="AF6" i="17"/>
  <c r="D6" i="17"/>
  <c r="C6" i="17"/>
  <c r="B6" i="17"/>
  <c r="AK5" i="17"/>
  <c r="AF5" i="17"/>
  <c r="D5" i="17"/>
  <c r="C5" i="17"/>
  <c r="B5" i="17"/>
  <c r="A2" i="17"/>
  <c r="D1" i="17"/>
  <c r="C1" i="17"/>
  <c r="AM7" i="4"/>
  <c r="AK19" i="4"/>
  <c r="AL23" i="4"/>
  <c r="AN33" i="4"/>
  <c r="BS37" i="4"/>
  <c r="AK23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5" i="4"/>
  <c r="BS36" i="4"/>
  <c r="BQ37" i="8"/>
  <c r="BP37" i="8"/>
  <c r="AM7" i="8"/>
  <c r="AK19" i="8"/>
  <c r="AK23" i="8"/>
  <c r="AN33" i="8"/>
  <c r="BO37" i="8"/>
  <c r="BN37" i="8"/>
  <c r="BM37" i="8"/>
  <c r="BL37" i="8"/>
  <c r="AM37" i="8"/>
  <c r="AJ37" i="8"/>
  <c r="AG37" i="8"/>
  <c r="AF37" i="8"/>
  <c r="D37" i="8"/>
  <c r="C37" i="8"/>
  <c r="B37" i="8"/>
  <c r="BQ36" i="8"/>
  <c r="BP36" i="8"/>
  <c r="BO36" i="8"/>
  <c r="BN36" i="8"/>
  <c r="BM36" i="8"/>
  <c r="BL36" i="8"/>
  <c r="AL36" i="8"/>
  <c r="AJ36" i="8"/>
  <c r="AG36" i="8"/>
  <c r="AF36" i="8"/>
  <c r="D36" i="8"/>
  <c r="C36" i="8"/>
  <c r="B36" i="8"/>
  <c r="BQ35" i="8"/>
  <c r="BP35" i="8"/>
  <c r="BO35" i="8"/>
  <c r="BN35" i="8"/>
  <c r="BM35" i="8"/>
  <c r="BL35" i="8"/>
  <c r="AM35" i="8"/>
  <c r="AL35" i="8"/>
  <c r="AK35" i="8"/>
  <c r="AJ35" i="8"/>
  <c r="AG35" i="8"/>
  <c r="AF35" i="8"/>
  <c r="D35" i="8"/>
  <c r="C35" i="8"/>
  <c r="B35" i="8"/>
  <c r="BQ33" i="8"/>
  <c r="BP33" i="8"/>
  <c r="BO33" i="8"/>
  <c r="BN33" i="8"/>
  <c r="BM33" i="8"/>
  <c r="BL33" i="8"/>
  <c r="AL33" i="8"/>
  <c r="AJ33" i="8"/>
  <c r="AG33" i="8"/>
  <c r="AF33" i="8"/>
  <c r="D33" i="8"/>
  <c r="C33" i="8"/>
  <c r="B33" i="8"/>
  <c r="BQ32" i="8"/>
  <c r="BP32" i="8"/>
  <c r="BO32" i="8"/>
  <c r="BN32" i="8"/>
  <c r="BM32" i="8"/>
  <c r="BL32" i="8"/>
  <c r="AL32" i="8"/>
  <c r="AJ32" i="8"/>
  <c r="AG32" i="8"/>
  <c r="AF32" i="8"/>
  <c r="D32" i="8"/>
  <c r="C32" i="8"/>
  <c r="B32" i="8"/>
  <c r="BQ31" i="8"/>
  <c r="BP31" i="8"/>
  <c r="BO31" i="8"/>
  <c r="BN31" i="8"/>
  <c r="BM31" i="8"/>
  <c r="BL31" i="8"/>
  <c r="AL31" i="8"/>
  <c r="AK31" i="8"/>
  <c r="AJ31" i="8"/>
  <c r="AG31" i="8"/>
  <c r="AF31" i="8"/>
  <c r="D31" i="8"/>
  <c r="C31" i="8"/>
  <c r="B31" i="8"/>
  <c r="BQ30" i="8"/>
  <c r="BP30" i="8"/>
  <c r="BO30" i="8"/>
  <c r="BN30" i="8"/>
  <c r="BM30" i="8"/>
  <c r="BL30" i="8"/>
  <c r="AL30" i="8"/>
  <c r="AK30" i="8"/>
  <c r="AJ30" i="8"/>
  <c r="AG30" i="8"/>
  <c r="AF30" i="8"/>
  <c r="D30" i="8"/>
  <c r="C30" i="8"/>
  <c r="B30" i="8"/>
  <c r="BQ29" i="8"/>
  <c r="BP29" i="8"/>
  <c r="BO29" i="8"/>
  <c r="BN29" i="8"/>
  <c r="BM29" i="8"/>
  <c r="BL29" i="8"/>
  <c r="AL29" i="8"/>
  <c r="AK29" i="8"/>
  <c r="AJ29" i="8"/>
  <c r="AG29" i="8"/>
  <c r="AF29" i="8"/>
  <c r="D29" i="8"/>
  <c r="C29" i="8"/>
  <c r="B29" i="8"/>
  <c r="BQ28" i="8"/>
  <c r="BP28" i="8"/>
  <c r="BO28" i="8"/>
  <c r="BN28" i="8"/>
  <c r="BM28" i="8"/>
  <c r="BL28" i="8"/>
  <c r="AL28" i="8"/>
  <c r="AJ28" i="8"/>
  <c r="AG28" i="8"/>
  <c r="AF28" i="8"/>
  <c r="D28" i="8"/>
  <c r="C28" i="8"/>
  <c r="B28" i="8"/>
  <c r="BQ27" i="8"/>
  <c r="BP27" i="8"/>
  <c r="BO27" i="8"/>
  <c r="BN27" i="8"/>
  <c r="BM27" i="8"/>
  <c r="BL27" i="8"/>
  <c r="AJ27" i="8"/>
  <c r="AG27" i="8"/>
  <c r="AF27" i="8"/>
  <c r="D27" i="8"/>
  <c r="C27" i="8"/>
  <c r="B27" i="8"/>
  <c r="BQ26" i="8"/>
  <c r="BP26" i="8"/>
  <c r="BO26" i="8"/>
  <c r="BN26" i="8"/>
  <c r="BM26" i="8"/>
  <c r="BL26" i="8"/>
  <c r="AL26" i="8"/>
  <c r="AJ26" i="8"/>
  <c r="AG26" i="8"/>
  <c r="AF26" i="8"/>
  <c r="D26" i="8"/>
  <c r="C26" i="8"/>
  <c r="B26" i="8"/>
  <c r="BQ25" i="8"/>
  <c r="BP25" i="8"/>
  <c r="BO25" i="8"/>
  <c r="BN25" i="8"/>
  <c r="BM25" i="8"/>
  <c r="BL25" i="8"/>
  <c r="AN25" i="8"/>
  <c r="AL25" i="8"/>
  <c r="AJ25" i="8"/>
  <c r="AG25" i="8"/>
  <c r="AF25" i="8"/>
  <c r="D25" i="8"/>
  <c r="C25" i="8"/>
  <c r="B25" i="8"/>
  <c r="BQ24" i="8"/>
  <c r="BP24" i="8"/>
  <c r="BO24" i="8"/>
  <c r="BN24" i="8"/>
  <c r="BM24" i="8"/>
  <c r="BL24" i="8"/>
  <c r="AN24" i="8"/>
  <c r="AL24" i="8"/>
  <c r="AK24" i="8"/>
  <c r="AJ24" i="8"/>
  <c r="AG24" i="8"/>
  <c r="AF24" i="8"/>
  <c r="D24" i="8"/>
  <c r="C24" i="8"/>
  <c r="B24" i="8"/>
  <c r="BQ23" i="8"/>
  <c r="BP23" i="8"/>
  <c r="BO23" i="8"/>
  <c r="BN23" i="8"/>
  <c r="BM23" i="8"/>
  <c r="BL23" i="8"/>
  <c r="AL23" i="8"/>
  <c r="AJ23" i="8"/>
  <c r="AG23" i="8"/>
  <c r="AF23" i="8"/>
  <c r="D23" i="8"/>
  <c r="C23" i="8"/>
  <c r="B23" i="8"/>
  <c r="BQ22" i="8"/>
  <c r="BP22" i="8"/>
  <c r="BO22" i="8"/>
  <c r="BN22" i="8"/>
  <c r="BM22" i="8"/>
  <c r="BL22" i="8"/>
  <c r="AM22" i="8"/>
  <c r="AL22" i="8"/>
  <c r="AK22" i="8"/>
  <c r="AJ22" i="8"/>
  <c r="AG22" i="8"/>
  <c r="AF22" i="8"/>
  <c r="D22" i="8"/>
  <c r="C22" i="8"/>
  <c r="B22" i="8"/>
  <c r="BQ21" i="8"/>
  <c r="BP21" i="8"/>
  <c r="BO21" i="8"/>
  <c r="BN21" i="8"/>
  <c r="BM21" i="8"/>
  <c r="BL21" i="8"/>
  <c r="AN21" i="8"/>
  <c r="AL21" i="8"/>
  <c r="AK21" i="8"/>
  <c r="AJ21" i="8"/>
  <c r="AG21" i="8"/>
  <c r="AF21" i="8"/>
  <c r="D21" i="8"/>
  <c r="C21" i="8"/>
  <c r="B21" i="8"/>
  <c r="BQ20" i="8"/>
  <c r="BP20" i="8"/>
  <c r="BO20" i="8"/>
  <c r="BN20" i="8"/>
  <c r="BM20" i="8"/>
  <c r="BL20" i="8"/>
  <c r="AM20" i="8"/>
  <c r="AL20" i="8"/>
  <c r="AJ20" i="8"/>
  <c r="AG20" i="8"/>
  <c r="AF20" i="8"/>
  <c r="D20" i="8"/>
  <c r="C20" i="8"/>
  <c r="B20" i="8"/>
  <c r="BQ19" i="8"/>
  <c r="BP19" i="8"/>
  <c r="BO19" i="8"/>
  <c r="BN19" i="8"/>
  <c r="BM19" i="8"/>
  <c r="BL19" i="8"/>
  <c r="AJ19" i="8"/>
  <c r="AG19" i="8"/>
  <c r="AF19" i="8"/>
  <c r="D19" i="8"/>
  <c r="C19" i="8"/>
  <c r="B19" i="8"/>
  <c r="BQ18" i="8"/>
  <c r="BP18" i="8"/>
  <c r="BO18" i="8"/>
  <c r="BN18" i="8"/>
  <c r="BM18" i="8"/>
  <c r="BL18" i="8"/>
  <c r="AL18" i="8"/>
  <c r="AK18" i="8"/>
  <c r="AJ18" i="8"/>
  <c r="AG18" i="8"/>
  <c r="AF18" i="8"/>
  <c r="D18" i="8"/>
  <c r="C18" i="8"/>
  <c r="B18" i="8"/>
  <c r="BQ17" i="8"/>
  <c r="BP17" i="8"/>
  <c r="BO17" i="8"/>
  <c r="BN17" i="8"/>
  <c r="BM17" i="8"/>
  <c r="BL17" i="8"/>
  <c r="AM17" i="8"/>
  <c r="AL17" i="8"/>
  <c r="AK17" i="8"/>
  <c r="AJ17" i="8"/>
  <c r="AG17" i="8"/>
  <c r="AF17" i="8"/>
  <c r="D17" i="8"/>
  <c r="C17" i="8"/>
  <c r="B17" i="8"/>
  <c r="BQ16" i="8"/>
  <c r="BP16" i="8"/>
  <c r="BO16" i="8"/>
  <c r="BN16" i="8"/>
  <c r="BM16" i="8"/>
  <c r="BL16" i="8"/>
  <c r="AL16" i="8"/>
  <c r="AK16" i="8"/>
  <c r="AJ16" i="8"/>
  <c r="AG16" i="8"/>
  <c r="AF16" i="8"/>
  <c r="D16" i="8"/>
  <c r="C16" i="8"/>
  <c r="B16" i="8"/>
  <c r="BQ15" i="8"/>
  <c r="BP15" i="8"/>
  <c r="BO15" i="8"/>
  <c r="BN15" i="8"/>
  <c r="BM15" i="8"/>
  <c r="BL15" i="8"/>
  <c r="AL15" i="8"/>
  <c r="AK15" i="8"/>
  <c r="AJ15" i="8"/>
  <c r="AG15" i="8"/>
  <c r="AF15" i="8"/>
  <c r="D15" i="8"/>
  <c r="C15" i="8"/>
  <c r="B15" i="8"/>
  <c r="BQ14" i="8"/>
  <c r="BP14" i="8"/>
  <c r="BO14" i="8"/>
  <c r="BN14" i="8"/>
  <c r="BM14" i="8"/>
  <c r="BL14" i="8"/>
  <c r="AL14" i="8"/>
  <c r="AK14" i="8"/>
  <c r="AJ14" i="8"/>
  <c r="AG14" i="8"/>
  <c r="AF14" i="8"/>
  <c r="D14" i="8"/>
  <c r="C14" i="8"/>
  <c r="B14" i="8"/>
  <c r="BQ13" i="8"/>
  <c r="BP13" i="8"/>
  <c r="BO13" i="8"/>
  <c r="BN13" i="8"/>
  <c r="BM13" i="8"/>
  <c r="BL13" i="8"/>
  <c r="AL13" i="8"/>
  <c r="AK13" i="8"/>
  <c r="AJ13" i="8"/>
  <c r="AG13" i="8"/>
  <c r="AF13" i="8"/>
  <c r="D13" i="8"/>
  <c r="C13" i="8"/>
  <c r="B13" i="8"/>
  <c r="BQ12" i="8"/>
  <c r="BP12" i="8"/>
  <c r="BO12" i="8"/>
  <c r="BN12" i="8"/>
  <c r="BM12" i="8"/>
  <c r="BL12" i="8"/>
  <c r="AL12" i="8"/>
  <c r="AK12" i="8"/>
  <c r="AJ12" i="8"/>
  <c r="AG12" i="8"/>
  <c r="AF12" i="8"/>
  <c r="D12" i="8"/>
  <c r="C12" i="8"/>
  <c r="B12" i="8"/>
  <c r="BQ11" i="8"/>
  <c r="BP11" i="8"/>
  <c r="BO11" i="8"/>
  <c r="BN11" i="8"/>
  <c r="BM11" i="8"/>
  <c r="BL11" i="8"/>
  <c r="AN11" i="8"/>
  <c r="AL11" i="8"/>
  <c r="AK11" i="8"/>
  <c r="AJ11" i="8"/>
  <c r="AG11" i="8"/>
  <c r="AF11" i="8"/>
  <c r="D11" i="8"/>
  <c r="C11" i="8"/>
  <c r="B11" i="8"/>
  <c r="BQ10" i="8"/>
  <c r="BP10" i="8"/>
  <c r="BO10" i="8"/>
  <c r="BN10" i="8"/>
  <c r="BM10" i="8"/>
  <c r="BL10" i="8"/>
  <c r="AL10" i="8"/>
  <c r="AK10" i="8"/>
  <c r="AJ10" i="8"/>
  <c r="AG10" i="8"/>
  <c r="AF10" i="8"/>
  <c r="D10" i="8"/>
  <c r="C10" i="8"/>
  <c r="B10" i="8"/>
  <c r="BQ9" i="8"/>
  <c r="BP9" i="8"/>
  <c r="BO9" i="8"/>
  <c r="BN9" i="8"/>
  <c r="BM9" i="8"/>
  <c r="BL9" i="8"/>
  <c r="AL9" i="8"/>
  <c r="AK9" i="8"/>
  <c r="AJ9" i="8"/>
  <c r="AG9" i="8"/>
  <c r="AF9" i="8"/>
  <c r="D9" i="8"/>
  <c r="C9" i="8"/>
  <c r="B9" i="8"/>
  <c r="BQ8" i="8"/>
  <c r="BP8" i="8"/>
  <c r="BO8" i="8"/>
  <c r="BN8" i="8"/>
  <c r="BM8" i="8"/>
  <c r="BL8" i="8"/>
  <c r="AL8" i="8"/>
  <c r="AK8" i="8"/>
  <c r="AJ8" i="8"/>
  <c r="AG8" i="8"/>
  <c r="AF8" i="8"/>
  <c r="D8" i="8"/>
  <c r="C8" i="8"/>
  <c r="B8" i="8"/>
  <c r="BQ7" i="8"/>
  <c r="BP7" i="8"/>
  <c r="BO7" i="8"/>
  <c r="BN7" i="8"/>
  <c r="BM7" i="8"/>
  <c r="BL7" i="8"/>
  <c r="AL7" i="8"/>
  <c r="AK7" i="8"/>
  <c r="AJ7" i="8"/>
  <c r="D7" i="8"/>
  <c r="C7" i="8"/>
  <c r="B7" i="8"/>
  <c r="A4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L8" i="4"/>
  <c r="AL9" i="4"/>
  <c r="AL10" i="4"/>
  <c r="AL11" i="4"/>
  <c r="AL12" i="4"/>
  <c r="AL13" i="4"/>
  <c r="AL14" i="4"/>
  <c r="AL15" i="4"/>
  <c r="AL16" i="4"/>
  <c r="AL17" i="4"/>
  <c r="AL18" i="4"/>
  <c r="AL20" i="4"/>
  <c r="AL21" i="4"/>
  <c r="AL22" i="4"/>
  <c r="AL24" i="4"/>
  <c r="AL25" i="4"/>
  <c r="AL26" i="4"/>
  <c r="AL28" i="4"/>
  <c r="AL29" i="4"/>
  <c r="AL30" i="4"/>
  <c r="AL31" i="4"/>
  <c r="AL32" i="4"/>
  <c r="AL33" i="4"/>
  <c r="AL35" i="4"/>
  <c r="AL36" i="4"/>
  <c r="AL7" i="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AD12" i="14"/>
  <c r="AD11" i="14"/>
  <c r="AD10" i="14"/>
  <c r="AD9" i="14"/>
  <c r="AD8" i="14"/>
  <c r="AD7" i="14"/>
  <c r="AD6" i="14"/>
  <c r="AD5" i="14"/>
  <c r="AD4" i="14"/>
  <c r="AD3" i="14"/>
  <c r="AD2" i="14"/>
  <c r="AG8" i="4"/>
  <c r="AF8" i="4"/>
  <c r="AG9" i="4"/>
  <c r="AF9" i="4"/>
  <c r="AG10" i="4"/>
  <c r="AF10" i="4"/>
  <c r="AG11" i="4"/>
  <c r="AF11" i="4"/>
  <c r="AG12" i="4"/>
  <c r="AF12" i="4"/>
  <c r="AG13" i="4"/>
  <c r="AF13" i="4"/>
  <c r="AG14" i="4"/>
  <c r="AF14" i="4"/>
  <c r="AG15" i="4"/>
  <c r="AF15" i="4"/>
  <c r="AG16" i="4"/>
  <c r="AF16" i="4"/>
  <c r="AG17" i="4"/>
  <c r="AF17" i="4"/>
  <c r="AG18" i="4"/>
  <c r="AF18" i="4"/>
  <c r="AG19" i="4"/>
  <c r="AF19" i="4"/>
  <c r="AG20" i="4"/>
  <c r="AF20" i="4"/>
  <c r="AG21" i="4"/>
  <c r="AF21" i="4"/>
  <c r="AG22" i="4"/>
  <c r="AF22" i="4"/>
  <c r="AG23" i="4"/>
  <c r="AF23" i="4"/>
  <c r="AG24" i="4"/>
  <c r="AF24" i="4"/>
  <c r="AG25" i="4"/>
  <c r="AF25" i="4"/>
  <c r="AG26" i="4"/>
  <c r="AF26" i="4"/>
  <c r="AG27" i="4"/>
  <c r="AF27" i="4"/>
  <c r="AG28" i="4"/>
  <c r="AF28" i="4"/>
  <c r="AG29" i="4"/>
  <c r="AF29" i="4"/>
  <c r="AG30" i="4"/>
  <c r="AF30" i="4"/>
  <c r="AG31" i="4"/>
  <c r="AF31" i="4"/>
  <c r="AG32" i="4"/>
  <c r="AF32" i="4"/>
  <c r="AG33" i="4"/>
  <c r="AF33" i="4"/>
  <c r="AG35" i="4"/>
  <c r="AF35" i="4"/>
  <c r="AG36" i="4"/>
  <c r="AF36" i="4"/>
  <c r="AG37" i="4"/>
  <c r="AF37" i="4"/>
  <c r="AG7" i="4"/>
  <c r="AF7" i="4"/>
  <c r="AF8" i="3"/>
  <c r="AE8" i="3"/>
  <c r="AF9" i="3"/>
  <c r="AE9" i="3"/>
  <c r="AF10" i="3"/>
  <c r="AE10" i="3"/>
  <c r="AF11" i="3"/>
  <c r="AE11" i="3"/>
  <c r="AF12" i="3"/>
  <c r="AE12" i="3"/>
  <c r="AF13" i="3"/>
  <c r="AE13" i="3"/>
  <c r="AF14" i="3"/>
  <c r="AE14" i="3"/>
  <c r="AF15" i="3"/>
  <c r="AE15" i="3"/>
  <c r="AF16" i="3"/>
  <c r="AE16" i="3"/>
  <c r="AF17" i="3"/>
  <c r="AE17" i="3"/>
  <c r="AF18" i="3"/>
  <c r="AE18" i="3"/>
  <c r="AF19" i="3"/>
  <c r="AE19" i="3"/>
  <c r="AF20" i="3"/>
  <c r="AE20" i="3"/>
  <c r="AF21" i="3"/>
  <c r="AE21" i="3"/>
  <c r="AF22" i="3"/>
  <c r="AE22" i="3"/>
  <c r="AF23" i="3"/>
  <c r="AE23" i="3"/>
  <c r="AF24" i="3"/>
  <c r="AE24" i="3"/>
  <c r="AF25" i="3"/>
  <c r="AE25" i="3"/>
  <c r="AF26" i="3"/>
  <c r="AE26" i="3"/>
  <c r="AF27" i="3"/>
  <c r="AE27" i="3"/>
  <c r="AF28" i="3"/>
  <c r="AE28" i="3"/>
  <c r="AF29" i="3"/>
  <c r="AE29" i="3"/>
  <c r="AF30" i="3"/>
  <c r="AE30" i="3"/>
  <c r="AF31" i="3"/>
  <c r="AE31" i="3"/>
  <c r="AF32" i="3"/>
  <c r="AE32" i="3"/>
  <c r="AF33" i="3"/>
  <c r="AE33" i="3"/>
  <c r="AF34" i="3"/>
  <c r="AE34" i="3"/>
  <c r="AF35" i="3"/>
  <c r="AE35" i="3"/>
  <c r="AF36" i="3"/>
  <c r="AE36" i="3"/>
  <c r="AF7" i="3"/>
  <c r="AE7" i="3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30" i="1"/>
  <c r="AD31" i="1"/>
  <c r="AD32" i="1"/>
  <c r="AD2" i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5" i="4"/>
  <c r="D36" i="4"/>
  <c r="D37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C33" i="1"/>
  <c r="T33" i="1"/>
  <c r="U33" i="1"/>
  <c r="V33" i="1"/>
  <c r="W33" i="1"/>
  <c r="X33" i="1"/>
  <c r="AB33" i="1"/>
  <c r="Y33" i="1"/>
  <c r="Z33" i="1"/>
  <c r="AA33" i="1"/>
  <c r="D33" i="1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5" i="4"/>
  <c r="AJ36" i="4"/>
  <c r="AJ37" i="4"/>
  <c r="AK12" i="4"/>
  <c r="AK13" i="4"/>
  <c r="AK35" i="4"/>
  <c r="AK10" i="4"/>
  <c r="AN11" i="4"/>
  <c r="AK14" i="4"/>
  <c r="AK18" i="4"/>
  <c r="AN21" i="4"/>
  <c r="AK22" i="4"/>
  <c r="AN24" i="4"/>
  <c r="AN25" i="4"/>
  <c r="AK29" i="4"/>
  <c r="AK31" i="4"/>
  <c r="AK8" i="4"/>
  <c r="AK9" i="4"/>
  <c r="AK11" i="4"/>
  <c r="AK16" i="4"/>
  <c r="AK17" i="4"/>
  <c r="AK21" i="4"/>
  <c r="AK24" i="4"/>
  <c r="AK30" i="4"/>
  <c r="AK7" i="4"/>
  <c r="AM17" i="4"/>
  <c r="AM20" i="4"/>
  <c r="AM22" i="4"/>
  <c r="AM35" i="4"/>
  <c r="AM37" i="4"/>
  <c r="BL11" i="4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12" i="7"/>
  <c r="A22" i="7"/>
  <c r="A23" i="7"/>
  <c r="A11" i="2"/>
  <c r="A12" i="2"/>
  <c r="AL16" i="3"/>
  <c r="AL17" i="3"/>
  <c r="B17" i="3"/>
  <c r="C17" i="3"/>
  <c r="B16" i="3"/>
  <c r="C16" i="3"/>
  <c r="BL16" i="4"/>
  <c r="BL17" i="4"/>
  <c r="B17" i="4"/>
  <c r="C17" i="4"/>
  <c r="B16" i="4"/>
  <c r="C16" i="4"/>
  <c r="C12" i="4"/>
  <c r="C13" i="4"/>
  <c r="C14" i="4"/>
  <c r="C15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5" i="4"/>
  <c r="C36" i="4"/>
  <c r="C37" i="4"/>
  <c r="B11" i="4"/>
  <c r="C11" i="4"/>
  <c r="C7" i="3"/>
  <c r="C8" i="3"/>
  <c r="C9" i="3"/>
  <c r="C10" i="3"/>
  <c r="C11" i="3"/>
  <c r="C12" i="3"/>
  <c r="C13" i="3"/>
  <c r="C14" i="3"/>
  <c r="C15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7" i="4"/>
  <c r="C8" i="4"/>
  <c r="C9" i="4"/>
  <c r="C10" i="4"/>
  <c r="C3" i="4"/>
  <c r="D7" i="4"/>
  <c r="AL11" i="3"/>
  <c r="B11" i="3"/>
  <c r="A6" i="2"/>
  <c r="A21" i="7"/>
  <c r="AL8" i="3"/>
  <c r="AL9" i="3"/>
  <c r="AL10" i="3"/>
  <c r="AL12" i="3"/>
  <c r="AL13" i="3"/>
  <c r="AL14" i="3"/>
  <c r="AL15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BL8" i="4"/>
  <c r="BL9" i="4"/>
  <c r="BL10" i="4"/>
  <c r="BL12" i="4"/>
  <c r="BL13" i="4"/>
  <c r="BL14" i="4"/>
  <c r="BL15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5" i="4"/>
  <c r="BL36" i="4"/>
  <c r="BL37" i="4"/>
  <c r="B25" i="4"/>
  <c r="B26" i="4"/>
  <c r="B27" i="4"/>
  <c r="B28" i="4"/>
  <c r="B29" i="4"/>
  <c r="B30" i="4"/>
  <c r="A5" i="2"/>
  <c r="B25" i="3"/>
  <c r="A20" i="2"/>
  <c r="A25" i="7"/>
  <c r="A7" i="7"/>
  <c r="B10" i="4"/>
  <c r="B10" i="3"/>
  <c r="A4" i="4"/>
  <c r="A3" i="7"/>
  <c r="A6" i="7"/>
  <c r="A4" i="7"/>
  <c r="A5" i="7"/>
  <c r="A11" i="7"/>
  <c r="A28" i="7"/>
  <c r="A10" i="7"/>
  <c r="A14" i="7"/>
  <c r="A15" i="7"/>
  <c r="A8" i="7"/>
  <c r="A13" i="7"/>
  <c r="A24" i="7"/>
  <c r="A30" i="7"/>
  <c r="A31" i="7"/>
  <c r="A18" i="7"/>
  <c r="A29" i="7"/>
  <c r="A17" i="7"/>
  <c r="A9" i="7"/>
  <c r="A26" i="7"/>
  <c r="A27" i="7"/>
  <c r="A16" i="7"/>
  <c r="A20" i="7"/>
  <c r="A19" i="7"/>
  <c r="A2" i="7"/>
  <c r="B37" i="4"/>
  <c r="B36" i="4"/>
  <c r="B35" i="4"/>
  <c r="B33" i="4"/>
  <c r="B32" i="4"/>
  <c r="B31" i="4"/>
  <c r="B24" i="4"/>
  <c r="B23" i="4"/>
  <c r="B22" i="4"/>
  <c r="B21" i="4"/>
  <c r="B20" i="4"/>
  <c r="B19" i="4"/>
  <c r="B18" i="4"/>
  <c r="B15" i="4"/>
  <c r="B14" i="4"/>
  <c r="B13" i="4"/>
  <c r="B12" i="4"/>
  <c r="B9" i="4"/>
  <c r="B8" i="4"/>
  <c r="BL7" i="4"/>
  <c r="B7" i="4"/>
  <c r="D3" i="4"/>
  <c r="A15" i="2"/>
  <c r="AL7" i="3"/>
  <c r="A3" i="2"/>
  <c r="A4" i="2"/>
  <c r="A7" i="2"/>
  <c r="A8" i="2"/>
  <c r="A9" i="2"/>
  <c r="A10" i="2"/>
  <c r="A13" i="2"/>
  <c r="A14" i="2"/>
  <c r="A17" i="2"/>
  <c r="A18" i="2"/>
  <c r="A19" i="2"/>
  <c r="A21" i="2"/>
  <c r="A22" i="2"/>
  <c r="A23" i="2"/>
  <c r="A24" i="2"/>
  <c r="A25" i="2"/>
  <c r="A26" i="2"/>
  <c r="A27" i="2"/>
  <c r="A28" i="2"/>
  <c r="A30" i="2"/>
  <c r="A31" i="2"/>
  <c r="A32" i="2"/>
  <c r="A16" i="2"/>
  <c r="A2" i="2"/>
  <c r="B21" i="3"/>
  <c r="B22" i="3"/>
  <c r="B20" i="3"/>
  <c r="B35" i="3"/>
  <c r="B36" i="3"/>
  <c r="B30" i="3"/>
  <c r="B31" i="3"/>
  <c r="B32" i="3"/>
  <c r="B33" i="3"/>
  <c r="B34" i="3"/>
  <c r="B8" i="3"/>
  <c r="B9" i="3"/>
  <c r="B12" i="3"/>
  <c r="B13" i="3"/>
  <c r="B14" i="3"/>
  <c r="B15" i="3"/>
  <c r="B18" i="3"/>
  <c r="B19" i="3"/>
  <c r="B23" i="3"/>
  <c r="B24" i="3"/>
  <c r="B26" i="3"/>
  <c r="B27" i="3"/>
  <c r="B28" i="3"/>
  <c r="B29" i="3"/>
  <c r="B7" i="3"/>
  <c r="C3" i="3"/>
</calcChain>
</file>

<file path=xl/comments1.xml><?xml version="1.0" encoding="utf-8"?>
<comments xmlns="http://schemas.openxmlformats.org/spreadsheetml/2006/main">
  <authors>
    <author>Microsoft Office-gebruiker</author>
  </authors>
  <commentList>
    <comment ref="BH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I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J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K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</commentList>
</comments>
</file>

<file path=xl/comments2.xml><?xml version="1.0" encoding="utf-8"?>
<comments xmlns="http://schemas.openxmlformats.org/spreadsheetml/2006/main">
  <authors>
    <author>Microsoft Office-gebruiker</author>
  </authors>
  <commentList>
    <comment ref="BH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I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J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  <comment ref="BK3" authorId="0">
      <text>
        <r>
          <rPr>
            <b/>
            <sz val="10"/>
            <color indexed="81"/>
            <rFont val="Calibri"/>
            <family val="2"/>
          </rPr>
          <t>Microsoft Office-gebruiker:</t>
        </r>
        <r>
          <rPr>
            <sz val="10"/>
            <color indexed="81"/>
            <rFont val="Calibri"/>
            <family val="2"/>
          </rPr>
          <t xml:space="preserve">
ebruik makend van de "3" waardes in de cellen
</t>
        </r>
      </text>
    </comment>
  </commentList>
</comments>
</file>

<file path=xl/sharedStrings.xml><?xml version="1.0" encoding="utf-8"?>
<sst xmlns="http://schemas.openxmlformats.org/spreadsheetml/2006/main" count="1085" uniqueCount="380">
  <si>
    <t>Pathogen visible to
 naked eye</t>
  </si>
  <si>
    <t>Colour
change/Darkening</t>
  </si>
  <si>
    <t>Pop-eye</t>
  </si>
  <si>
    <t>Increased mortalitities</t>
  </si>
  <si>
    <t>Fin rot</t>
  </si>
  <si>
    <t>Faecal cast</t>
  </si>
  <si>
    <t>Anchor worm (Lernaea)</t>
  </si>
  <si>
    <t>Mycobacteria</t>
  </si>
  <si>
    <t>Lymphocystis</t>
  </si>
  <si>
    <t>Achter de Wereld 1 - 2230 Herselt België    tel.: 016-696839   info@bassleer.com     www.bassleer.com</t>
  </si>
  <si>
    <t>Not eating</t>
  </si>
  <si>
    <t>Columnaris/Flavobacteria</t>
  </si>
  <si>
    <t>Fungus (Saprolegnia)</t>
  </si>
  <si>
    <t>Hole-in-the-head/HLLS
(Spironucleus)</t>
  </si>
  <si>
    <t>White spot disease
(Ichthyophthirius)</t>
  </si>
  <si>
    <t>Clamped/Fraying fins</t>
  </si>
  <si>
    <t>Cotton growth</t>
  </si>
  <si>
    <t>Dusty look</t>
  </si>
  <si>
    <t>Listless(V)</t>
  </si>
  <si>
    <t>Scraping(V)</t>
  </si>
  <si>
    <t>Respiratory problems(V)</t>
  </si>
  <si>
    <t>Flashing/Wobbling(V)</t>
  </si>
  <si>
    <t>Poor Water Quality</t>
  </si>
  <si>
    <t>Fish Lice(Argulus/Livoneca)</t>
  </si>
  <si>
    <t>Aggression</t>
  </si>
  <si>
    <t>Lack of (good) Food</t>
  </si>
  <si>
    <t>Exhaustion Progress</t>
  </si>
  <si>
    <t>Dropsy/Septicaemia</t>
  </si>
  <si>
    <t>Velvet disease (Oodinium)</t>
  </si>
  <si>
    <t>Tetrahymena</t>
  </si>
  <si>
    <t>Dropsy(ascites &amp;
swollen belly</t>
  </si>
  <si>
    <t>False Fungal Parasites</t>
  </si>
  <si>
    <t>Discus /Angel fish pest</t>
  </si>
  <si>
    <t>KHV</t>
  </si>
  <si>
    <t>Goldfish Herpes Virus</t>
  </si>
  <si>
    <t>Other Bacterial infection</t>
  </si>
  <si>
    <t>Skin Necrotic lesion</t>
  </si>
  <si>
    <t>White spots</t>
  </si>
  <si>
    <t>Erratic/Nervous(V)</t>
  </si>
  <si>
    <r>
      <t xml:space="preserve">Key
</t>
    </r>
    <r>
      <rPr>
        <sz val="11"/>
        <color theme="1"/>
        <rFont val="Calibri"/>
        <family val="2"/>
        <scheme val="minor"/>
      </rPr>
      <t>0: not display
1: Mild
2: Moderate.
3: Prominent</t>
    </r>
  </si>
  <si>
    <r>
      <t>Fish Species Search:</t>
    </r>
    <r>
      <rPr>
        <sz val="11"/>
        <color theme="1"/>
        <rFont val="Calibri"/>
        <family val="2"/>
        <scheme val="minor"/>
      </rPr>
      <t xml:space="preserve"> www.fishbase.org                 </t>
    </r>
    <r>
      <rPr>
        <u/>
        <sz val="11"/>
        <color theme="1"/>
        <rFont val="Calibri"/>
        <family val="2"/>
        <scheme val="minor"/>
      </rPr>
      <t xml:space="preserve">Key
</t>
    </r>
    <r>
      <rPr>
        <sz val="11"/>
        <color theme="1"/>
        <rFont val="Calibri"/>
        <family val="2"/>
        <scheme val="minor"/>
      </rPr>
      <t>0: not seen (yet)
1: Rarely found
2: Sometimes
3: Typical or often</t>
    </r>
  </si>
  <si>
    <t>Testgegevens</t>
  </si>
  <si>
    <t>Symptomen:</t>
  </si>
  <si>
    <t>vis(familie)</t>
  </si>
  <si>
    <t>Families:</t>
  </si>
  <si>
    <t>totaal</t>
  </si>
  <si>
    <t>Berekening:</t>
  </si>
  <si>
    <t>ziekte:</t>
  </si>
  <si>
    <t>totaal mogelijk</t>
  </si>
  <si>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</si>
  <si>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</si>
  <si>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</si>
  <si>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</si>
  <si>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</si>
  <si>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</si>
  <si>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</si>
  <si>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</si>
  <si>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</si>
  <si>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</si>
  <si>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</si>
  <si>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</si>
  <si>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</si>
  <si>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</si>
  <si>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Kolom16</t>
  </si>
  <si>
    <t>Kolom18</t>
  </si>
  <si>
    <t>Kolom19</t>
  </si>
  <si>
    <t>Kolom20</t>
  </si>
  <si>
    <t>Kolom21</t>
  </si>
  <si>
    <t>Kolom22</t>
  </si>
  <si>
    <t>Kolom25</t>
  </si>
  <si>
    <t>Kolom26</t>
  </si>
  <si>
    <t>Kolom27</t>
  </si>
  <si>
    <t>Kolom28</t>
  </si>
  <si>
    <t>Kolom29</t>
  </si>
  <si>
    <t>% ziekte (punten/totaal aantalpunten)</t>
  </si>
  <si>
    <t>Totale kans</t>
  </si>
  <si>
    <t>Kolom30</t>
  </si>
  <si>
    <t>Kolom292</t>
  </si>
  <si>
    <t>rij in ziektes</t>
  </si>
  <si>
    <t>waarde in rel. met familie</t>
  </si>
  <si>
    <t>berekening relatie met familie</t>
  </si>
  <si>
    <t>Spironucles/Hexamita/no HLLS</t>
  </si>
  <si>
    <t>3= easy to see/heavy/photo or video available= best for correc analysis</t>
  </si>
  <si>
    <t>2 = mild/ not always very clear= can be confused with others &amp; must be mentioned in results</t>
  </si>
  <si>
    <t>1= light….just use as info….but might add up % of correct analysis</t>
  </si>
  <si>
    <t>0 = none</t>
  </si>
  <si>
    <t>When 3 is not available= analysis becomes difficult = 'Lack of Food'  or 'Other bacterial infection' is example</t>
  </si>
  <si>
    <t>when pathogen can be seen = 3= best for correct analysis</t>
  </si>
  <si>
    <t>COMMENTS</t>
  </si>
  <si>
    <t xml:space="preserve">Waarde in relatie to family= here Poecilidae CANNOT have Discus Pest nor HLLS nor KHV nor Goldfish herpes= error in calculation because 0 is listed? </t>
  </si>
  <si>
    <t>x</t>
  </si>
  <si>
    <t>Fighting</t>
  </si>
  <si>
    <t>lijken op elkaar</t>
  </si>
  <si>
    <t>Scale loss</t>
  </si>
  <si>
    <t>Kolom72</t>
  </si>
  <si>
    <t>Jerky movements</t>
  </si>
  <si>
    <t>Kolom222</t>
  </si>
  <si>
    <t>Kolom223</t>
  </si>
  <si>
    <t>Kolom293</t>
  </si>
  <si>
    <t>Kolom294</t>
  </si>
  <si>
    <t>optellen "3" waardes</t>
  </si>
  <si>
    <t>Kolom295</t>
  </si>
  <si>
    <t>optellen "2" waardes</t>
  </si>
  <si>
    <t>Kolom296</t>
  </si>
  <si>
    <t>optellen "1" waardes</t>
  </si>
  <si>
    <t>Kolom297</t>
  </si>
  <si>
    <t>Kolom2962</t>
  </si>
  <si>
    <t>Kolom2963</t>
  </si>
  <si>
    <t>#3 in "Symptomen"</t>
  </si>
  <si>
    <t>Ziekte</t>
  </si>
  <si>
    <t>Medicatie</t>
  </si>
  <si>
    <t>Medicatie-2</t>
  </si>
  <si>
    <t>Leverancier-2</t>
  </si>
  <si>
    <t>Kolom298</t>
  </si>
  <si>
    <t>Bacteriële infectie en Mycobacterium</t>
  </si>
  <si>
    <t>Kolom29622</t>
  </si>
  <si>
    <t>Kolom29623</t>
  </si>
  <si>
    <t>#2 in "Symptomen"</t>
  </si>
  <si>
    <t>#1 in "Symptomen"</t>
  </si>
  <si>
    <t>Kolom29624</t>
  </si>
  <si>
    <t>Kolom299</t>
  </si>
  <si>
    <t>voldoet van # van "5 belangrijke" symptomen</t>
  </si>
  <si>
    <t>"aantal 3" van "5 belangrijke" symptomen</t>
  </si>
  <si>
    <t>"aantal 2" van "5 belangrijke" symptomen</t>
  </si>
  <si>
    <t>Kolom2933</t>
  </si>
  <si>
    <t>Kolom2964</t>
  </si>
  <si>
    <t>Kolom29632</t>
  </si>
  <si>
    <t>Kolom29633</t>
  </si>
  <si>
    <t>% aantal 3</t>
  </si>
  <si>
    <t>% aantal 2</t>
  </si>
  <si>
    <t>% aantal 1</t>
  </si>
  <si>
    <t>belangrijkheid</t>
  </si>
  <si>
    <t>Mogelijke belangrijkheid</t>
  </si>
  <si>
    <t>herkenbaar door goed te kijken</t>
  </si>
  <si>
    <t>redelijk herkenbaar</t>
  </si>
  <si>
    <t>matig herkenbaar</t>
  </si>
  <si>
    <t>Skin ulcer/heamorrhage</t>
  </si>
  <si>
    <t>opmerkingen</t>
  </si>
  <si>
    <t>White Mucus/Extra Slime</t>
  </si>
  <si>
    <t>lastig herkenbaar</t>
  </si>
  <si>
    <t>nee</t>
  </si>
  <si>
    <t>ja</t>
  </si>
  <si>
    <t>opmerking gedrag</t>
  </si>
  <si>
    <t>Argumor</t>
  </si>
  <si>
    <t>Aquarium Münster</t>
  </si>
  <si>
    <t>Faunamor</t>
  </si>
  <si>
    <t>Furamor-P</t>
  </si>
  <si>
    <t>Dessamor</t>
  </si>
  <si>
    <t>BFF herbal</t>
  </si>
  <si>
    <t>avoid risk, more hiding places</t>
  </si>
  <si>
    <t>check origin of problem</t>
  </si>
  <si>
    <t>check feeding procedure and food quality</t>
  </si>
  <si>
    <t>Aangepaste berekening 
(% van #3 belangrijke symptomen)</t>
  </si>
  <si>
    <t>Camallanus</t>
  </si>
  <si>
    <t>Sporozoa parasites</t>
  </si>
  <si>
    <t>Plistophora</t>
  </si>
  <si>
    <t>Skin fluke (i.e. Gyrodactylus)</t>
  </si>
  <si>
    <t>Gill fluke (i.e. Dactylogyrus)</t>
  </si>
  <si>
    <t>Listless(V): Laying on bottom</t>
  </si>
  <si>
    <t>Listless(V): hanging at surface</t>
  </si>
  <si>
    <t>Kolom172</t>
  </si>
  <si>
    <t>Kolom173</t>
  </si>
  <si>
    <t>BFF forte</t>
  </si>
  <si>
    <t>gedrag=video</t>
  </si>
  <si>
    <t>Ja= video</t>
  </si>
  <si>
    <t>Nee= photo</t>
  </si>
  <si>
    <t>kleur</t>
  </si>
  <si>
    <t>belang synptoom (uit tabblad Belang symptomen)</t>
  </si>
  <si>
    <t>Chilodonella/(Ichthyobodo/Costia)/Trichodina</t>
  </si>
  <si>
    <t>Capillaria/Nematode/other/internal worms</t>
  </si>
  <si>
    <t>Kolom110</t>
  </si>
  <si>
    <t>Swellings (Cancers, Trematodes, Nematode)</t>
  </si>
  <si>
    <t>Black spot disease (mostly encapsulated digenetic Trematodes; Metacercaria, worms)</t>
  </si>
  <si>
    <t>White crub disease (encapsulate worms, NO ICH)</t>
  </si>
  <si>
    <t>Extra growth on body/skin</t>
  </si>
  <si>
    <t>White large specks/growths</t>
  </si>
  <si>
    <t>Black spots</t>
  </si>
  <si>
    <t>Kolom132</t>
  </si>
  <si>
    <t>Kolom133</t>
  </si>
  <si>
    <t>Kolom62</t>
  </si>
  <si>
    <t>Lastig om verschil te bepalen tussen "fighting" en "imponeren" =&gt; fighting is met vinschade &amp; letsels; door video kan het goed weergegeven worden</t>
  </si>
  <si>
    <t>Other "beneficial" treatment</t>
  </si>
  <si>
    <t>none</t>
  </si>
  <si>
    <t>Dactymor</t>
  </si>
  <si>
    <t>BFF garlic</t>
  </si>
  <si>
    <t>BFF = Biofish Food</t>
  </si>
  <si>
    <t>BFF professional care</t>
  </si>
  <si>
    <t>Hexamor</t>
  </si>
  <si>
    <t>BFF garlic+ BFF chlorella</t>
  </si>
  <si>
    <t>put in quarantine+BFF professional care</t>
  </si>
  <si>
    <t>Odimor</t>
  </si>
  <si>
    <t>Regular &amp; many Water changes+BFF forte</t>
  </si>
  <si>
    <t>Ektomor</t>
  </si>
  <si>
    <t>Virumor</t>
  </si>
  <si>
    <t>BFF forte+BFF herbal</t>
  </si>
  <si>
    <t>BFF matrine</t>
  </si>
  <si>
    <t>Producent</t>
  </si>
  <si>
    <t>Coughing</t>
  </si>
  <si>
    <t>"Abnormal"/stressbehavior(V)</t>
  </si>
  <si>
    <t>Rangnummer</t>
  </si>
  <si>
    <t>Kolom2910</t>
  </si>
  <si>
    <t>Kolom2965</t>
  </si>
  <si>
    <t>#10 in "Symptomen"</t>
  </si>
  <si>
    <t>Kolom2972</t>
  </si>
  <si>
    <t>"aantal 10" van "5 belangrijke" symptomen</t>
  </si>
  <si>
    <t>Kolom296232</t>
  </si>
  <si>
    <t>Aangepaste berekening 
(% van #10 belangrijke symptomen)</t>
  </si>
  <si>
    <t>Kolom300</t>
  </si>
  <si>
    <t>optellen "10" waardes</t>
  </si>
  <si>
    <t>totaal vergeven punten</t>
  </si>
  <si>
    <t>som=</t>
  </si>
  <si>
    <t>Fighting (v)</t>
  </si>
  <si>
    <t>Coughing (v)</t>
  </si>
  <si>
    <t>Kolom29634</t>
  </si>
  <si>
    <t>% aantal 10</t>
  </si>
  <si>
    <t>Kolom2934</t>
  </si>
  <si>
    <t>Kolom29332</t>
  </si>
  <si>
    <t>BFF forte+BFF GSE/moringa</t>
  </si>
  <si>
    <t>BFF forte+BFF herbal+BFF GSE/moringa</t>
  </si>
  <si>
    <r>
      <t xml:space="preserve">Key
</t>
    </r>
    <r>
      <rPr>
        <sz val="11"/>
        <color theme="1"/>
        <rFont val="Calibri"/>
        <family val="2"/>
        <scheme val="minor"/>
      </rPr>
      <t>0: not display
1: Mild
2: Moderate.
3: Prominent
10: Clear indication</t>
    </r>
  </si>
  <si>
    <t>Kolom2973</t>
  </si>
  <si>
    <r>
      <t xml:space="preserve">Key
</t>
    </r>
    <r>
      <rPr>
        <sz val="11"/>
        <color theme="1"/>
        <rFont val="Calibri"/>
        <family val="2"/>
        <scheme val="minor"/>
      </rPr>
      <t>0: not display
1: Mild
2: Moderate.
3: Prominent
5: Indication
10: Clear indication</t>
    </r>
  </si>
  <si>
    <t>"aantal 5" van "5 belangrijke" symptomen</t>
  </si>
  <si>
    <t>Kolom301</t>
  </si>
  <si>
    <t>optellen "5" waardes</t>
  </si>
  <si>
    <t>Kolom2966</t>
  </si>
  <si>
    <t>#5 in "Symptomen"</t>
  </si>
  <si>
    <t>Kolom296233</t>
  </si>
  <si>
    <t>Aangepaste berekening
(% van #2 belangrijke symptomen)</t>
  </si>
  <si>
    <t>Aangepaste berekening 
(% van #5 belangrijke symptomen)</t>
  </si>
  <si>
    <t>Kolom29635</t>
  </si>
  <si>
    <t>% aantal 5</t>
  </si>
  <si>
    <t>Aangepaste berekening 4
(gecombineerd percentage van "10"&amp;"5"&amp;"3" &amp;"2" en "1")</t>
  </si>
  <si>
    <t>Aangepaste berekening 5
(gecombineerd percentage van "10"&amp;"5"&amp;"3" &amp;"2")</t>
  </si>
  <si>
    <t>Aangepaste berekening 2 
(gecombineerd percentage van "10"&amp;"5"&amp;"3" &amp;"2" en overall)
uitgaande van  "belangrijk 5" symptomen</t>
  </si>
  <si>
    <t>Aangepaste berekening 3
(gecombineerd percentage van "10"&amp;"5"&amp;"3" &amp;"2")
uitgaande van  "belangrijk 5" symptomen</t>
  </si>
  <si>
    <t>Kolom2911</t>
  </si>
  <si>
    <t>Kolom29102</t>
  </si>
  <si>
    <t>Kolom29103</t>
  </si>
  <si>
    <t>Kolom29104</t>
  </si>
  <si>
    <t xml:space="preserve">rangnummer
angepaste berekening 2 </t>
  </si>
  <si>
    <t>rangnummer
% ziekte (punten/totaal aantalpunten)</t>
  </si>
  <si>
    <t>rangnummer
Aangepaste berekening 3</t>
  </si>
  <si>
    <t>rangnummer
Aangepaste berekening 4</t>
  </si>
  <si>
    <t>rangnummer
Aangepaste berekening 5</t>
  </si>
  <si>
    <t>gemiddelde rang</t>
  </si>
  <si>
    <t>rang</t>
  </si>
  <si>
    <t>Kolom31</t>
  </si>
  <si>
    <t>TETRAS/CHARACIDAE= TETRA</t>
  </si>
  <si>
    <t>LIVEBEARERS/POECILIDAE= LIVE</t>
  </si>
  <si>
    <t>GOURAMIES/OSPHRONEMIDAE=GOUR</t>
  </si>
  <si>
    <t>CATFISH /Callichthidae = CAT</t>
  </si>
  <si>
    <t>CICHLID AFRICAN dwarf =CICHAFDW</t>
  </si>
  <si>
    <t>CICHLID MALAWI Lake =CICHMAL</t>
  </si>
  <si>
    <t>CICHLID TANGANYIKA=CICHTAN</t>
  </si>
  <si>
    <t>CICHLID S-AMERICAN DWARF(Apistogramma,etc.)=CICHSADW</t>
  </si>
  <si>
    <t>CICHLID S-AMERICAN large(Discus,Angelfish,etc.)=CICHSALG</t>
  </si>
  <si>
    <t>GOLDFISH FANCY=GOLDFAN</t>
  </si>
  <si>
    <t>GOLDFISH &amp; VARIETIES=GOLDFISH</t>
  </si>
  <si>
    <t>KOI CARP=KOI</t>
  </si>
  <si>
    <t>LOACH/COBITIDAE = LOACH</t>
  </si>
  <si>
    <t>KILLIES/APLOCHEILIDAE&amp;NOTHOBRANCHIDAE= KILLIE</t>
  </si>
  <si>
    <t>RAINBOWFISH/MELONOTAENIDAE= RAINB</t>
  </si>
  <si>
    <t>ELEPHANT LONGNOSE/MORMYRIDAE = MORM</t>
  </si>
  <si>
    <t>1e</t>
  </si>
  <si>
    <t>2e</t>
  </si>
  <si>
    <t>3e</t>
  </si>
  <si>
    <t>4e</t>
  </si>
  <si>
    <t>5e</t>
  </si>
  <si>
    <t>ziekte</t>
  </si>
  <si>
    <t>1/4</t>
  </si>
  <si>
    <t>Kolom2912</t>
  </si>
  <si>
    <t>% ziekte tov andere ziektes met dezelfde symptomen (dus kolom)</t>
  </si>
  <si>
    <t>Kolom29112</t>
  </si>
  <si>
    <t>Kolom29113</t>
  </si>
  <si>
    <t>Kolom29114</t>
  </si>
  <si>
    <t>Kolom29115</t>
  </si>
  <si>
    <t>Kolom29116</t>
  </si>
  <si>
    <t>Kolom29117</t>
  </si>
  <si>
    <t>Kolom29118</t>
  </si>
  <si>
    <t>Kolom29119</t>
  </si>
  <si>
    <t>Kolom29120</t>
  </si>
  <si>
    <t>Kolom29121</t>
  </si>
  <si>
    <t>Kolom29122</t>
  </si>
  <si>
    <t>Kolom29123</t>
  </si>
  <si>
    <t>Kolom29124</t>
  </si>
  <si>
    <t>Kolom29125</t>
  </si>
  <si>
    <t>Kolom29126</t>
  </si>
  <si>
    <t>Kolom29127</t>
  </si>
  <si>
    <t>Kolom29128</t>
  </si>
  <si>
    <t>Kolom29129</t>
  </si>
  <si>
    <t>Kolom29130</t>
  </si>
  <si>
    <t>Kolom29131</t>
  </si>
  <si>
    <t>Kolom29132</t>
  </si>
  <si>
    <t>Kolom29133</t>
  </si>
  <si>
    <t>Kolom29134</t>
  </si>
  <si>
    <t>Kolom29135</t>
  </si>
  <si>
    <t>Kolom29136</t>
  </si>
  <si>
    <t>#"x"</t>
  </si>
  <si>
    <t>Kolom29137</t>
  </si>
  <si>
    <t>gemiddelde rang in symptomen</t>
  </si>
  <si>
    <t>Kolom29138</t>
  </si>
  <si>
    <t>Kolom29139</t>
  </si>
  <si>
    <t>volgorde n.a.v. gemiddelde rang in symptomen</t>
  </si>
  <si>
    <t>Met gewogen gemiddelde</t>
  </si>
  <si>
    <t>Kolom291110</t>
  </si>
  <si>
    <t>Kolom291122</t>
  </si>
  <si>
    <t>Kolom291132</t>
  </si>
  <si>
    <t>Kolom291142</t>
  </si>
  <si>
    <t>Kolom291152</t>
  </si>
  <si>
    <t>Kolom291162</t>
  </si>
  <si>
    <t>Kolom291172</t>
  </si>
  <si>
    <t>Kolom291182</t>
  </si>
  <si>
    <t>Kolom291192</t>
  </si>
  <si>
    <t>Kolom291202</t>
  </si>
  <si>
    <t>Kolom291212</t>
  </si>
  <si>
    <t>Kolom291222</t>
  </si>
  <si>
    <t>Kolom291232</t>
  </si>
  <si>
    <t>Kolom291242</t>
  </si>
  <si>
    <t>Kolom291252</t>
  </si>
  <si>
    <t>Kolom291262</t>
  </si>
  <si>
    <t>Kolom291272</t>
  </si>
  <si>
    <t>Kolom291282</t>
  </si>
  <si>
    <t>Kolom291292</t>
  </si>
  <si>
    <t>Kolom291302</t>
  </si>
  <si>
    <t>Kolom291312</t>
  </si>
  <si>
    <t>Kolom291322</t>
  </si>
  <si>
    <t>Kolom291332</t>
  </si>
  <si>
    <t>Kolom291342</t>
  </si>
  <si>
    <t>Kolom291352</t>
  </si>
  <si>
    <t>Kolom291362</t>
  </si>
  <si>
    <t>Kolom291382</t>
  </si>
  <si>
    <t>Kolom29140</t>
  </si>
  <si>
    <t>links*waarde belangrijkheid</t>
  </si>
  <si>
    <t>Kolom29141</t>
  </si>
  <si>
    <t>Zijn oude gegevens… niet gesynchroniseerd</t>
  </si>
  <si>
    <t>CARPS/CYPRINIDAE/FANCY GOLDFISH = CARP</t>
  </si>
  <si>
    <t>L-catfish/LORICARIDAE= LCAT= CATFISH= uit</t>
  </si>
  <si>
    <t>OTHER/DIVERS SPECIES</t>
  </si>
  <si>
    <t>Worms Internal/Camallanus/Capillaria/Nematode/other worms</t>
  </si>
  <si>
    <t>Swellings (Cancers, Trematodes, Nematodes, Sporozoa, etc.)</t>
  </si>
  <si>
    <t>ICH/White spot disease
(Ichthyophthirius)</t>
  </si>
  <si>
    <t>Oodinium/Velvet disease</t>
  </si>
  <si>
    <t xml:space="preserve"> Black spot disease (mostly encapsulated worm larvae)</t>
  </si>
  <si>
    <t>White grub disease (encapsulated worm larvae, NO ICH)</t>
  </si>
  <si>
    <t>Tetrahymena (also called Guppy-killer)</t>
  </si>
  <si>
    <t>Hole-in-the-head/HLLS/Head-and-Lateral-Line-Syndrome</t>
  </si>
  <si>
    <t>Spironucleus/Hexamita</t>
  </si>
  <si>
    <t>Fungus (mostly Saprolegnia)</t>
  </si>
  <si>
    <t>False Fungal Parasites (Stalked ciliates)</t>
  </si>
  <si>
    <t>Plistophora (real Neon disease)</t>
  </si>
  <si>
    <t>Columnaris/Flavobacteria (also: false neon disease)</t>
  </si>
  <si>
    <t xml:space="preserve">Dropsy/Septicaemia/Ascites </t>
  </si>
  <si>
    <t>Mycobacteria, Fish tuberculosis, TB, FishTB, FishMB</t>
  </si>
  <si>
    <t>Bacterial infection, Other</t>
  </si>
  <si>
    <t>Lymphocystis/Cauliflower disease</t>
  </si>
  <si>
    <t>KHV (Kou Herpes Virus)=coldwater</t>
  </si>
  <si>
    <t>Goldfish Herpes Virus=coldwater</t>
  </si>
  <si>
    <t>Poor Water Quality= verwijderen???= beter bij analyse:water waardes</t>
  </si>
  <si>
    <t>Nutritional deficiency/lack of (good) food</t>
  </si>
  <si>
    <t>Swollen Belly/Dropsy/ascites</t>
  </si>
  <si>
    <t>Reddish wounds/Skin ulcer/heamorrhage/Bleeding skin</t>
  </si>
  <si>
    <t>Extra growth/swelling on body/skin/little creature</t>
  </si>
  <si>
    <t>Body Whitish/Necrotic lesion/Holes</t>
  </si>
  <si>
    <t>Fin rot/damage</t>
  </si>
  <si>
    <t>White Mucus/Extra Slime/Cloudy/Turbid skin</t>
  </si>
  <si>
    <t>Faecal cast/Excrement strings at anus</t>
  </si>
  <si>
    <t>Dusty look/fine pepper spots</t>
  </si>
  <si>
    <t>Increased mortalitities(uit???)</t>
  </si>
  <si>
    <t>Emaciation/Exhaustion Progress</t>
  </si>
  <si>
    <t>10, 5,3,2,1</t>
  </si>
  <si>
    <t>% ziekte (punten/totaal aantalpunten)
10,5,3,2,1</t>
  </si>
  <si>
    <t>Kolom2932</t>
  </si>
  <si>
    <t>Rangnummer (10,5,3,2,1)</t>
  </si>
  <si>
    <t>Less appetite/less eating</t>
  </si>
  <si>
    <t>Carp Pox Virus (Carp Herpes)= coldwater</t>
  </si>
  <si>
    <t>4</t>
  </si>
  <si>
    <t>BBF professional care</t>
  </si>
  <si>
    <t>AqMunster</t>
  </si>
  <si>
    <t>Black spot disease (mostly encapsulated worm larvae)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</si>
</sst>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9" tint="0.79998168889431442"/>
        <bgColor indexed="65"/>
      </patternFill>
    </fill>
    <fill>
      <patternFill patternType="lightDown">
        <fgColor theme="9" tint="-0.24994659260841701"/>
        <bgColor indexed="65"/>
      </patternFill>
    </fill>
    <fill>
      <patternFill patternType="lightTrellis">
        <fgColor theme="9" tint="-0.2499465926084170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lightUp">
        <bgColor theme="9" tint="0.59996337778862885"/>
      </patternFill>
    </fill>
    <fill>
      <patternFill patternType="lightUp">
        <bgColor theme="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double">
        <color theme="9" tint="-0.24994659260841701"/>
      </left>
      <right style="double">
        <color theme="9" tint="-0.24994659260841701"/>
      </right>
      <top style="hair">
        <color auto="1"/>
      </top>
      <bottom/>
      <diagonal/>
    </border>
    <border>
      <left style="double">
        <color theme="9" tint="-0.24994659260841701"/>
      </left>
      <right style="double">
        <color theme="9" tint="-0.24994659260841701"/>
      </right>
      <top style="medium">
        <color auto="1"/>
      </top>
      <bottom style="thin">
        <color auto="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auto="1"/>
      </top>
      <bottom style="thin">
        <color auto="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1" xfId="0" applyBorder="1"/>
    <xf numFmtId="0" fontId="2" fillId="2" borderId="0" xfId="0" applyFont="1" applyFill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vertical="center" textRotation="89" wrapText="1"/>
    </xf>
    <xf numFmtId="0" fontId="0" fillId="3" borderId="1" xfId="0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3" fillId="3" borderId="1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0" fillId="2" borderId="0" xfId="0" applyFont="1" applyFill="1"/>
    <xf numFmtId="0" fontId="3" fillId="3" borderId="3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0" fillId="0" borderId="0" xfId="0" applyAlignment="1">
      <alignment textRotation="90"/>
    </xf>
    <xf numFmtId="0" fontId="5" fillId="0" borderId="0" xfId="0" applyFont="1"/>
    <xf numFmtId="0" fontId="0" fillId="0" borderId="0" xfId="0" applyProtection="1">
      <protection locked="0"/>
    </xf>
    <xf numFmtId="0" fontId="0" fillId="0" borderId="0" xfId="0" applyBorder="1"/>
    <xf numFmtId="9" fontId="0" fillId="0" borderId="0" xfId="0" applyNumberFormat="1" applyBorder="1"/>
    <xf numFmtId="9" fontId="0" fillId="0" borderId="0" xfId="0" quotePrefix="1" applyNumberFormat="1" applyBorder="1"/>
    <xf numFmtId="0" fontId="5" fillId="0" borderId="0" xfId="0" applyFont="1" applyBorder="1"/>
    <xf numFmtId="0" fontId="0" fillId="0" borderId="1" xfId="0" applyBorder="1" applyProtection="1">
      <protection locked="0"/>
    </xf>
    <xf numFmtId="0" fontId="0" fillId="0" borderId="3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Alignment="1" applyProtection="1">
      <alignment textRotation="88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0" fillId="3" borderId="0" xfId="0" applyFill="1" applyBorder="1" applyProtection="1">
      <protection hidden="1"/>
    </xf>
    <xf numFmtId="0" fontId="0" fillId="3" borderId="2" xfId="0" applyFont="1" applyFill="1" applyBorder="1" applyAlignment="1">
      <alignment horizontal="center" vertical="center" textRotation="90"/>
    </xf>
    <xf numFmtId="0" fontId="0" fillId="0" borderId="0" xfId="0" applyBorder="1" applyProtection="1">
      <protection locked="0"/>
    </xf>
    <xf numFmtId="0" fontId="8" fillId="0" borderId="0" xfId="0" applyFont="1" applyAlignment="1">
      <alignment textRotation="90"/>
    </xf>
    <xf numFmtId="1" fontId="0" fillId="0" borderId="0" xfId="0" applyNumberFormat="1" applyBorder="1"/>
    <xf numFmtId="0" fontId="11" fillId="0" borderId="0" xfId="0" applyFont="1"/>
    <xf numFmtId="0" fontId="1" fillId="3" borderId="3" xfId="0" applyFont="1" applyFill="1" applyBorder="1" applyAlignment="1">
      <alignment wrapText="1"/>
    </xf>
    <xf numFmtId="0" fontId="0" fillId="5" borderId="3" xfId="0" applyFont="1" applyFill="1" applyBorder="1" applyAlignment="1">
      <alignment horizontal="center" vertical="center" textRotation="90"/>
    </xf>
    <xf numFmtId="0" fontId="0" fillId="3" borderId="3" xfId="0" applyFont="1" applyFill="1" applyBorder="1" applyAlignment="1">
      <alignment horizontal="center" vertical="center" textRotation="90"/>
    </xf>
    <xf numFmtId="0" fontId="0" fillId="4" borderId="4" xfId="0" applyFont="1" applyFill="1" applyBorder="1"/>
    <xf numFmtId="0" fontId="0" fillId="7" borderId="5" xfId="0" applyFont="1" applyFill="1" applyBorder="1" applyProtection="1">
      <protection locked="0"/>
    </xf>
    <xf numFmtId="0" fontId="0" fillId="8" borderId="5" xfId="0" applyFont="1" applyFill="1" applyBorder="1" applyProtection="1">
      <protection locked="0"/>
    </xf>
    <xf numFmtId="0" fontId="0" fillId="4" borderId="6" xfId="0" applyFont="1" applyFill="1" applyBorder="1"/>
    <xf numFmtId="0" fontId="0" fillId="7" borderId="7" xfId="0" applyFont="1" applyFill="1" applyBorder="1" applyProtection="1">
      <protection locked="0"/>
    </xf>
    <xf numFmtId="0" fontId="0" fillId="8" borderId="7" xfId="0" applyFont="1" applyFill="1" applyBorder="1" applyProtection="1">
      <protection locked="0"/>
    </xf>
    <xf numFmtId="0" fontId="0" fillId="3" borderId="6" xfId="0" applyFont="1" applyFill="1" applyBorder="1"/>
    <xf numFmtId="0" fontId="0" fillId="0" borderId="7" xfId="0" applyFont="1" applyBorder="1" applyProtection="1">
      <protection locked="0"/>
    </xf>
    <xf numFmtId="0" fontId="0" fillId="6" borderId="7" xfId="0" applyFont="1" applyFill="1" applyBorder="1" applyProtection="1">
      <protection locked="0"/>
    </xf>
    <xf numFmtId="0" fontId="0" fillId="3" borderId="6" xfId="0" applyFont="1" applyFill="1" applyBorder="1" applyAlignment="1">
      <alignment wrapText="1"/>
    </xf>
    <xf numFmtId="0" fontId="8" fillId="0" borderId="7" xfId="0" applyFont="1" applyBorder="1" applyProtection="1">
      <protection locked="0"/>
    </xf>
    <xf numFmtId="0" fontId="8" fillId="6" borderId="7" xfId="0" applyFont="1" applyFill="1" applyBorder="1" applyProtection="1">
      <protection locked="0"/>
    </xf>
    <xf numFmtId="0" fontId="0" fillId="3" borderId="8" xfId="0" applyFont="1" applyFill="1" applyBorder="1"/>
    <xf numFmtId="0" fontId="0" fillId="0" borderId="9" xfId="0" applyFont="1" applyBorder="1" applyProtection="1">
      <protection locked="0"/>
    </xf>
    <xf numFmtId="0" fontId="0" fillId="6" borderId="9" xfId="0" applyFont="1" applyFill="1" applyBorder="1" applyProtection="1">
      <protection locked="0"/>
    </xf>
    <xf numFmtId="0" fontId="0" fillId="5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8" fillId="0" borderId="0" xfId="0" applyFont="1" applyAlignment="1">
      <alignment textRotation="90" wrapText="1"/>
    </xf>
    <xf numFmtId="0" fontId="0" fillId="0" borderId="0" xfId="0" applyFill="1" applyBorder="1"/>
    <xf numFmtId="9" fontId="0" fillId="0" borderId="0" xfId="0" quotePrefix="1" applyNumberFormat="1" applyFill="1" applyBorder="1"/>
    <xf numFmtId="0" fontId="0" fillId="0" borderId="0" xfId="0" applyFill="1"/>
    <xf numFmtId="0" fontId="12" fillId="0" borderId="0" xfId="0" applyFont="1"/>
    <xf numFmtId="0" fontId="0" fillId="10" borderId="3" xfId="0" applyFont="1" applyFill="1" applyBorder="1" applyAlignment="1">
      <alignment horizontal="center" vertical="center" textRotation="89" wrapText="1"/>
    </xf>
    <xf numFmtId="0" fontId="0" fillId="5" borderId="6" xfId="0" applyFont="1" applyFill="1" applyBorder="1"/>
    <xf numFmtId="0" fontId="0" fillId="10" borderId="6" xfId="0" applyFont="1" applyFill="1" applyBorder="1"/>
    <xf numFmtId="0" fontId="8" fillId="0" borderId="0" xfId="0" applyFont="1"/>
    <xf numFmtId="0" fontId="4" fillId="9" borderId="14" xfId="0" applyFont="1" applyFill="1" applyBorder="1"/>
    <xf numFmtId="0" fontId="0" fillId="9" borderId="15" xfId="0" applyFont="1" applyFill="1" applyBorder="1"/>
    <xf numFmtId="0" fontId="0" fillId="9" borderId="15" xfId="0" applyFont="1" applyFill="1" applyBorder="1" applyAlignment="1">
      <alignment wrapText="1"/>
    </xf>
    <xf numFmtId="0" fontId="0" fillId="9" borderId="16" xfId="0" applyFont="1" applyFill="1" applyBorder="1"/>
    <xf numFmtId="0" fontId="0" fillId="10" borderId="17" xfId="0" applyFont="1" applyFill="1" applyBorder="1" applyAlignment="1">
      <alignment horizontal="center" vertical="center" textRotation="89" wrapText="1"/>
    </xf>
    <xf numFmtId="0" fontId="0" fillId="4" borderId="18" xfId="0" applyFont="1" applyFill="1" applyBorder="1" applyAlignment="1">
      <alignment horizontal="center" vertical="center" textRotation="90" wrapText="1"/>
    </xf>
    <xf numFmtId="0" fontId="0" fillId="7" borderId="19" xfId="0" applyFont="1" applyFill="1" applyBorder="1" applyAlignment="1" applyProtection="1">
      <alignment horizontal="center"/>
      <protection locked="0"/>
    </xf>
    <xf numFmtId="0" fontId="0" fillId="7" borderId="20" xfId="0" applyFont="1" applyFill="1" applyBorder="1" applyAlignment="1" applyProtection="1">
      <alignment horizontal="center"/>
      <protection locked="0"/>
    </xf>
    <xf numFmtId="0" fontId="0" fillId="0" borderId="20" xfId="0" applyFont="1" applyBorder="1" applyAlignment="1" applyProtection="1">
      <alignment horizontal="center"/>
      <protection locked="0"/>
    </xf>
    <xf numFmtId="0" fontId="0" fillId="0" borderId="21" xfId="0" applyFont="1" applyBorder="1" applyAlignment="1" applyProtection="1">
      <alignment horizontal="center"/>
      <protection locked="0"/>
    </xf>
    <xf numFmtId="0" fontId="0" fillId="0" borderId="0" xfId="0" applyNumberFormat="1"/>
    <xf numFmtId="0" fontId="0" fillId="6" borderId="22" xfId="0" applyFon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0" fontId="1" fillId="3" borderId="13" xfId="0" applyFont="1" applyFill="1" applyBorder="1" applyAlignment="1">
      <alignment horizontal="center" vertical="center" textRotation="90" wrapText="1"/>
    </xf>
    <xf numFmtId="0" fontId="8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" fontId="0" fillId="0" borderId="0" xfId="0" applyNumberFormat="1" applyFill="1" applyBorder="1"/>
    <xf numFmtId="0" fontId="0" fillId="0" borderId="0" xfId="0" applyFill="1" applyBorder="1" applyProtection="1">
      <protection hidden="1"/>
    </xf>
    <xf numFmtId="9" fontId="0" fillId="0" borderId="0" xfId="0" applyNumberFormat="1" applyFill="1" applyBorder="1"/>
    <xf numFmtId="0" fontId="0" fillId="11" borderId="0" xfId="0" applyFill="1"/>
    <xf numFmtId="0" fontId="0" fillId="0" borderId="2" xfId="0" applyFill="1" applyBorder="1"/>
    <xf numFmtId="0" fontId="0" fillId="0" borderId="0" xfId="0" applyFill="1" applyProtection="1">
      <protection locked="0"/>
    </xf>
    <xf numFmtId="0" fontId="1" fillId="3" borderId="3" xfId="0" applyFont="1" applyFill="1" applyBorder="1" applyAlignment="1" applyProtection="1">
      <alignment wrapText="1"/>
    </xf>
    <xf numFmtId="0" fontId="1" fillId="3" borderId="13" xfId="0" applyFont="1" applyFill="1" applyBorder="1" applyAlignment="1" applyProtection="1">
      <alignment horizontal="center" vertical="center" textRotation="90" wrapText="1"/>
    </xf>
    <xf numFmtId="0" fontId="0" fillId="4" borderId="18" xfId="0" applyFont="1" applyFill="1" applyBorder="1" applyAlignment="1" applyProtection="1">
      <alignment horizontal="center" vertical="center" textRotation="90" wrapText="1"/>
    </xf>
    <xf numFmtId="0" fontId="0" fillId="10" borderId="17" xfId="0" applyFont="1" applyFill="1" applyBorder="1" applyAlignment="1" applyProtection="1">
      <alignment horizontal="center" vertical="center" textRotation="89" wrapText="1"/>
    </xf>
    <xf numFmtId="0" fontId="0" fillId="5" borderId="3" xfId="0" applyFont="1" applyFill="1" applyBorder="1" applyAlignment="1" applyProtection="1">
      <alignment horizontal="center" vertical="center" textRotation="90"/>
    </xf>
    <xf numFmtId="0" fontId="0" fillId="5" borderId="3" xfId="0" applyFont="1" applyFill="1" applyBorder="1" applyAlignment="1" applyProtection="1">
      <alignment horizontal="center" vertical="center" textRotation="90" wrapText="1"/>
    </xf>
    <xf numFmtId="0" fontId="0" fillId="3" borderId="3" xfId="0" applyFont="1" applyFill="1" applyBorder="1" applyAlignment="1" applyProtection="1">
      <alignment horizontal="center" vertical="center" textRotation="90"/>
    </xf>
    <xf numFmtId="0" fontId="0" fillId="10" borderId="3" xfId="0" applyFont="1" applyFill="1" applyBorder="1" applyAlignment="1" applyProtection="1">
      <alignment horizontal="center" vertical="center" textRotation="89" wrapText="1"/>
    </xf>
    <xf numFmtId="0" fontId="3" fillId="3" borderId="3" xfId="0" applyFont="1" applyFill="1" applyBorder="1" applyAlignment="1" applyProtection="1">
      <alignment horizontal="center" vertical="center" textRotation="90"/>
    </xf>
    <xf numFmtId="0" fontId="0" fillId="3" borderId="2" xfId="0" applyFont="1" applyFill="1" applyBorder="1" applyAlignment="1" applyProtection="1">
      <alignment horizontal="center" vertical="center" textRotation="90"/>
    </xf>
    <xf numFmtId="0" fontId="0" fillId="0" borderId="0" xfId="0" applyFont="1" applyProtection="1"/>
    <xf numFmtId="0" fontId="0" fillId="4" borderId="4" xfId="0" applyFont="1" applyFill="1" applyBorder="1" applyProtection="1"/>
    <xf numFmtId="0" fontId="4" fillId="9" borderId="14" xfId="0" applyFont="1" applyFill="1" applyBorder="1" applyProtection="1"/>
    <xf numFmtId="0" fontId="0" fillId="7" borderId="19" xfId="0" applyFont="1" applyFill="1" applyBorder="1" applyAlignment="1" applyProtection="1">
      <alignment horizontal="center"/>
    </xf>
    <xf numFmtId="0" fontId="0" fillId="7" borderId="5" xfId="0" applyFont="1" applyFill="1" applyBorder="1" applyProtection="1"/>
    <xf numFmtId="0" fontId="0" fillId="8" borderId="5" xfId="0" applyFont="1" applyFill="1" applyBorder="1" applyProtection="1"/>
    <xf numFmtId="0" fontId="0" fillId="7" borderId="7" xfId="0" applyFont="1" applyFill="1" applyBorder="1" applyProtection="1"/>
    <xf numFmtId="0" fontId="0" fillId="7" borderId="10" xfId="0" applyFont="1" applyFill="1" applyBorder="1" applyProtection="1"/>
    <xf numFmtId="0" fontId="0" fillId="4" borderId="6" xfId="0" applyFont="1" applyFill="1" applyBorder="1" applyProtection="1"/>
    <xf numFmtId="0" fontId="0" fillId="9" borderId="15" xfId="0" applyFont="1" applyFill="1" applyBorder="1" applyProtection="1"/>
    <xf numFmtId="0" fontId="0" fillId="7" borderId="20" xfId="0" applyFont="1" applyFill="1" applyBorder="1" applyAlignment="1" applyProtection="1">
      <alignment horizontal="center"/>
    </xf>
    <xf numFmtId="0" fontId="0" fillId="8" borderId="7" xfId="0" applyFont="1" applyFill="1" applyBorder="1" applyProtection="1"/>
    <xf numFmtId="0" fontId="0" fillId="7" borderId="11" xfId="0" applyFont="1" applyFill="1" applyBorder="1" applyProtection="1"/>
    <xf numFmtId="0" fontId="0" fillId="3" borderId="6" xfId="0" applyFont="1" applyFill="1" applyBorder="1" applyProtection="1"/>
    <xf numFmtId="0" fontId="0" fillId="0" borderId="20" xfId="0" applyFont="1" applyBorder="1" applyAlignment="1" applyProtection="1">
      <alignment horizontal="center"/>
    </xf>
    <xf numFmtId="0" fontId="0" fillId="0" borderId="7" xfId="0" applyFont="1" applyBorder="1" applyProtection="1"/>
    <xf numFmtId="0" fontId="0" fillId="6" borderId="7" xfId="0" applyFont="1" applyFill="1" applyBorder="1" applyProtection="1"/>
    <xf numFmtId="0" fontId="0" fillId="0" borderId="11" xfId="0" applyFont="1" applyBorder="1" applyProtection="1"/>
    <xf numFmtId="0" fontId="0" fillId="9" borderId="15" xfId="0" applyFont="1" applyFill="1" applyBorder="1" applyAlignment="1" applyProtection="1">
      <alignment wrapText="1"/>
    </xf>
    <xf numFmtId="0" fontId="8" fillId="0" borderId="0" xfId="0" applyFont="1" applyProtection="1"/>
    <xf numFmtId="0" fontId="0" fillId="6" borderId="22" xfId="0" applyFont="1" applyFill="1" applyBorder="1" applyProtection="1"/>
    <xf numFmtId="0" fontId="8" fillId="0" borderId="11" xfId="0" applyFont="1" applyBorder="1" applyProtection="1"/>
    <xf numFmtId="0" fontId="0" fillId="3" borderId="6" xfId="0" applyFont="1" applyFill="1" applyBorder="1" applyAlignment="1" applyProtection="1">
      <alignment wrapText="1"/>
    </xf>
    <xf numFmtId="0" fontId="8" fillId="0" borderId="7" xfId="0" applyFont="1" applyBorder="1" applyProtection="1"/>
    <xf numFmtId="0" fontId="8" fillId="6" borderId="7" xfId="0" applyFont="1" applyFill="1" applyBorder="1" applyProtection="1"/>
    <xf numFmtId="0" fontId="0" fillId="3" borderId="8" xfId="0" applyFont="1" applyFill="1" applyBorder="1" applyProtection="1"/>
    <xf numFmtId="0" fontId="0" fillId="9" borderId="16" xfId="0" applyFont="1" applyFill="1" applyBorder="1" applyProtection="1"/>
    <xf numFmtId="0" fontId="0" fillId="0" borderId="21" xfId="0" applyFont="1" applyBorder="1" applyAlignment="1" applyProtection="1">
      <alignment horizontal="center"/>
    </xf>
    <xf numFmtId="0" fontId="0" fillId="0" borderId="9" xfId="0" applyFont="1" applyBorder="1" applyProtection="1"/>
    <xf numFmtId="0" fontId="0" fillId="6" borderId="9" xfId="0" applyFont="1" applyFill="1" applyBorder="1" applyProtection="1"/>
    <xf numFmtId="0" fontId="0" fillId="0" borderId="12" xfId="0" applyFont="1" applyBorder="1" applyProtection="1"/>
    <xf numFmtId="0" fontId="0" fillId="2" borderId="0" xfId="0" applyFont="1" applyFill="1" applyProtection="1"/>
    <xf numFmtId="0" fontId="0" fillId="5" borderId="6" xfId="0" applyFont="1" applyFill="1" applyBorder="1" applyProtection="1"/>
    <xf numFmtId="0" fontId="0" fillId="10" borderId="6" xfId="0" applyFont="1" applyFill="1" applyBorder="1" applyProtection="1"/>
    <xf numFmtId="2" fontId="0" fillId="0" borderId="0" xfId="0" quotePrefix="1" applyNumberFormat="1" applyBorder="1"/>
    <xf numFmtId="2" fontId="0" fillId="11" borderId="0" xfId="0" applyNumberFormat="1" applyFill="1"/>
    <xf numFmtId="1" fontId="0" fillId="0" borderId="0" xfId="0" applyNumberFormat="1"/>
    <xf numFmtId="0" fontId="0" fillId="11" borderId="0" xfId="0" applyNumberFormat="1" applyFill="1"/>
    <xf numFmtId="0" fontId="0" fillId="9" borderId="15" xfId="0" quotePrefix="1" applyFont="1" applyFill="1" applyBorder="1" applyAlignment="1">
      <alignment horizontal="right" wrapText="1"/>
    </xf>
    <xf numFmtId="9" fontId="0" fillId="0" borderId="0" xfId="0" applyNumberFormat="1"/>
    <xf numFmtId="0" fontId="0" fillId="12" borderId="0" xfId="0" applyFill="1" applyAlignment="1">
      <alignment textRotation="90"/>
    </xf>
    <xf numFmtId="0" fontId="0" fillId="12" borderId="0" xfId="0" applyFill="1"/>
    <xf numFmtId="9" fontId="0" fillId="12" borderId="0" xfId="0" applyNumberFormat="1" applyFill="1"/>
    <xf numFmtId="1" fontId="0" fillId="12" borderId="0" xfId="0" applyNumberFormat="1" applyFill="1"/>
    <xf numFmtId="1" fontId="0" fillId="13" borderId="0" xfId="0" applyNumberFormat="1" applyFill="1"/>
    <xf numFmtId="0" fontId="0" fillId="9" borderId="15" xfId="0" quotePrefix="1" applyFont="1" applyFill="1" applyBorder="1" applyAlignment="1" applyProtection="1">
      <alignment wrapText="1"/>
    </xf>
    <xf numFmtId="0" fontId="13" fillId="0" borderId="0" xfId="0" applyFont="1"/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0" fontId="0" fillId="14" borderId="1" xfId="0" applyFill="1" applyBorder="1" applyProtection="1">
      <protection locked="0"/>
    </xf>
    <xf numFmtId="0" fontId="0" fillId="14" borderId="2" xfId="0" applyFont="1" applyFill="1" applyBorder="1" applyProtection="1">
      <protection locked="0"/>
    </xf>
    <xf numFmtId="0" fontId="0" fillId="14" borderId="1" xfId="0" applyFill="1" applyBorder="1"/>
    <xf numFmtId="0" fontId="14" fillId="0" borderId="0" xfId="0" applyFont="1" applyFill="1" applyProtection="1">
      <protection locked="0"/>
    </xf>
    <xf numFmtId="0" fontId="0" fillId="0" borderId="20" xfId="0" applyFont="1" applyFill="1" applyBorder="1" applyAlignment="1" applyProtection="1">
      <alignment horizontal="center"/>
      <protection locked="0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245"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lightUp">
          <fgColor indexed="64"/>
          <bgColor theme="9" tint="0.59996337778862885"/>
        </patternFill>
      </fill>
    </dxf>
    <dxf>
      <numFmt numFmtId="13" formatCode="0%"/>
      <fill>
        <patternFill patternType="lightUp">
          <fgColor indexed="64"/>
          <bgColor theme="9" tint="0.59996337778862885"/>
        </patternFill>
      </fill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lightUp">
          <fgColor indexed="64"/>
          <bgColor theme="9" tint="0.59996337778862885"/>
        </patternFill>
      </fill>
    </dxf>
    <dxf>
      <numFmt numFmtId="13" formatCode="0%"/>
      <fill>
        <patternFill patternType="lightUp">
          <fgColor indexed="64"/>
          <bgColor theme="9" tint="0.59996337778862885"/>
        </patternFill>
      </fill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fill>
        <patternFill patternType="solid">
          <fgColor indexed="64"/>
          <bgColor theme="2"/>
        </patternFill>
      </fill>
      <protection locked="1" hidden="1"/>
    </dxf>
    <dxf>
      <fill>
        <patternFill patternType="solid">
          <fgColor indexed="64"/>
          <bgColor theme="2"/>
        </patternFill>
      </fill>
      <protection locked="1" hidden="1"/>
    </dxf>
    <dxf>
      <numFmt numFmtId="0" formatCode="General"/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32</xdr:row>
      <xdr:rowOff>66676</xdr:rowOff>
    </xdr:from>
    <xdr:to>
      <xdr:col>0</xdr:col>
      <xdr:colOff>1520826</xdr:colOff>
      <xdr:row>34</xdr:row>
      <xdr:rowOff>57150</xdr:rowOff>
    </xdr:to>
    <xdr:pic>
      <xdr:nvPicPr>
        <xdr:cNvPr id="3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05401"/>
          <a:ext cx="1476376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12</xdr:row>
      <xdr:rowOff>66676</xdr:rowOff>
    </xdr:from>
    <xdr:to>
      <xdr:col>0</xdr:col>
      <xdr:colOff>1520826</xdr:colOff>
      <xdr:row>14</xdr:row>
      <xdr:rowOff>57150</xdr:rowOff>
    </xdr:to>
    <xdr:pic>
      <xdr:nvPicPr>
        <xdr:cNvPr id="2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426576"/>
          <a:ext cx="1473201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32</xdr:row>
      <xdr:rowOff>66676</xdr:rowOff>
    </xdr:from>
    <xdr:to>
      <xdr:col>0</xdr:col>
      <xdr:colOff>1343026</xdr:colOff>
      <xdr:row>34</xdr:row>
      <xdr:rowOff>57150</xdr:rowOff>
    </xdr:to>
    <xdr:pic>
      <xdr:nvPicPr>
        <xdr:cNvPr id="2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426576"/>
          <a:ext cx="1473201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32</xdr:row>
      <xdr:rowOff>66676</xdr:rowOff>
    </xdr:from>
    <xdr:to>
      <xdr:col>0</xdr:col>
      <xdr:colOff>1343026</xdr:colOff>
      <xdr:row>34</xdr:row>
      <xdr:rowOff>57150</xdr:rowOff>
    </xdr:to>
    <xdr:pic>
      <xdr:nvPicPr>
        <xdr:cNvPr id="2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426576"/>
          <a:ext cx="1473201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32</xdr:row>
      <xdr:rowOff>66676</xdr:rowOff>
    </xdr:from>
    <xdr:to>
      <xdr:col>0</xdr:col>
      <xdr:colOff>1343026</xdr:colOff>
      <xdr:row>34</xdr:row>
      <xdr:rowOff>57150</xdr:rowOff>
    </xdr:to>
    <xdr:pic>
      <xdr:nvPicPr>
        <xdr:cNvPr id="2" name="Picture 1" descr="BassleerBiof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254876"/>
          <a:ext cx="1473201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" name="Tabel4" displayName="Tabel4" ref="B5:AM36" totalsRowShown="0" tableBorderDxfId="240">
  <autoFilter ref="B5:AM36"/>
  <tableColumns count="38">
    <tableColumn id="1" name="Kolom1">
      <calculatedColumnFormula>'Symptomen (alle)'!A1</calculatedColumnFormula>
    </tableColumn>
    <tableColumn id="2" name="Kolom2" dataDxfId="239">
      <calculatedColumnFormula>'Symptomen (alle)'!C1</calculatedColumnFormula>
    </tableColumn>
    <tableColumn id="3" name="Kolom3">
      <calculatedColumnFormula>IF($D$4="x",'Symptomen (alle)'!D1,0)</calculatedColumnFormula>
    </tableColumn>
    <tableColumn id="4" name="Kolom4">
      <calculatedColumnFormula>IF($E$4="x",'Symptomen (alle)'!E1,0)</calculatedColumnFormula>
    </tableColumn>
    <tableColumn id="5" name="Kolom5">
      <calculatedColumnFormula>IF($F$4="x",'Symptomen (alle)'!F1,0)</calculatedColumnFormula>
    </tableColumn>
    <tableColumn id="6" name="Kolom6">
      <calculatedColumnFormula>IF($G$4="x",'Symptomen (alle)'!G1,0)</calculatedColumnFormula>
    </tableColumn>
    <tableColumn id="38" name="Kolom62"/>
    <tableColumn id="7" name="Kolom7">
      <calculatedColumnFormula>IF($I$4="x",'Symptomen (alle)'!I1,0)</calculatedColumnFormula>
    </tableColumn>
    <tableColumn id="32" name="Kolom72"/>
    <tableColumn id="8" name="Kolom8">
      <calculatedColumnFormula>IF($J$4="x",'Symptomen (alle)'!K1,0)</calculatedColumnFormula>
    </tableColumn>
    <tableColumn id="9" name="Kolom9">
      <calculatedColumnFormula>IF($K$4="x",'Symptomen (alle)'!L1,0)</calculatedColumnFormula>
    </tableColumn>
    <tableColumn id="10" name="Kolom10">
      <calculatedColumnFormula>IF($L$4="x",'Symptomen (alle)'!M1,0)</calculatedColumnFormula>
    </tableColumn>
    <tableColumn id="11" name="Kolom11">
      <calculatedColumnFormula>IF($M$4="x",'Symptomen (alle)'!N1,0)</calculatedColumnFormula>
    </tableColumn>
    <tableColumn id="12" name="Kolom12">
      <calculatedColumnFormula>IF($N$4="x",'Symptomen (alle)'!O1,0)</calculatedColumnFormula>
    </tableColumn>
    <tableColumn id="13" name="Kolom13">
      <calculatedColumnFormula>IF($O$4="x",'Symptomen (alle)'!P1,0)</calculatedColumnFormula>
    </tableColumn>
    <tableColumn id="37" name="Kolom133"/>
    <tableColumn id="36" name="Kolom132"/>
    <tableColumn id="14" name="Kolom14">
      <calculatedColumnFormula>IF($P$4="x",'Symptomen (alle)'!S1,0)</calculatedColumnFormula>
    </tableColumn>
    <tableColumn id="16" name="Kolom16">
      <calculatedColumnFormula>IF(#REF!="x",'Symptomen (alle)'!AC1,0)</calculatedColumnFormula>
    </tableColumn>
    <tableColumn id="24" name="Kolom172"/>
    <tableColumn id="35" name="Kolom173"/>
    <tableColumn id="18" name="Kolom18">
      <calculatedColumnFormula>IF(#REF!="x",'Symptomen (alle)'!V1,0)</calculatedColumnFormula>
    </tableColumn>
    <tableColumn id="19" name="Kolom19">
      <calculatedColumnFormula>IF($W$4="x",'Symptomen (alle)'!W1,0)</calculatedColumnFormula>
    </tableColumn>
    <tableColumn id="20" name="Kolom20">
      <calculatedColumnFormula>IF($X$4="x",'Symptomen (alle)'!X1,0)</calculatedColumnFormula>
    </tableColumn>
    <tableColumn id="21" name="Kolom21">
      <calculatedColumnFormula>IF($Y$4="x",'Symptomen (alle)'!AB1,0)</calculatedColumnFormula>
    </tableColumn>
    <tableColumn id="22" name="Kolom22">
      <calculatedColumnFormula>IF($Z$4="x",'Symptomen (alle)'!Y1,0)</calculatedColumnFormula>
    </tableColumn>
    <tableColumn id="34" name="Kolom223"/>
    <tableColumn id="33" name="Kolom222"/>
    <tableColumn id="25" name="Kolom25">
      <calculatedColumnFormula>SUM(C6:AA6)</calculatedColumnFormula>
    </tableColumn>
    <tableColumn id="26" name="Kolom26">
      <calculatedColumnFormula>HLOOKUP($B$4,ZiekteFam!$B$1:$S$30,AF6,FALSE)</calculatedColumnFormula>
    </tableColumn>
    <tableColumn id="27" name="Kolom27" dataDxfId="238">
      <calculatedColumnFormula>ROW(AE6)-4</calculatedColumnFormula>
    </tableColumn>
    <tableColumn id="28" name="Kolom28" dataDxfId="237">
      <calculatedColumnFormula>SUM('Symptomen (alle)'!C1:Y1)</calculatedColumnFormula>
    </tableColumn>
    <tableColumn id="29" name="Kolom29" dataDxfId="236">
      <calculatedColumnFormula>Tabel4[[#This Row],[Kolom25]]/Tabel4[[#This Row],[Kolom28]]</calculatedColumnFormula>
    </tableColumn>
    <tableColumn id="17" name="Kolom294" dataDxfId="235">
      <calculatedColumnFormula>Tabel42[[#This Row],[Kolom29]]</calculatedColumnFormula>
    </tableColumn>
    <tableColumn id="15" name="Kolom293" dataDxfId="234">
      <calculatedColumnFormula>_xlfn.RANK.EQ(Tabel4[[#This Row],[Kolom29]],$AH$7:$AH$36)</calculatedColumnFormula>
    </tableColumn>
    <tableColumn id="23" name="Kolom2932" dataDxfId="233">
      <calculatedColumnFormula>_xlfn.RANK.EQ(Tabel4[[#This Row],[Kolom294]],AI6:AI35)</calculatedColumnFormula>
    </tableColumn>
    <tableColumn id="31" name="Kolom292" dataDxfId="232">
      <calculatedColumnFormula>Tabel4[[#This Row],[Kolom29]]</calculatedColumnFormula>
    </tableColumn>
    <tableColumn id="30" name="Kolom30" dataDxfId="231">
      <calculatedColumnFormula>Tabel4[[#This Row],[Kolom29]]*Tabel4[[#This Row],[Kolom26]]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el42" displayName="Tabel42" ref="B5:BS37" totalsRowShown="0" tableBorderDxfId="225">
  <autoFilter ref="B5:BS37"/>
  <tableColumns count="70">
    <tableColumn id="1" name="Kolom1">
      <calculatedColumnFormula>'Symptomen (alle)'!A1</calculatedColumnFormula>
    </tableColumn>
    <tableColumn id="53" name="Kolom110" dataDxfId="224">
      <calculatedColumnFormula>'Symptomen (alle)'!B1</calculatedColumnFormula>
    </tableColumn>
    <tableColumn id="2" name="Kolom2">
      <calculatedColumnFormula>IF($D$4="x",'Symptomen (alle)'!C1,0)</calculatedColumnFormula>
    </tableColumn>
    <tableColumn id="3" name="Kolom3">
      <calculatedColumnFormula>IF($E$4="x",'Symptomen (alle)'!D1,0)</calculatedColumnFormula>
    </tableColumn>
    <tableColumn id="4" name="Kolom4">
      <calculatedColumnFormula>IF($F$4="x",'Symptomen (alle)'!E1,0)</calculatedColumnFormula>
    </tableColumn>
    <tableColumn id="5" name="Kolom5">
      <calculatedColumnFormula>IF($G$4="x",'Symptomen (alle)'!F1,0)</calculatedColumnFormula>
    </tableColumn>
    <tableColumn id="6" name="Kolom6">
      <calculatedColumnFormula>IF($H$4="x",'Symptomen (alle)'!G1,0)</calculatedColumnFormula>
    </tableColumn>
    <tableColumn id="54" name="Kolom62"/>
    <tableColumn id="7" name="Kolom7">
      <calculatedColumnFormula>IF($J$4="x",'Symptomen (alle)'!I1,0)</calculatedColumnFormula>
    </tableColumn>
    <tableColumn id="32" name="Kolom72"/>
    <tableColumn id="8" name="Kolom8">
      <calculatedColumnFormula>IF($K$4="x",'Symptomen (alle)'!K1,0)</calculatedColumnFormula>
    </tableColumn>
    <tableColumn id="9" name="Kolom9">
      <calculatedColumnFormula>IF($L$4="x",'Symptomen (alle)'!L1,0)</calculatedColumnFormula>
    </tableColumn>
    <tableColumn id="10" name="Kolom10">
      <calculatedColumnFormula>IF($M$4="x",'Symptomen (alle)'!M1,0)</calculatedColumnFormula>
    </tableColumn>
    <tableColumn id="11" name="Kolom11">
      <calculatedColumnFormula>IF($N$4="x",'Symptomen (alle)'!N1,0)</calculatedColumnFormula>
    </tableColumn>
    <tableColumn id="12" name="Kolom12">
      <calculatedColumnFormula>IF($O$4="x",'Symptomen (alle)'!O1,0)</calculatedColumnFormula>
    </tableColumn>
    <tableColumn id="13" name="Kolom13">
      <calculatedColumnFormula>IF($P$4="x",'Symptomen (alle)'!P1,0)</calculatedColumnFormula>
    </tableColumn>
    <tableColumn id="56" name="Kolom133"/>
    <tableColumn id="55" name="Kolom132"/>
    <tableColumn id="14" name="Kolom14">
      <calculatedColumnFormula>IF($Q$4="x",'Symptomen (alle)'!S1,0)</calculatedColumnFormula>
    </tableColumn>
    <tableColumn id="16" name="Kolom16">
      <calculatedColumnFormula>IF(#REF!="x",'Symptomen (alle)'!AC1,0)</calculatedColumnFormula>
    </tableColumn>
    <tableColumn id="52" name="Kolom173"/>
    <tableColumn id="51" name="Kolom172"/>
    <tableColumn id="18" name="Kolom18">
      <calculatedColumnFormula>IF(#REF!="x",'Symptomen (alle)'!V1,0)</calculatedColumnFormula>
    </tableColumn>
    <tableColumn id="19" name="Kolom19">
      <calculatedColumnFormula>IF($X$4="x",'Symptomen (alle)'!W1,0)</calculatedColumnFormula>
    </tableColumn>
    <tableColumn id="20" name="Kolom20">
      <calculatedColumnFormula>IF($Y$4="x",'Symptomen (alle)'!X1,0)</calculatedColumnFormula>
    </tableColumn>
    <tableColumn id="21" name="Kolom21">
      <calculatedColumnFormula>IF($Z$4="x",'Symptomen (alle)'!AB1,0)</calculatedColumnFormula>
    </tableColumn>
    <tableColumn id="22" name="Kolom22">
      <calculatedColumnFormula>IF($AA$4="x",'Symptomen (alle)'!Y1,0)</calculatedColumnFormula>
    </tableColumn>
    <tableColumn id="34" name="Kolom223"/>
    <tableColumn id="33" name="Kolom222"/>
    <tableColumn id="25" name="Kolom25">
      <calculatedColumnFormula>SUM(D6:AB6)</calculatedColumnFormula>
    </tableColumn>
    <tableColumn id="26" name="Kolom26">
      <calculatedColumnFormula>HLOOKUP($B$4,ZiekteFam!$B$1:$S$30,AG6,FALSE)</calculatedColumnFormula>
    </tableColumn>
    <tableColumn id="27" name="Kolom27" dataDxfId="223">
      <calculatedColumnFormula>ROW(AF6)-4</calculatedColumnFormula>
    </tableColumn>
    <tableColumn id="28" name="Kolom28" dataDxfId="222">
      <calculatedColumnFormula>SUM('Symptomen (alle)'!C1:Y1)</calculatedColumnFormula>
    </tableColumn>
    <tableColumn id="29" name="Kolom29" dataDxfId="221">
      <calculatedColumnFormula>Tabel42[[#This Row],[Kolom25]]/Tabel42[[#This Row],[Kolom28]]</calculatedColumnFormula>
    </tableColumn>
    <tableColumn id="41" name="Kolom297" dataDxfId="220">
      <calculatedColumnFormula>COUNTIF(F5:G5,"x")+COUNTIF(P5:T5,"x")</calculatedColumnFormula>
    </tableColumn>
    <tableColumn id="23" name="Kolom2972" dataDxfId="219"/>
    <tableColumn id="62" name="Kolom2973" dataDxfId="218">
      <calculatedColumnFormula>COUNTIF($F6:$J6,10)+COUNTIF($P6:$T6,10)</calculatedColumnFormula>
    </tableColumn>
    <tableColumn id="38" name="Kolom298" dataDxfId="217">
      <calculatedColumnFormula>COUNTIF(F6:G6,"0")+COUNTIF(P6:T6,"0")</calculatedColumnFormula>
    </tableColumn>
    <tableColumn id="46" name="Kolom299" dataDxfId="216">
      <calculatedColumnFormula>COUNTIF(F6:G6,2)+COUNTIF(P6:T6,2)</calculatedColumnFormula>
    </tableColumn>
    <tableColumn id="58" name="Kolom300" dataDxfId="215">
      <calculatedColumnFormula>COUNTIF(Tabel42[[#This Row],[Kolom3]:[Kolom222]],10)</calculatedColumnFormula>
    </tableColumn>
    <tableColumn id="63" name="Kolom301" dataDxfId="214">
      <calculatedColumnFormula>COUNTIF(Tabel42[[#This Row],[Kolom3]:[Kolom222]],10)</calculatedColumnFormula>
    </tableColumn>
    <tableColumn id="35" name="Kolom294" dataDxfId="213">
      <calculatedColumnFormula>COUNTIF(#REF!,3)</calculatedColumnFormula>
    </tableColumn>
    <tableColumn id="36" name="Kolom295" dataDxfId="212">
      <calculatedColumnFormula>COUNTIF(#REF!,2)</calculatedColumnFormula>
    </tableColumn>
    <tableColumn id="37" name="Kolom296" dataDxfId="211">
      <calculatedColumnFormula>COUNTIF(#REF!,1)</calculatedColumnFormula>
    </tableColumn>
    <tableColumn id="17" name="Kolom2965" dataDxfId="210">
      <calculatedColumnFormula>COUNTIF('Symptomen (alle)'!$D1:$AA1,3)</calculatedColumnFormula>
    </tableColumn>
    <tableColumn id="64" name="Kolom2966" dataDxfId="209">
      <calculatedColumnFormula>COUNTIF('Symptomen (alle)'!$D1:$AC1,10)</calculatedColumnFormula>
    </tableColumn>
    <tableColumn id="39" name="Kolom2962" dataDxfId="208">
      <calculatedColumnFormula>COUNTIF(#REF!,3)</calculatedColumnFormula>
    </tableColumn>
    <tableColumn id="42" name="Kolom29622" dataDxfId="207">
      <calculatedColumnFormula>COUNTIF('Symptomen (alle)'!$D$2:$AA$2,3)</calculatedColumnFormula>
    </tableColumn>
    <tableColumn id="43" name="Kolom29623" dataDxfId="206">
      <calculatedColumnFormula>COUNTIF('Symptomen (alle)'!$D$2:$AA$2,3)</calculatedColumnFormula>
    </tableColumn>
    <tableColumn id="57" name="Kolom296232" dataDxfId="205">
      <calculatedColumnFormula>IF(Tabel42[[#This Row],[Kolom300]]=0,0,Tabel42[[#This Row],[Kolom2972]]/Tabel42[[#This Row],[Kolom300]])</calculatedColumnFormula>
    </tableColumn>
    <tableColumn id="65" name="Kolom296233" dataDxfId="204">
      <calculatedColumnFormula>IF(Tabel42[[#This Row],[Kolom301]]=0,0,Tabel42[[#This Row],[Kolom2973]]/Tabel42[[#This Row],[Kolom301]])</calculatedColumnFormula>
    </tableColumn>
    <tableColumn id="45" name="Kolom29624" dataDxfId="203">
      <calculatedColumnFormula>IF(Tabel42[[#This Row],[Kolom294]]=0,0,Tabel42[[#This Row],[Kolom298]]/Tabel42[[#This Row],[Kolom294]])</calculatedColumnFormula>
    </tableColumn>
    <tableColumn id="40" name="Kolom2963" dataDxfId="202">
      <calculatedColumnFormula>IF(AR7=0,0,Tabel42[[#This Row],[Kolom299]]/Tabel42[[#This Row],[Kolom295]])</calculatedColumnFormula>
    </tableColumn>
    <tableColumn id="59" name="Kolom29634" dataDxfId="201">
      <calculatedColumnFormula>IF(Tabel42[[#This Row],[Kolom2965]]=0,0,Tabel42[[#This Row],[Kolom300]]/Tabel42[[#This Row],[Kolom2965]])</calculatedColumnFormula>
    </tableColumn>
    <tableColumn id="66" name="Kolom29635" dataDxfId="200">
      <calculatedColumnFormula>IF(Tabel42[[#This Row],[Kolom2966]]=0,0,Tabel42[[#This Row],[Kolom301]]/Tabel42[[#This Row],[Kolom2966]])</calculatedColumnFormula>
    </tableColumn>
    <tableColumn id="50" name="Kolom29633" dataDxfId="199">
      <calculatedColumnFormula>IF(Tabel42[[#This Row],[Kolom2962]]=0,0,Tabel42[[#This Row],[Kolom294]]/Tabel42[[#This Row],[Kolom2962]])</calculatedColumnFormula>
    </tableColumn>
    <tableColumn id="49" name="Kolom29632" dataDxfId="198">
      <calculatedColumnFormula>IF(Tabel42[[#This Row],[Kolom29622]]=0,0,Tabel42[[#This Row],[Kolom295]]/Tabel42[[#This Row],[Kolom29622]])</calculatedColumnFormula>
    </tableColumn>
    <tableColumn id="48" name="Kolom2964" dataDxfId="197">
      <calculatedColumnFormula>IF(Tabel42[[#This Row],[Kolom29623]]=0,0,Tabel42[[#This Row],[Kolom296]]/Tabel42[[#This Row],[Kolom29623]])</calculatedColumnFormula>
    </tableColumn>
    <tableColumn id="24" name="Kolom293" dataDxfId="196">
      <calculatedColumnFormula>(3*Tabel42[[#This Row],[Kolom29624]]+2*Tabel42[[#This Row],[Kolom2963]]+Tabel42[[#This Row],[Kolom29]])/6</calculatedColumnFormula>
    </tableColumn>
    <tableColumn id="47" name="Kolom2933" dataDxfId="195">
      <calculatedColumnFormula>(10*Tabel42[[#This Row],[Kolom296232]]+3*Tabel42[[#This Row],[Kolom29624]]+2*Tabel42[[#This Row],[Kolom2963]])/15</calculatedColumnFormula>
    </tableColumn>
    <tableColumn id="61" name="Kolom29332" dataDxfId="194">
      <calculatedColumnFormula>(10*Tabel42[[#This Row],[Kolom29634]]+3*Tabel42[[#This Row],[Kolom29633]]+2*Tabel42[[#This Row],[Kolom29632]]+Tabel42[[#This Row],[Kolom2964]])/16</calculatedColumnFormula>
    </tableColumn>
    <tableColumn id="60" name="Kolom2934" dataDxfId="193">
      <calculatedColumnFormula>(10*Tabel42[[#This Row],[Kolom29634]]+3*Tabel42[[#This Row],[Kolom29633]]+2*Tabel42[[#This Row],[Kolom29632]]+Tabel42[[#This Row],[Kolom2964]])/16</calculatedColumnFormula>
    </tableColumn>
    <tableColumn id="31" name="Kolom292" dataDxfId="192">
      <calculatedColumnFormula>Tabel42[[#This Row],[Kolom29]]</calculatedColumnFormula>
    </tableColumn>
    <tableColumn id="15" name="Kolom2910" dataDxfId="191">
      <calculatedColumnFormula>_xlfn.RANK.EQ(Tabel42[[#This Row],[Kolom29]],AI6:AI36)</calculatedColumnFormula>
    </tableColumn>
    <tableColumn id="69" name="Kolom29104" dataDxfId="190">
      <calculatedColumnFormula>_xlfn.RANK.EQ(Tabel42[[#This Row],[Kolom293]],BH6:BH36)</calculatedColumnFormula>
    </tableColumn>
    <tableColumn id="68" name="Kolom29103" dataDxfId="189"/>
    <tableColumn id="67" name="Kolom29102" dataDxfId="188"/>
    <tableColumn id="44" name="Kolom2911" dataDxfId="187"/>
    <tableColumn id="30" name="Kolom30" dataDxfId="186">
      <calculatedColumnFormula>AVERAGE(Tabel42[[#This Row],[Kolom2910]:[Kolom2911]])</calculatedColumnFormula>
    </tableColumn>
    <tableColumn id="70" name="Kolom31" dataDxfId="185">
      <calculatedColumnFormula>_xlfn.RANK.EQ(Tabel42[[#This Row],[Kolom30]],BR$7:BR$37)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424" displayName="Tabel424" ref="B3:CQ35" totalsRowShown="0" tableBorderDxfId="179">
  <autoFilter ref="B3:CQ35"/>
  <tableColumns count="94">
    <tableColumn id="1" name="Kolom1">
      <calculatedColumnFormula>'Symptomen (alle)'!A1</calculatedColumnFormula>
    </tableColumn>
    <tableColumn id="53" name="Kolom110" dataDxfId="178">
      <calculatedColumnFormula>'Symptomen (alle)'!B1</calculatedColumnFormula>
    </tableColumn>
    <tableColumn id="2" name="Kolom2">
      <calculatedColumnFormula>IF($D$2="x",'Symptomen (alle)'!C1,0)</calculatedColumnFormula>
    </tableColumn>
    <tableColumn id="3" name="Kolom3">
      <calculatedColumnFormula>IF($E$2="x",'Symptomen (alle)'!D1,0)</calculatedColumnFormula>
    </tableColumn>
    <tableColumn id="4" name="Kolom4">
      <calculatedColumnFormula>IF($F$2="x",'Symptomen (alle)'!E1,0)</calculatedColumnFormula>
    </tableColumn>
    <tableColumn id="5" name="Kolom5">
      <calculatedColumnFormula>IF($G$2="x",'Symptomen (alle)'!F1,0)</calculatedColumnFormula>
    </tableColumn>
    <tableColumn id="6" name="Kolom6">
      <calculatedColumnFormula>IF($H$2="x",'Symptomen (alle)'!G1,0)</calculatedColumnFormula>
    </tableColumn>
    <tableColumn id="54" name="Kolom62"/>
    <tableColumn id="7" name="Kolom7">
      <calculatedColumnFormula>IF($J$2="x",'Symptomen (alle)'!I1,0)</calculatedColumnFormula>
    </tableColumn>
    <tableColumn id="32" name="Kolom72"/>
    <tableColumn id="8" name="Kolom8">
      <calculatedColumnFormula>IF($K$2="x",'Symptomen (alle)'!K1,0)</calculatedColumnFormula>
    </tableColumn>
    <tableColumn id="9" name="Kolom9">
      <calculatedColumnFormula>IF($L$2="x",'Symptomen (alle)'!L1,0)</calculatedColumnFormula>
    </tableColumn>
    <tableColumn id="10" name="Kolom10">
      <calculatedColumnFormula>IF($M$2="x",'Symptomen (alle)'!M1,0)</calculatedColumnFormula>
    </tableColumn>
    <tableColumn id="11" name="Kolom11">
      <calculatedColumnFormula>IF($N$2="x",'Symptomen (alle)'!N1,0)</calculatedColumnFormula>
    </tableColumn>
    <tableColumn id="12" name="Kolom12">
      <calculatedColumnFormula>IF($O$2="x",'Symptomen (alle)'!O1,0)</calculatedColumnFormula>
    </tableColumn>
    <tableColumn id="13" name="Kolom13">
      <calculatedColumnFormula>IF($P$2="x",'Symptomen (alle)'!P1,0)</calculatedColumnFormula>
    </tableColumn>
    <tableColumn id="56" name="Kolom133"/>
    <tableColumn id="55" name="Kolom132"/>
    <tableColumn id="14" name="Kolom14">
      <calculatedColumnFormula>IF($Q$2="x",'Symptomen (alle)'!S1,0)</calculatedColumnFormula>
    </tableColumn>
    <tableColumn id="16" name="Kolom16">
      <calculatedColumnFormula>IF(#REF!="x",'Symptomen (alle)'!AC1,0)</calculatedColumnFormula>
    </tableColumn>
    <tableColumn id="52" name="Kolom173"/>
    <tableColumn id="51" name="Kolom172"/>
    <tableColumn id="18" name="Kolom18">
      <calculatedColumnFormula>IF(#REF!="x",'Symptomen (alle)'!V1,0)</calculatedColumnFormula>
    </tableColumn>
    <tableColumn id="19" name="Kolom19">
      <calculatedColumnFormula>IF($X$2="x",'Symptomen (alle)'!W1,0)</calculatedColumnFormula>
    </tableColumn>
    <tableColumn id="20" name="Kolom20">
      <calculatedColumnFormula>IF($Y$2="x",'Symptomen (alle)'!X1,0)</calculatedColumnFormula>
    </tableColumn>
    <tableColumn id="21" name="Kolom21">
      <calculatedColumnFormula>IF($Z$2="x",'Symptomen (alle)'!AB1,0)</calculatedColumnFormula>
    </tableColumn>
    <tableColumn id="22" name="Kolom22">
      <calculatedColumnFormula>IF($AA$2="x",'Symptomen (alle)'!Y1,0)</calculatedColumnFormula>
    </tableColumn>
    <tableColumn id="34" name="Kolom223"/>
    <tableColumn id="33" name="Kolom222"/>
    <tableColumn id="25" name="Kolom25">
      <calculatedColumnFormula>SUM(D4:AB4)</calculatedColumnFormula>
    </tableColumn>
    <tableColumn id="26" name="Kolom26">
      <calculatedColumnFormula>HLOOKUP($B$2,ZiekteFam!$B$1:$S$30,AG4,FALSE)</calculatedColumnFormula>
    </tableColumn>
    <tableColumn id="27" name="Kolom27" dataDxfId="177">
      <calculatedColumnFormula>ROW(AF4)-4</calculatedColumnFormula>
    </tableColumn>
    <tableColumn id="28" name="Kolom28" dataDxfId="176">
      <calculatedColumnFormula>SUM('Symptomen (alle)'!C1:Y1)</calculatedColumnFormula>
    </tableColumn>
    <tableColumn id="29" name="Kolom29" dataDxfId="175">
      <calculatedColumnFormula>Tabel424[[#This Row],[Kolom25]]/Tabel424[[#This Row],[Kolom28]]</calculatedColumnFormula>
    </tableColumn>
    <tableColumn id="71" name="Kolom2912" dataDxfId="174"/>
    <tableColumn id="31" name="Kolom292" dataDxfId="173">
      <calculatedColumnFormula>Tabel424[[#This Row],[Kolom29]]</calculatedColumnFormula>
    </tableColumn>
    <tableColumn id="15" name="Kolom2910" dataDxfId="172">
      <calculatedColumnFormula>_xlfn.RANK.EQ(Tabel424[[#This Row],[Kolom29]],AI4:AI34)</calculatedColumnFormula>
    </tableColumn>
    <tableColumn id="72" name="Kolom2911" dataDxfId="171">
      <calculatedColumnFormula>_xlfn.RANK.EQ(Tabel424[[#This Row],[Kolom3]],E4:E34)</calculatedColumnFormula>
    </tableColumn>
    <tableColumn id="17" name="Kolom291110" dataDxfId="170">
      <calculatedColumnFormula>Tabel424[[#This Row],[Kolom2911]]*AM1</calculatedColumnFormula>
    </tableColumn>
    <tableColumn id="73" name="Kolom29112" dataDxfId="169"/>
    <tableColumn id="23" name="Kolom291122" dataDxfId="168">
      <calculatedColumnFormula>Tabel424[[#This Row],[Kolom29112]]*AO$2</calculatedColumnFormula>
    </tableColumn>
    <tableColumn id="74" name="Kolom29113" dataDxfId="167"/>
    <tableColumn id="24" name="Kolom291132" dataDxfId="166">
      <calculatedColumnFormula>Tabel424[[#This Row],[Kolom29113]]*AQ$2</calculatedColumnFormula>
    </tableColumn>
    <tableColumn id="75" name="Kolom29114" dataDxfId="165"/>
    <tableColumn id="30" name="Kolom291142" dataDxfId="164">
      <calculatedColumnFormula>Tabel424[[#This Row],[Kolom29114]]*AS$2</calculatedColumnFormula>
    </tableColumn>
    <tableColumn id="76" name="Kolom29115" dataDxfId="163"/>
    <tableColumn id="35" name="Kolom291152" dataDxfId="162">
      <calculatedColumnFormula>Tabel424[[#This Row],[Kolom29115]]*AU$2</calculatedColumnFormula>
    </tableColumn>
    <tableColumn id="77" name="Kolom29116" dataDxfId="161"/>
    <tableColumn id="36" name="Kolom291162" dataDxfId="160">
      <calculatedColumnFormula>Tabel424[[#This Row],[Kolom29116]]*AW$2</calculatedColumnFormula>
    </tableColumn>
    <tableColumn id="78" name="Kolom29117" dataDxfId="159"/>
    <tableColumn id="37" name="Kolom291172" dataDxfId="158">
      <calculatedColumnFormula>Tabel424[[#This Row],[Kolom29117]]*AY$2</calculatedColumnFormula>
    </tableColumn>
    <tableColumn id="79" name="Kolom29118" dataDxfId="157"/>
    <tableColumn id="38" name="Kolom291182" dataDxfId="156">
      <calculatedColumnFormula>Tabel424[[#This Row],[Kolom29118]]*BA$2</calculatedColumnFormula>
    </tableColumn>
    <tableColumn id="80" name="Kolom29119" dataDxfId="155"/>
    <tableColumn id="39" name="Kolom291192" dataDxfId="154">
      <calculatedColumnFormula>Tabel424[[#This Row],[Kolom29119]]*BC$2</calculatedColumnFormula>
    </tableColumn>
    <tableColumn id="81" name="Kolom29120" dataDxfId="153"/>
    <tableColumn id="40" name="Kolom291202" dataDxfId="152">
      <calculatedColumnFormula>Tabel424[[#This Row],[Kolom29120]]*BE$2</calculatedColumnFormula>
    </tableColumn>
    <tableColumn id="82" name="Kolom29121" dataDxfId="151"/>
    <tableColumn id="41" name="Kolom291212" dataDxfId="150">
      <calculatedColumnFormula>Tabel424[[#This Row],[Kolom29121]]*BG$2</calculatedColumnFormula>
    </tableColumn>
    <tableColumn id="83" name="Kolom29122" dataDxfId="149"/>
    <tableColumn id="42" name="Kolom291222" dataDxfId="148">
      <calculatedColumnFormula>Tabel424[[#This Row],[Kolom29122]]*BI$2</calculatedColumnFormula>
    </tableColumn>
    <tableColumn id="84" name="Kolom29123" dataDxfId="147"/>
    <tableColumn id="43" name="Kolom291232" dataDxfId="146">
      <calculatedColumnFormula>Tabel424[[#This Row],[Kolom29123]]*BK$2</calculatedColumnFormula>
    </tableColumn>
    <tableColumn id="85" name="Kolom29124" dataDxfId="145"/>
    <tableColumn id="44" name="Kolom291242" dataDxfId="144">
      <calculatedColumnFormula>Tabel424[[#This Row],[Kolom29124]]*BM$2</calculatedColumnFormula>
    </tableColumn>
    <tableColumn id="86" name="Kolom29125" dataDxfId="143"/>
    <tableColumn id="45" name="Kolom291252" dataDxfId="142">
      <calculatedColumnFormula>Tabel424[[#This Row],[Kolom29125]]*BO$2</calculatedColumnFormula>
    </tableColumn>
    <tableColumn id="87" name="Kolom29126" dataDxfId="141"/>
    <tableColumn id="46" name="Kolom291262" dataDxfId="140">
      <calculatedColumnFormula>Tabel424[[#This Row],[Kolom29126]]*BQ$2</calculatedColumnFormula>
    </tableColumn>
    <tableColumn id="88" name="Kolom29127" dataDxfId="139"/>
    <tableColumn id="47" name="Kolom291272" dataDxfId="138">
      <calculatedColumnFormula>Tabel424[[#This Row],[Kolom29127]]*BS$2</calculatedColumnFormula>
    </tableColumn>
    <tableColumn id="89" name="Kolom29128" dataDxfId="137"/>
    <tableColumn id="48" name="Kolom291282" dataDxfId="136">
      <calculatedColumnFormula>Tabel424[[#This Row],[Kolom29128]]*BU$2</calculatedColumnFormula>
    </tableColumn>
    <tableColumn id="90" name="Kolom29129" dataDxfId="135"/>
    <tableColumn id="49" name="Kolom291292" dataDxfId="134">
      <calculatedColumnFormula>Tabel424[[#This Row],[Kolom29129]]*BW$2</calculatedColumnFormula>
    </tableColumn>
    <tableColumn id="91" name="Kolom29130" dataDxfId="133"/>
    <tableColumn id="50" name="Kolom291302" dataDxfId="132">
      <calculatedColumnFormula>Tabel424[[#This Row],[Kolom29130]]*BY$2</calculatedColumnFormula>
    </tableColumn>
    <tableColumn id="92" name="Kolom29131" dataDxfId="131"/>
    <tableColumn id="57" name="Kolom291312" dataDxfId="130">
      <calculatedColumnFormula>Tabel424[[#This Row],[Kolom29131]]*CA$2</calculatedColumnFormula>
    </tableColumn>
    <tableColumn id="93" name="Kolom29132" dataDxfId="129"/>
    <tableColumn id="58" name="Kolom291322" dataDxfId="128">
      <calculatedColumnFormula>Tabel424[[#This Row],[Kolom29132]]*CC$2</calculatedColumnFormula>
    </tableColumn>
    <tableColumn id="94" name="Kolom29133" dataDxfId="127"/>
    <tableColumn id="59" name="Kolom291332" dataDxfId="126">
      <calculatedColumnFormula>Tabel424[[#This Row],[Kolom29133]]*CE$2</calculatedColumnFormula>
    </tableColumn>
    <tableColumn id="95" name="Kolom29134" dataDxfId="125"/>
    <tableColumn id="60" name="Kolom291342" dataDxfId="124">
      <calculatedColumnFormula>Tabel424[[#This Row],[Kolom29134]]*CG$2</calculatedColumnFormula>
    </tableColumn>
    <tableColumn id="96" name="Kolom29135" dataDxfId="123"/>
    <tableColumn id="61" name="Kolom291352" dataDxfId="122">
      <calculatedColumnFormula>Tabel424[[#This Row],[Kolom29135]]*CI$2</calculatedColumnFormula>
    </tableColumn>
    <tableColumn id="97" name="Kolom29136" dataDxfId="121"/>
    <tableColumn id="62" name="Kolom291362" dataDxfId="120">
      <calculatedColumnFormula>Tabel424[[#This Row],[Kolom29136]]*CK$2</calculatedColumnFormula>
    </tableColumn>
    <tableColumn id="98" name="Kolom29137" dataDxfId="119"/>
    <tableColumn id="99" name="Kolom29138" dataDxfId="118">
      <calculatedColumnFormula>SUM(Tabel424[[#This Row],[Kolom2911]:[Kolom29136]])</calculatedColumnFormula>
    </tableColumn>
    <tableColumn id="63" name="Kolom291382" dataDxfId="117">
      <calculatedColumnFormula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Row],[Kolom291302]]+CB4+Tabel424[[#This Row],[Kolom291322]]+Tabel424[[#This Row],[Kolom291332]]+Tabel424[[#This Row],[Kolom291342]]+Tabel424[[#This Row],[Kolom291352]]+Tabel424[[#This Row],[Kolom291362]])/Tabel424[[#This Row],[Kolom29137]]</calculatedColumnFormula>
    </tableColumn>
    <tableColumn id="100" name="Kolom29139" dataDxfId="116">
      <calculatedColumnFormula>_xlfn.RANK.EQ(Tabel424[[#This Row],[Kolom29138]],CN4:CN34)</calculatedColumnFormula>
    </tableColumn>
    <tableColumn id="64" name="Kolom29140" dataDxfId="115">
      <calculatedColumnFormula>_xlfn.RANK.EQ(Tabel424[[#This Row],[Kolom291382]],CO$5:CO$35,1)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el4246" displayName="Tabel4246" ref="B3:CR35" totalsRowShown="0" tableBorderDxfId="109">
  <autoFilter ref="B3:CR35"/>
  <tableColumns count="95">
    <tableColumn id="1" name="Kolom1">
      <calculatedColumnFormula>'Symptomen (alle)'!A1</calculatedColumnFormula>
    </tableColumn>
    <tableColumn id="53" name="Kolom110" dataDxfId="108">
      <calculatedColumnFormula>'Symptomen (alle)'!B1</calculatedColumnFormula>
    </tableColumn>
    <tableColumn id="2" name="Kolom2">
      <calculatedColumnFormula>IF($D$2="x",'Symptomen (alle)'!C1,0)</calculatedColumnFormula>
    </tableColumn>
    <tableColumn id="3" name="Kolom3">
      <calculatedColumnFormula>IF($E$2="x",'Symptomen (alle)'!D1,0)</calculatedColumnFormula>
    </tableColumn>
    <tableColumn id="4" name="Kolom4">
      <calculatedColumnFormula>IF($F$2="x",'Symptomen (alle)'!E1,0)</calculatedColumnFormula>
    </tableColumn>
    <tableColumn id="5" name="Kolom5">
      <calculatedColumnFormula>IF($G$2="x",'Symptomen (alle)'!F1,0)</calculatedColumnFormula>
    </tableColumn>
    <tableColumn id="6" name="Kolom6">
      <calculatedColumnFormula>IF($H$2="x",'Symptomen (alle)'!G1,0)</calculatedColumnFormula>
    </tableColumn>
    <tableColumn id="54" name="Kolom62"/>
    <tableColumn id="7" name="Kolom7">
      <calculatedColumnFormula>IF($J$2="x",'Symptomen (alle)'!I1,0)</calculatedColumnFormula>
    </tableColumn>
    <tableColumn id="32" name="Kolom72"/>
    <tableColumn id="8" name="Kolom8">
      <calculatedColumnFormula>IF($K$2="x",'Symptomen (alle)'!K1,0)</calculatedColumnFormula>
    </tableColumn>
    <tableColumn id="9" name="Kolom9">
      <calculatedColumnFormula>IF($L$2="x",'Symptomen (alle)'!L1,0)</calculatedColumnFormula>
    </tableColumn>
    <tableColumn id="10" name="Kolom10">
      <calculatedColumnFormula>IF($M$2="x",'Symptomen (alle)'!M1,0)</calculatedColumnFormula>
    </tableColumn>
    <tableColumn id="11" name="Kolom11">
      <calculatedColumnFormula>IF($N$2="x",'Symptomen (alle)'!N1,0)</calculatedColumnFormula>
    </tableColumn>
    <tableColumn id="12" name="Kolom12">
      <calculatedColumnFormula>IF($O$2="x",'Symptomen (alle)'!O1,0)</calculatedColumnFormula>
    </tableColumn>
    <tableColumn id="13" name="Kolom13">
      <calculatedColumnFormula>IF($P$2="x",'Symptomen (alle)'!P1,0)</calculatedColumnFormula>
    </tableColumn>
    <tableColumn id="56" name="Kolom133"/>
    <tableColumn id="55" name="Kolom132"/>
    <tableColumn id="14" name="Kolom14">
      <calculatedColumnFormula>IF($Q$2="x",'Symptomen (alle)'!S1,0)</calculatedColumnFormula>
    </tableColumn>
    <tableColumn id="16" name="Kolom16">
      <calculatedColumnFormula>IF(#REF!="x",'Symptomen (alle)'!AC1,0)</calculatedColumnFormula>
    </tableColumn>
    <tableColumn id="52" name="Kolom173"/>
    <tableColumn id="51" name="Kolom172"/>
    <tableColumn id="18" name="Kolom18">
      <calculatedColumnFormula>IF(#REF!="x",'Symptomen (alle)'!V1,0)</calculatedColumnFormula>
    </tableColumn>
    <tableColumn id="19" name="Kolom19">
      <calculatedColumnFormula>IF($X$2="x",'Symptomen (alle)'!W1,0)</calculatedColumnFormula>
    </tableColumn>
    <tableColumn id="20" name="Kolom20">
      <calculatedColumnFormula>IF($Y$2="x",'Symptomen (alle)'!X1,0)</calculatedColumnFormula>
    </tableColumn>
    <tableColumn id="21" name="Kolom21">
      <calculatedColumnFormula>IF($Z$2="x",'Symptomen (alle)'!AB1,0)</calculatedColumnFormula>
    </tableColumn>
    <tableColumn id="22" name="Kolom22">
      <calculatedColumnFormula>IF($AA$2="x",'Symptomen (alle)'!Y1,0)</calculatedColumnFormula>
    </tableColumn>
    <tableColumn id="34" name="Kolom223"/>
    <tableColumn id="33" name="Kolom222"/>
    <tableColumn id="25" name="Kolom25">
      <calculatedColumnFormula>SUM(D4:AB4)</calculatedColumnFormula>
    </tableColumn>
    <tableColumn id="26" name="Kolom26">
      <calculatedColumnFormula>HLOOKUP($B$2,ZiekteFam!$B$1:$S$30,AG4,FALSE)</calculatedColumnFormula>
    </tableColumn>
    <tableColumn id="27" name="Kolom27" dataDxfId="107">
      <calculatedColumnFormula>ROW(AF4)-4</calculatedColumnFormula>
    </tableColumn>
    <tableColumn id="28" name="Kolom28" dataDxfId="106">
      <calculatedColumnFormula>SUM('Symptomen (alle)'!C1:Y1)</calculatedColumnFormula>
    </tableColumn>
    <tableColumn id="29" name="Kolom29" dataDxfId="105">
      <calculatedColumnFormula>Tabel4246[[#This Row],[Kolom25]]/Tabel4246[[#This Row],[Kolom28]]</calculatedColumnFormula>
    </tableColumn>
    <tableColumn id="71" name="Kolom2912" dataDxfId="104"/>
    <tableColumn id="31" name="Kolom292" dataDxfId="103">
      <calculatedColumnFormula>Tabel4246[[#This Row],[Kolom29]]</calculatedColumnFormula>
    </tableColumn>
    <tableColumn id="15" name="Kolom2910" dataDxfId="102">
      <calculatedColumnFormula>_xlfn.RANK.EQ(Tabel4246[[#This Row],[Kolom29]],AI4:AI34)</calculatedColumnFormula>
    </tableColumn>
    <tableColumn id="72" name="Kolom2911" dataDxfId="101">
      <calculatedColumnFormula>_xlfn.RANK.EQ(Tabel4246[[#This Row],[Kolom3]],E4:E34)</calculatedColumnFormula>
    </tableColumn>
    <tableColumn id="17" name="Kolom291110" dataDxfId="100">
      <calculatedColumnFormula>Tabel4246[[#This Row],[Kolom2911]]*AM1</calculatedColumnFormula>
    </tableColumn>
    <tableColumn id="73" name="Kolom29112" dataDxfId="99"/>
    <tableColumn id="23" name="Kolom291122" dataDxfId="98">
      <calculatedColumnFormula>Tabel4246[[#This Row],[Kolom29112]]*AO$2</calculatedColumnFormula>
    </tableColumn>
    <tableColumn id="74" name="Kolom29113" dataDxfId="97"/>
    <tableColumn id="24" name="Kolom291132" dataDxfId="96">
      <calculatedColumnFormula>Tabel4246[[#This Row],[Kolom29113]]*AQ$2</calculatedColumnFormula>
    </tableColumn>
    <tableColumn id="75" name="Kolom29114" dataDxfId="95"/>
    <tableColumn id="30" name="Kolom291142" dataDxfId="94">
      <calculatedColumnFormula>Tabel4246[[#This Row],[Kolom29114]]*AS$2</calculatedColumnFormula>
    </tableColumn>
    <tableColumn id="76" name="Kolom29115" dataDxfId="93"/>
    <tableColumn id="35" name="Kolom291152" dataDxfId="92">
      <calculatedColumnFormula>Tabel4246[[#This Row],[Kolom29115]]*AU$2</calculatedColumnFormula>
    </tableColumn>
    <tableColumn id="77" name="Kolom29116" dataDxfId="91"/>
    <tableColumn id="36" name="Kolom291162" dataDxfId="90">
      <calculatedColumnFormula>Tabel4246[[#This Row],[Kolom29116]]*AW$2</calculatedColumnFormula>
    </tableColumn>
    <tableColumn id="78" name="Kolom29117" dataDxfId="89"/>
    <tableColumn id="37" name="Kolom291172" dataDxfId="88">
      <calculatedColumnFormula>Tabel4246[[#This Row],[Kolom29117]]*AY$2</calculatedColumnFormula>
    </tableColumn>
    <tableColumn id="79" name="Kolom29118" dataDxfId="87"/>
    <tableColumn id="38" name="Kolom291182" dataDxfId="86">
      <calculatedColumnFormula>Tabel4246[[#This Row],[Kolom29118]]*BA$2</calculatedColumnFormula>
    </tableColumn>
    <tableColumn id="80" name="Kolom29119" dataDxfId="85"/>
    <tableColumn id="39" name="Kolom291192" dataDxfId="84">
      <calculatedColumnFormula>Tabel4246[[#This Row],[Kolom29119]]*BC$2</calculatedColumnFormula>
    </tableColumn>
    <tableColumn id="81" name="Kolom29120" dataDxfId="83"/>
    <tableColumn id="40" name="Kolom291202" dataDxfId="82">
      <calculatedColumnFormula>Tabel4246[[#This Row],[Kolom29120]]*BE$2</calculatedColumnFormula>
    </tableColumn>
    <tableColumn id="82" name="Kolom29121" dataDxfId="81"/>
    <tableColumn id="41" name="Kolom291212" dataDxfId="80">
      <calculatedColumnFormula>Tabel4246[[#This Row],[Kolom29121]]*BG$2</calculatedColumnFormula>
    </tableColumn>
    <tableColumn id="83" name="Kolom29122" dataDxfId="79"/>
    <tableColumn id="42" name="Kolom291222" dataDxfId="78">
      <calculatedColumnFormula>Tabel4246[[#This Row],[Kolom29122]]*BI$2</calculatedColumnFormula>
    </tableColumn>
    <tableColumn id="84" name="Kolom29123" dataDxfId="77"/>
    <tableColumn id="43" name="Kolom291232" dataDxfId="76">
      <calculatedColumnFormula>Tabel4246[[#This Row],[Kolom29123]]*BK$2</calculatedColumnFormula>
    </tableColumn>
    <tableColumn id="85" name="Kolom29124" dataDxfId="75"/>
    <tableColumn id="44" name="Kolom291242" dataDxfId="74">
      <calculatedColumnFormula>Tabel4246[[#This Row],[Kolom29124]]*BM$2</calculatedColumnFormula>
    </tableColumn>
    <tableColumn id="86" name="Kolom29125" dataDxfId="73"/>
    <tableColumn id="45" name="Kolom291252" dataDxfId="72">
      <calculatedColumnFormula>Tabel4246[[#This Row],[Kolom29125]]*BO$2</calculatedColumnFormula>
    </tableColumn>
    <tableColumn id="87" name="Kolom29126" dataDxfId="71"/>
    <tableColumn id="46" name="Kolom291262" dataDxfId="70">
      <calculatedColumnFormula>Tabel4246[[#This Row],[Kolom29126]]*BQ$2</calculatedColumnFormula>
    </tableColumn>
    <tableColumn id="88" name="Kolom29127" dataDxfId="69"/>
    <tableColumn id="47" name="Kolom291272" dataDxfId="68">
      <calculatedColumnFormula>Tabel4246[[#This Row],[Kolom29127]]*BS$2</calculatedColumnFormula>
    </tableColumn>
    <tableColumn id="89" name="Kolom29128" dataDxfId="67"/>
    <tableColumn id="48" name="Kolom291282" dataDxfId="66">
      <calculatedColumnFormula>Tabel4246[[#This Row],[Kolom29128]]*BU$2</calculatedColumnFormula>
    </tableColumn>
    <tableColumn id="90" name="Kolom29129" dataDxfId="65"/>
    <tableColumn id="49" name="Kolom291292" dataDxfId="64">
      <calculatedColumnFormula>Tabel4246[[#This Row],[Kolom29129]]*BW$2</calculatedColumnFormula>
    </tableColumn>
    <tableColumn id="91" name="Kolom29130" dataDxfId="63"/>
    <tableColumn id="50" name="Kolom291302" dataDxfId="62">
      <calculatedColumnFormula>Tabel4246[[#This Row],[Kolom29130]]*BY$2</calculatedColumnFormula>
    </tableColumn>
    <tableColumn id="92" name="Kolom29131" dataDxfId="61"/>
    <tableColumn id="57" name="Kolom291312" dataDxfId="60">
      <calculatedColumnFormula>Tabel4246[[#This Row],[Kolom29131]]*CA$2</calculatedColumnFormula>
    </tableColumn>
    <tableColumn id="93" name="Kolom29132" dataDxfId="59"/>
    <tableColumn id="58" name="Kolom291322" dataDxfId="58">
      <calculatedColumnFormula>Tabel4246[[#This Row],[Kolom29132]]*CC$2</calculatedColumnFormula>
    </tableColumn>
    <tableColumn id="94" name="Kolom29133" dataDxfId="57"/>
    <tableColumn id="59" name="Kolom291332" dataDxfId="56">
      <calculatedColumnFormula>Tabel4246[[#This Row],[Kolom29133]]*CE$2</calculatedColumnFormula>
    </tableColumn>
    <tableColumn id="95" name="Kolom29134" dataDxfId="55"/>
    <tableColumn id="60" name="Kolom291342" dataDxfId="54">
      <calculatedColumnFormula>Tabel4246[[#This Row],[Kolom29134]]*CG$2</calculatedColumnFormula>
    </tableColumn>
    <tableColumn id="96" name="Kolom29135" dataDxfId="53"/>
    <tableColumn id="61" name="Kolom291352" dataDxfId="52">
      <calculatedColumnFormula>Tabel4246[[#This Row],[Kolom29135]]*CI$2</calculatedColumnFormula>
    </tableColumn>
    <tableColumn id="97" name="Kolom29136" dataDxfId="51"/>
    <tableColumn id="62" name="Kolom291362" dataDxfId="50">
      <calculatedColumnFormula>Tabel4246[[#This Row],[Kolom29136]]*CK$2</calculatedColumnFormula>
    </tableColumn>
    <tableColumn id="98" name="Kolom29137" dataDxfId="49"/>
    <tableColumn id="99" name="Kolom29138" dataDxfId="48">
      <calculatedColumnFormula>SUM(Tabel4246[[#This Row],[Kolom2911]:[Kolom29136]])</calculatedColumnFormula>
    </tableColumn>
    <tableColumn id="63" name="Kolom291382" dataDxfId="47">
      <calculatedColumnFormula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Row],[Kolom291302]]+CB4+Tabel4246[[#This Row],[Kolom291322]]+Tabel4246[[#This Row],[Kolom291332]]+Tabel4246[[#This Row],[Kolom291342]]+Tabel4246[[#This Row],[Kolom291352]]+Tabel4246[[#This Row],[Kolom291362]])/Tabel4246[[#This Row],[Kolom29137]]</calculatedColumnFormula>
    </tableColumn>
    <tableColumn id="100" name="Kolom29139" dataDxfId="46">
      <calculatedColumnFormula>_xlfn.RANK.EQ(Tabel4246[[#This Row],[Kolom29138]],CN4:CN34)</calculatedColumnFormula>
    </tableColumn>
    <tableColumn id="64" name="Kolom29140" dataDxfId="45">
      <calculatedColumnFormula>_xlfn.RANK.EQ(Tabel4246[[#This Row],[Kolom291382]],CO$5:CO$35,1)</calculatedColumnFormula>
    </tableColumn>
    <tableColumn id="65" name="Kolom2914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Tabel423" displayName="Tabel423" ref="B5:BR37" totalsRowShown="0" tableBorderDxfId="39">
  <autoFilter ref="B5:BR37"/>
  <tableColumns count="69">
    <tableColumn id="1" name="Kolom1">
      <calculatedColumnFormula>'Symptomen (alle)'!A1</calculatedColumnFormula>
    </tableColumn>
    <tableColumn id="53" name="Kolom110" dataDxfId="38">
      <calculatedColumnFormula>'Symptomen (alle)'!B1</calculatedColumnFormula>
    </tableColumn>
    <tableColumn id="2" name="Kolom2">
      <calculatedColumnFormula>IF($D$4="x",'Symptomen (alle)'!C1,0)</calculatedColumnFormula>
    </tableColumn>
    <tableColumn id="3" name="Kolom3">
      <calculatedColumnFormula>IF($E$4="x",'Symptomen (alle)'!D1,0)</calculatedColumnFormula>
    </tableColumn>
    <tableColumn id="4" name="Kolom4">
      <calculatedColumnFormula>IF($F$4="x",'Symptomen (alle)'!E1,0)</calculatedColumnFormula>
    </tableColumn>
    <tableColumn id="5" name="Kolom5">
      <calculatedColumnFormula>IF($G$4="x",'Symptomen (alle)'!F1,0)</calculatedColumnFormula>
    </tableColumn>
    <tableColumn id="6" name="Kolom6">
      <calculatedColumnFormula>IF($H$4="x",'Symptomen (alle)'!G1,0)</calculatedColumnFormula>
    </tableColumn>
    <tableColumn id="54" name="Kolom62"/>
    <tableColumn id="7" name="Kolom7">
      <calculatedColumnFormula>IF($J$4="x",'Symptomen (alle)'!I1,0)</calculatedColumnFormula>
    </tableColumn>
    <tableColumn id="32" name="Kolom72"/>
    <tableColumn id="8" name="Kolom8">
      <calculatedColumnFormula>IF($K$4="x",'Symptomen (alle)'!K1,0)</calculatedColumnFormula>
    </tableColumn>
    <tableColumn id="9" name="Kolom9">
      <calculatedColumnFormula>IF($L$4="x",'Symptomen (alle)'!L1,0)</calculatedColumnFormula>
    </tableColumn>
    <tableColumn id="10" name="Kolom10">
      <calculatedColumnFormula>IF($M$4="x",'Symptomen (alle)'!M1,0)</calculatedColumnFormula>
    </tableColumn>
    <tableColumn id="11" name="Kolom11">
      <calculatedColumnFormula>IF($N$4="x",'Symptomen (alle)'!N1,0)</calculatedColumnFormula>
    </tableColumn>
    <tableColumn id="12" name="Kolom12">
      <calculatedColumnFormula>IF($O$4="x",'Symptomen (alle)'!O1,0)</calculatedColumnFormula>
    </tableColumn>
    <tableColumn id="13" name="Kolom13">
      <calculatedColumnFormula>IF($P$4="x",'Symptomen (alle)'!P1,0)</calculatedColumnFormula>
    </tableColumn>
    <tableColumn id="56" name="Kolom133"/>
    <tableColumn id="55" name="Kolom132"/>
    <tableColumn id="14" name="Kolom14">
      <calculatedColumnFormula>IF($Q$4="x",'Symptomen (alle)'!S1,0)</calculatedColumnFormula>
    </tableColumn>
    <tableColumn id="16" name="Kolom16">
      <calculatedColumnFormula>IF(#REF!="x",'Symptomen (alle)'!AC1,0)</calculatedColumnFormula>
    </tableColumn>
    <tableColumn id="52" name="Kolom173"/>
    <tableColumn id="51" name="Kolom172"/>
    <tableColumn id="18" name="Kolom18">
      <calculatedColumnFormula>IF(#REF!="x",'Symptomen (alle)'!V1,0)</calculatedColumnFormula>
    </tableColumn>
    <tableColumn id="19" name="Kolom19">
      <calculatedColumnFormula>IF($X$4="x",'Symptomen (alle)'!W1,0)</calculatedColumnFormula>
    </tableColumn>
    <tableColumn id="20" name="Kolom20">
      <calculatedColumnFormula>IF($Y$4="x",'Symptomen (alle)'!X1,0)</calculatedColumnFormula>
    </tableColumn>
    <tableColumn id="21" name="Kolom21">
      <calculatedColumnFormula>IF($Z$4="x",'Symptomen (alle)'!AB1,0)</calculatedColumnFormula>
    </tableColumn>
    <tableColumn id="22" name="Kolom22">
      <calculatedColumnFormula>IF($AA$4="x",'Symptomen (alle)'!Y1,0)</calculatedColumnFormula>
    </tableColumn>
    <tableColumn id="34" name="Kolom223"/>
    <tableColumn id="33" name="Kolom222"/>
    <tableColumn id="25" name="Kolom25">
      <calculatedColumnFormula>SUM(D6:AB6)</calculatedColumnFormula>
    </tableColumn>
    <tableColumn id="26" name="Kolom26">
      <calculatedColumnFormula>HLOOKUP($B$4,ZiekteFam!$B$1:$S$30,AG6,FALSE)</calculatedColumnFormula>
    </tableColumn>
    <tableColumn id="27" name="Kolom27" dataDxfId="37">
      <calculatedColumnFormula>ROW(AF6)-4</calculatedColumnFormula>
    </tableColumn>
    <tableColumn id="28" name="Kolom28" dataDxfId="36">
      <calculatedColumnFormula>SUM('Symptomen (alle)'!C1:Y1)</calculatedColumnFormula>
    </tableColumn>
    <tableColumn id="29" name="Kolom29" dataDxfId="35">
      <calculatedColumnFormula>Tabel423[[#This Row],[Kolom25]]/Tabel423[[#This Row],[Kolom28]]</calculatedColumnFormula>
    </tableColumn>
    <tableColumn id="41" name="Kolom297" dataDxfId="34">
      <calculatedColumnFormula>COUNTIF(F5:G5,"x")+COUNTIF(P5:T5,"x")</calculatedColumnFormula>
    </tableColumn>
    <tableColumn id="23" name="Kolom2972" dataDxfId="33"/>
    <tableColumn id="62" name="Kolom2973" dataDxfId="32">
      <calculatedColumnFormula>COUNTIF($F6:$J6,10)+COUNTIF($P6:$T6,10)</calculatedColumnFormula>
    </tableColumn>
    <tableColumn id="38" name="Kolom298" dataDxfId="31">
      <calculatedColumnFormula>COUNTIF(F6:G6,"0")+COUNTIF(P6:T6,"0")</calculatedColumnFormula>
    </tableColumn>
    <tableColumn id="46" name="Kolom299" dataDxfId="30">
      <calculatedColumnFormula>COUNTIF(F6:G6,2)+COUNTIF(P6:T6,2)</calculatedColumnFormula>
    </tableColumn>
    <tableColumn id="58" name="Kolom300" dataDxfId="29">
      <calculatedColumnFormula>COUNTIF(Tabel423[[#This Row],[Kolom3]:[Kolom222]],10)</calculatedColumnFormula>
    </tableColumn>
    <tableColumn id="63" name="Kolom301" dataDxfId="28">
      <calculatedColumnFormula>COUNTIF(Tabel423[[#This Row],[Kolom3]:[Kolom222]],10)</calculatedColumnFormula>
    </tableColumn>
    <tableColumn id="35" name="Kolom294" dataDxfId="27">
      <calculatedColumnFormula>COUNTIF(#REF!,3)</calculatedColumnFormula>
    </tableColumn>
    <tableColumn id="36" name="Kolom295" dataDxfId="26">
      <calculatedColumnFormula>COUNTIF(#REF!,2)</calculatedColumnFormula>
    </tableColumn>
    <tableColumn id="37" name="Kolom296" dataDxfId="25">
      <calculatedColumnFormula>COUNTIF(#REF!,1)</calculatedColumnFormula>
    </tableColumn>
    <tableColumn id="17" name="Kolom2965" dataDxfId="24">
      <calculatedColumnFormula>COUNTIF('Symptomen (alle)'!$D1:$AA1,3)</calculatedColumnFormula>
    </tableColumn>
    <tableColumn id="64" name="Kolom2966" dataDxfId="23">
      <calculatedColumnFormula>COUNTIF('Symptomen (alle)'!$D1:$AC1,10)</calculatedColumnFormula>
    </tableColumn>
    <tableColumn id="39" name="Kolom2962" dataDxfId="22">
      <calculatedColumnFormula>COUNTIF(#REF!,3)</calculatedColumnFormula>
    </tableColumn>
    <tableColumn id="42" name="Kolom29622" dataDxfId="21">
      <calculatedColumnFormula>COUNTIF('Symptomen (alle)'!$D$2:$AA$2,3)</calculatedColumnFormula>
    </tableColumn>
    <tableColumn id="43" name="Kolom29623" dataDxfId="20">
      <calculatedColumnFormula>COUNTIF('Symptomen (alle)'!$D$2:$AA$2,3)</calculatedColumnFormula>
    </tableColumn>
    <tableColumn id="57" name="Kolom296232" dataDxfId="19">
      <calculatedColumnFormula>IF(Tabel423[[#This Row],[Kolom300]]=0,0,Tabel423[[#This Row],[Kolom2972]]/Tabel423[[#This Row],[Kolom300]])</calculatedColumnFormula>
    </tableColumn>
    <tableColumn id="65" name="Kolom296233" dataDxfId="18">
      <calculatedColumnFormula>IF(Tabel423[[#This Row],[Kolom301]]=0,0,Tabel423[[#This Row],[Kolom2973]]/Tabel423[[#This Row],[Kolom301]])</calculatedColumnFormula>
    </tableColumn>
    <tableColumn id="45" name="Kolom29624" dataDxfId="17">
      <calculatedColumnFormula>IF(Tabel423[[#This Row],[Kolom294]]=0,0,Tabel423[[#This Row],[Kolom298]]/Tabel423[[#This Row],[Kolom294]])</calculatedColumnFormula>
    </tableColumn>
    <tableColumn id="40" name="Kolom2963" dataDxfId="16">
      <calculatedColumnFormula>IF(AR7=0,0,Tabel423[[#This Row],[Kolom299]]/Tabel423[[#This Row],[Kolom295]])</calculatedColumnFormula>
    </tableColumn>
    <tableColumn id="59" name="Kolom29634" dataDxfId="15">
      <calculatedColumnFormula>IF(Tabel423[[#This Row],[Kolom2965]]=0,0,Tabel423[[#This Row],[Kolom300]]/Tabel423[[#This Row],[Kolom2965]])</calculatedColumnFormula>
    </tableColumn>
    <tableColumn id="66" name="Kolom29635" dataDxfId="14">
      <calculatedColumnFormula>IF(Tabel423[[#This Row],[Kolom2966]]=0,0,Tabel423[[#This Row],[Kolom301]]/Tabel423[[#This Row],[Kolom2966]])</calculatedColumnFormula>
    </tableColumn>
    <tableColumn id="50" name="Kolom29633" dataDxfId="13">
      <calculatedColumnFormula>IF(Tabel423[[#This Row],[Kolom2962]]=0,0,Tabel423[[#This Row],[Kolom294]]/Tabel423[[#This Row],[Kolom2962]])</calculatedColumnFormula>
    </tableColumn>
    <tableColumn id="49" name="Kolom29632" dataDxfId="12">
      <calculatedColumnFormula>IF(Tabel423[[#This Row],[Kolom29622]]=0,0,Tabel423[[#This Row],[Kolom295]]/Tabel423[[#This Row],[Kolom29622]])</calculatedColumnFormula>
    </tableColumn>
    <tableColumn id="48" name="Kolom2964" dataDxfId="11">
      <calculatedColumnFormula>IF(Tabel423[[#This Row],[Kolom29623]]=0,0,Tabel423[[#This Row],[Kolom296]]/Tabel423[[#This Row],[Kolom29623]])</calculatedColumnFormula>
    </tableColumn>
    <tableColumn id="24" name="Kolom293" dataDxfId="10">
      <calculatedColumnFormula>(3*Tabel423[[#This Row],[Kolom29624]]+2*Tabel423[[#This Row],[Kolom2963]]+Tabel423[[#This Row],[Kolom29]])/6</calculatedColumnFormula>
    </tableColumn>
    <tableColumn id="47" name="Kolom2933" dataDxfId="9">
      <calculatedColumnFormula>(10*Tabel423[[#This Row],[Kolom296232]]+3*Tabel423[[#This Row],[Kolom29624]]+2*Tabel423[[#This Row],[Kolom2963]])/15</calculatedColumnFormula>
    </tableColumn>
    <tableColumn id="61" name="Kolom29332" dataDxfId="8">
      <calculatedColumnFormula>(10*Tabel423[[#This Row],[Kolom29634]]+3*Tabel423[[#This Row],[Kolom29633]]+2*Tabel423[[#This Row],[Kolom29632]]+Tabel423[[#This Row],[Kolom2964]])/16</calculatedColumnFormula>
    </tableColumn>
    <tableColumn id="60" name="Kolom2934" dataDxfId="7">
      <calculatedColumnFormula>(10*Tabel423[[#This Row],[Kolom29634]]+3*Tabel423[[#This Row],[Kolom29633]]+2*Tabel423[[#This Row],[Kolom29632]]+Tabel423[[#This Row],[Kolom2964]])/16</calculatedColumnFormula>
    </tableColumn>
    <tableColumn id="31" name="Kolom292" dataDxfId="6">
      <calculatedColumnFormula>Tabel423[[#This Row],[Kolom29]]</calculatedColumnFormula>
    </tableColumn>
    <tableColumn id="15" name="Kolom2910" dataDxfId="5">
      <calculatedColumnFormula>_xlfn.RANK.EQ(Tabel423[[#This Row],[Kolom29]],AI6:AI36)</calculatedColumnFormula>
    </tableColumn>
    <tableColumn id="69" name="Kolom29104" dataDxfId="4">
      <calculatedColumnFormula>_xlfn.RANK.EQ(Tabel423[[#This Row],[Kolom293]],BH6:BH36)</calculatedColumnFormula>
    </tableColumn>
    <tableColumn id="68" name="Kolom29103" dataDxfId="3"/>
    <tableColumn id="67" name="Kolom29102" dataDxfId="2"/>
    <tableColumn id="44" name="Kolom2911" dataDxfId="1"/>
    <tableColumn id="30" name="Kolom30" dataDxfId="0">
      <calculatedColumnFormula>Tabel423[[#This Row],[Kolom29]]*Tabel423[[#This Row],[Kolom26]]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5.xml"/><Relationship Id="rId3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2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77"/>
  <sheetViews>
    <sheetView tabSelected="1" zoomScale="90" zoomScaleNormal="90" zoomScalePageLayoutView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2" sqref="A12"/>
    </sheetView>
  </sheetViews>
  <sheetFormatPr baseColWidth="10" defaultColWidth="8.83203125" defaultRowHeight="14" x14ac:dyDescent="0"/>
  <cols>
    <col min="1" max="1" width="64.83203125" style="10" bestFit="1" customWidth="1"/>
    <col min="2" max="2" width="6.5" style="10" customWidth="1"/>
    <col min="3" max="3" width="6.33203125" style="10" customWidth="1"/>
    <col min="4" max="4" width="6.1640625" style="10" bestFit="1" customWidth="1"/>
    <col min="5" max="5" width="3.5" style="10" bestFit="1" customWidth="1"/>
    <col min="6" max="6" width="6" style="10" bestFit="1" customWidth="1"/>
    <col min="7" max="19" width="3.5" style="10" bestFit="1" customWidth="1"/>
    <col min="20" max="20" width="4.1640625" style="10" bestFit="1" customWidth="1"/>
    <col min="21" max="22" width="3.5" style="10" bestFit="1" customWidth="1"/>
    <col min="23" max="24" width="3.33203125" style="10" bestFit="1" customWidth="1"/>
    <col min="25" max="27" width="3.5" style="10" bestFit="1" customWidth="1"/>
    <col min="28" max="28" width="4.1640625" style="10" bestFit="1" customWidth="1"/>
    <col min="29" max="29" width="3.5" style="10" bestFit="1" customWidth="1"/>
    <col min="30" max="16384" width="8.83203125" style="10"/>
  </cols>
  <sheetData>
    <row r="1" spans="1:30" ht="152" customHeight="1" thickBot="1">
      <c r="A1" s="38" t="s">
        <v>221</v>
      </c>
      <c r="B1" s="80" t="s">
        <v>92</v>
      </c>
      <c r="C1" s="72" t="s">
        <v>0</v>
      </c>
      <c r="D1" s="71" t="s">
        <v>1</v>
      </c>
      <c r="E1" s="39" t="s">
        <v>2</v>
      </c>
      <c r="F1" s="56" t="s">
        <v>360</v>
      </c>
      <c r="G1" s="39" t="s">
        <v>361</v>
      </c>
      <c r="H1" s="39" t="s">
        <v>362</v>
      </c>
      <c r="I1" s="39" t="s">
        <v>363</v>
      </c>
      <c r="J1" s="40" t="s">
        <v>93</v>
      </c>
      <c r="K1" s="63" t="s">
        <v>364</v>
      </c>
      <c r="L1" s="40" t="s">
        <v>365</v>
      </c>
      <c r="M1" s="40" t="s">
        <v>366</v>
      </c>
      <c r="N1" s="40" t="s">
        <v>15</v>
      </c>
      <c r="O1" s="39" t="s">
        <v>16</v>
      </c>
      <c r="P1" s="39" t="s">
        <v>37</v>
      </c>
      <c r="Q1" s="39" t="s">
        <v>175</v>
      </c>
      <c r="R1" s="39" t="s">
        <v>176</v>
      </c>
      <c r="S1" s="39" t="s">
        <v>367</v>
      </c>
      <c r="T1" s="40" t="s">
        <v>158</v>
      </c>
      <c r="U1" s="40" t="s">
        <v>159</v>
      </c>
      <c r="V1" s="40" t="s">
        <v>19</v>
      </c>
      <c r="W1" s="12" t="s">
        <v>20</v>
      </c>
      <c r="X1" s="12" t="s">
        <v>198</v>
      </c>
      <c r="Y1" s="40" t="s">
        <v>368</v>
      </c>
      <c r="Z1" s="33" t="s">
        <v>211</v>
      </c>
      <c r="AA1" s="33" t="s">
        <v>212</v>
      </c>
      <c r="AB1" s="40" t="s">
        <v>369</v>
      </c>
      <c r="AC1" s="40" t="s">
        <v>374</v>
      </c>
      <c r="AD1" s="33" t="s">
        <v>209</v>
      </c>
    </row>
    <row r="2" spans="1:30" ht="18" customHeight="1">
      <c r="A2" s="41" t="s">
        <v>23</v>
      </c>
      <c r="B2" s="67"/>
      <c r="C2" s="73" t="s">
        <v>90</v>
      </c>
      <c r="D2" s="42">
        <v>0</v>
      </c>
      <c r="E2" s="43">
        <v>0</v>
      </c>
      <c r="F2" s="43">
        <v>0</v>
      </c>
      <c r="G2" s="43">
        <v>1</v>
      </c>
      <c r="H2" s="43">
        <v>0</v>
      </c>
      <c r="I2" s="43">
        <v>0</v>
      </c>
      <c r="J2" s="42">
        <v>3</v>
      </c>
      <c r="K2" s="42">
        <v>1</v>
      </c>
      <c r="L2" s="42">
        <v>0</v>
      </c>
      <c r="M2" s="42">
        <v>0</v>
      </c>
      <c r="N2" s="42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2">
        <v>3</v>
      </c>
      <c r="U2" s="42">
        <v>0</v>
      </c>
      <c r="V2" s="42">
        <v>3</v>
      </c>
      <c r="W2" s="42">
        <v>0</v>
      </c>
      <c r="X2" s="42">
        <v>2</v>
      </c>
      <c r="Y2" s="42">
        <v>1</v>
      </c>
      <c r="Z2" s="42">
        <v>0</v>
      </c>
      <c r="AA2" s="42">
        <v>0</v>
      </c>
      <c r="AB2" s="42">
        <v>2</v>
      </c>
      <c r="AC2" s="42">
        <v>2</v>
      </c>
      <c r="AD2" s="10">
        <f>SUM(D2:AC2)</f>
        <v>18</v>
      </c>
    </row>
    <row r="3" spans="1:30" ht="18" customHeight="1">
      <c r="A3" s="44" t="s">
        <v>6</v>
      </c>
      <c r="B3" s="68"/>
      <c r="C3" s="74" t="s">
        <v>90</v>
      </c>
      <c r="D3" s="45">
        <v>0</v>
      </c>
      <c r="E3" s="46">
        <v>0</v>
      </c>
      <c r="F3" s="46">
        <v>0</v>
      </c>
      <c r="G3" s="46">
        <v>3</v>
      </c>
      <c r="H3" s="46">
        <v>10</v>
      </c>
      <c r="I3" s="46">
        <v>1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6">
        <v>2</v>
      </c>
      <c r="P3" s="46">
        <v>0</v>
      </c>
      <c r="Q3" s="46">
        <v>0</v>
      </c>
      <c r="R3" s="46">
        <v>0</v>
      </c>
      <c r="S3" s="46">
        <v>0</v>
      </c>
      <c r="T3" s="45">
        <v>3</v>
      </c>
      <c r="U3" s="45">
        <v>0</v>
      </c>
      <c r="V3" s="45">
        <v>3</v>
      </c>
      <c r="W3" s="45">
        <v>0</v>
      </c>
      <c r="X3" s="45">
        <v>2</v>
      </c>
      <c r="Y3" s="45">
        <v>1</v>
      </c>
      <c r="Z3" s="45">
        <v>0</v>
      </c>
      <c r="AA3" s="45">
        <v>0</v>
      </c>
      <c r="AB3" s="45">
        <v>2</v>
      </c>
      <c r="AC3" s="45">
        <v>2</v>
      </c>
      <c r="AD3" s="10">
        <f t="shared" ref="AD3:AD32" si="0">SUM(D3:AC3)</f>
        <v>29</v>
      </c>
    </row>
    <row r="4" spans="1:30" ht="18" customHeight="1">
      <c r="A4" s="44" t="s">
        <v>153</v>
      </c>
      <c r="B4" s="68"/>
      <c r="C4" s="74" t="s">
        <v>90</v>
      </c>
      <c r="D4" s="45">
        <v>2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5">
        <v>0</v>
      </c>
      <c r="K4" s="45">
        <v>0</v>
      </c>
      <c r="L4" s="45">
        <v>0</v>
      </c>
      <c r="M4" s="45">
        <v>10</v>
      </c>
      <c r="N4" s="45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2</v>
      </c>
      <c r="Z4" s="45">
        <v>0</v>
      </c>
      <c r="AA4" s="45">
        <v>0</v>
      </c>
      <c r="AB4" s="45">
        <v>3</v>
      </c>
      <c r="AC4" s="45">
        <v>1</v>
      </c>
      <c r="AD4" s="10">
        <f t="shared" si="0"/>
        <v>18</v>
      </c>
    </row>
    <row r="5" spans="1:30" ht="18" customHeight="1">
      <c r="A5" s="47" t="s">
        <v>339</v>
      </c>
      <c r="B5" s="68"/>
      <c r="C5" s="75">
        <v>0</v>
      </c>
      <c r="D5" s="48">
        <v>2</v>
      </c>
      <c r="E5" s="49">
        <v>0</v>
      </c>
      <c r="F5" s="49">
        <v>2</v>
      </c>
      <c r="G5" s="49">
        <v>0</v>
      </c>
      <c r="H5" s="49">
        <v>0</v>
      </c>
      <c r="I5" s="49">
        <v>0</v>
      </c>
      <c r="J5" s="48">
        <v>0</v>
      </c>
      <c r="K5" s="48">
        <v>0</v>
      </c>
      <c r="L5" s="48">
        <v>0</v>
      </c>
      <c r="M5" s="48">
        <v>5</v>
      </c>
      <c r="N5" s="48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2</v>
      </c>
      <c r="Z5" s="48">
        <v>0</v>
      </c>
      <c r="AA5" s="48">
        <v>0</v>
      </c>
      <c r="AB5" s="48">
        <v>3</v>
      </c>
      <c r="AC5" s="48">
        <v>1</v>
      </c>
      <c r="AD5" s="10">
        <f t="shared" si="0"/>
        <v>15</v>
      </c>
    </row>
    <row r="6" spans="1:30" ht="18" customHeight="1">
      <c r="A6" s="47" t="s">
        <v>340</v>
      </c>
      <c r="B6" s="68"/>
      <c r="C6" s="74">
        <v>0</v>
      </c>
      <c r="D6" s="45">
        <v>3</v>
      </c>
      <c r="E6" s="46">
        <v>0</v>
      </c>
      <c r="F6" s="46">
        <v>0</v>
      </c>
      <c r="G6" s="46">
        <v>0</v>
      </c>
      <c r="H6" s="46">
        <v>10</v>
      </c>
      <c r="I6" s="46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6">
        <v>0</v>
      </c>
      <c r="P6" s="46">
        <v>0</v>
      </c>
      <c r="Q6" s="46">
        <v>5</v>
      </c>
      <c r="R6" s="46">
        <v>0</v>
      </c>
      <c r="S6" s="46">
        <v>0</v>
      </c>
      <c r="T6" s="45">
        <v>1</v>
      </c>
      <c r="U6" s="45">
        <v>0</v>
      </c>
      <c r="V6" s="45">
        <v>1</v>
      </c>
      <c r="W6" s="45">
        <v>0</v>
      </c>
      <c r="X6" s="45">
        <v>2</v>
      </c>
      <c r="Y6" s="45">
        <v>0</v>
      </c>
      <c r="Z6" s="45">
        <v>0</v>
      </c>
      <c r="AA6" s="45">
        <v>0</v>
      </c>
      <c r="AB6" s="45">
        <v>3</v>
      </c>
      <c r="AC6" s="45">
        <v>0</v>
      </c>
      <c r="AD6" s="10">
        <f t="shared" si="0"/>
        <v>25</v>
      </c>
    </row>
    <row r="7" spans="1:30" ht="18" customHeight="1">
      <c r="A7" s="47" t="s">
        <v>156</v>
      </c>
      <c r="B7" s="68"/>
      <c r="C7" s="75">
        <v>0</v>
      </c>
      <c r="D7" s="48">
        <v>2</v>
      </c>
      <c r="E7" s="49">
        <v>1</v>
      </c>
      <c r="F7" s="49">
        <v>1</v>
      </c>
      <c r="G7" s="49">
        <v>3</v>
      </c>
      <c r="H7" s="49">
        <v>0</v>
      </c>
      <c r="I7" s="49">
        <v>2</v>
      </c>
      <c r="J7" s="48">
        <v>3</v>
      </c>
      <c r="K7" s="48">
        <v>5</v>
      </c>
      <c r="L7" s="48">
        <v>2</v>
      </c>
      <c r="M7" s="48">
        <v>0</v>
      </c>
      <c r="N7" s="48">
        <v>2</v>
      </c>
      <c r="O7" s="49">
        <v>1</v>
      </c>
      <c r="P7" s="49">
        <v>0</v>
      </c>
      <c r="Q7" s="49">
        <v>0</v>
      </c>
      <c r="R7" s="49">
        <v>0</v>
      </c>
      <c r="S7" s="49">
        <v>2</v>
      </c>
      <c r="T7" s="48">
        <v>10</v>
      </c>
      <c r="U7" s="48">
        <v>3</v>
      </c>
      <c r="V7" s="48">
        <v>3</v>
      </c>
      <c r="W7" s="48">
        <v>1</v>
      </c>
      <c r="X7" s="48">
        <v>0</v>
      </c>
      <c r="Y7" s="48">
        <v>3</v>
      </c>
      <c r="Z7" s="48">
        <v>0</v>
      </c>
      <c r="AA7" s="48">
        <v>0</v>
      </c>
      <c r="AB7" s="48">
        <v>2</v>
      </c>
      <c r="AC7" s="48">
        <v>2</v>
      </c>
      <c r="AD7" s="10">
        <f t="shared" si="0"/>
        <v>48</v>
      </c>
    </row>
    <row r="8" spans="1:30" ht="18" customHeight="1">
      <c r="A8" s="47" t="s">
        <v>157</v>
      </c>
      <c r="B8" s="68"/>
      <c r="C8" s="75">
        <v>0</v>
      </c>
      <c r="D8" s="48">
        <v>2</v>
      </c>
      <c r="E8" s="49">
        <v>1</v>
      </c>
      <c r="F8" s="49">
        <v>1</v>
      </c>
      <c r="G8" s="49">
        <v>0</v>
      </c>
      <c r="H8" s="49">
        <v>0</v>
      </c>
      <c r="I8" s="49">
        <v>0</v>
      </c>
      <c r="J8" s="48">
        <v>0</v>
      </c>
      <c r="K8" s="48">
        <v>0</v>
      </c>
      <c r="L8" s="48">
        <v>1</v>
      </c>
      <c r="M8" s="48">
        <v>0</v>
      </c>
      <c r="N8" s="48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8">
        <v>10</v>
      </c>
      <c r="U8" s="48">
        <v>3</v>
      </c>
      <c r="V8" s="48">
        <v>3</v>
      </c>
      <c r="W8" s="48">
        <v>3</v>
      </c>
      <c r="X8" s="48">
        <v>0</v>
      </c>
      <c r="Y8" s="48">
        <v>2</v>
      </c>
      <c r="Z8" s="48">
        <v>0</v>
      </c>
      <c r="AA8" s="48">
        <v>2</v>
      </c>
      <c r="AB8" s="48">
        <v>3</v>
      </c>
      <c r="AC8" s="48">
        <v>2</v>
      </c>
      <c r="AD8" s="10">
        <f t="shared" si="0"/>
        <v>33</v>
      </c>
    </row>
    <row r="9" spans="1:30" ht="27.75" customHeight="1">
      <c r="A9" s="44" t="s">
        <v>341</v>
      </c>
      <c r="B9" s="69">
        <v>1</v>
      </c>
      <c r="C9" s="74" t="s">
        <v>90</v>
      </c>
      <c r="D9" s="45">
        <v>2</v>
      </c>
      <c r="E9" s="46">
        <v>1</v>
      </c>
      <c r="F9" s="46">
        <v>1</v>
      </c>
      <c r="G9" s="46">
        <v>2</v>
      </c>
      <c r="H9" s="46">
        <v>0</v>
      </c>
      <c r="I9" s="46">
        <v>2</v>
      </c>
      <c r="J9" s="45">
        <v>0</v>
      </c>
      <c r="K9" s="45">
        <v>1</v>
      </c>
      <c r="L9" s="45">
        <v>2</v>
      </c>
      <c r="M9" s="45">
        <v>0</v>
      </c>
      <c r="N9" s="45">
        <v>1</v>
      </c>
      <c r="O9" s="46">
        <v>1</v>
      </c>
      <c r="P9" s="46">
        <v>10</v>
      </c>
      <c r="Q9" s="46">
        <v>1</v>
      </c>
      <c r="R9" s="46">
        <v>0</v>
      </c>
      <c r="S9" s="46">
        <v>2</v>
      </c>
      <c r="T9" s="45">
        <v>3</v>
      </c>
      <c r="U9" s="45">
        <v>2</v>
      </c>
      <c r="V9" s="45">
        <v>2</v>
      </c>
      <c r="W9" s="45">
        <v>3</v>
      </c>
      <c r="X9" s="45">
        <v>0</v>
      </c>
      <c r="Y9" s="45">
        <v>3</v>
      </c>
      <c r="Z9" s="45">
        <v>0</v>
      </c>
      <c r="AA9" s="45">
        <v>0</v>
      </c>
      <c r="AB9" s="45">
        <v>1</v>
      </c>
      <c r="AC9" s="45">
        <v>3</v>
      </c>
      <c r="AD9" s="10">
        <f t="shared" si="0"/>
        <v>43</v>
      </c>
    </row>
    <row r="10" spans="1:30" ht="27.75" customHeight="1">
      <c r="A10" s="44" t="s">
        <v>342</v>
      </c>
      <c r="B10" s="69">
        <v>1</v>
      </c>
      <c r="C10" s="74" t="s">
        <v>90</v>
      </c>
      <c r="D10" s="45">
        <v>2</v>
      </c>
      <c r="E10" s="46">
        <v>0</v>
      </c>
      <c r="F10" s="46">
        <v>0</v>
      </c>
      <c r="G10" s="46">
        <v>2</v>
      </c>
      <c r="H10" s="46">
        <v>0</v>
      </c>
      <c r="I10" s="46">
        <v>2</v>
      </c>
      <c r="J10" s="45">
        <v>0</v>
      </c>
      <c r="K10" s="45">
        <v>1</v>
      </c>
      <c r="L10" s="45">
        <v>2</v>
      </c>
      <c r="M10" s="45">
        <v>0</v>
      </c>
      <c r="N10" s="45">
        <v>1</v>
      </c>
      <c r="O10" s="46">
        <v>0</v>
      </c>
      <c r="P10" s="46">
        <v>3</v>
      </c>
      <c r="Q10" s="46">
        <v>1</v>
      </c>
      <c r="R10" s="46">
        <v>0</v>
      </c>
      <c r="S10" s="46">
        <v>10</v>
      </c>
      <c r="T10" s="45">
        <v>2</v>
      </c>
      <c r="U10" s="45">
        <v>1</v>
      </c>
      <c r="V10" s="45">
        <v>3</v>
      </c>
      <c r="W10" s="45">
        <v>3</v>
      </c>
      <c r="X10" s="45">
        <v>2</v>
      </c>
      <c r="Y10" s="45">
        <v>3</v>
      </c>
      <c r="Z10" s="45">
        <v>0</v>
      </c>
      <c r="AA10" s="45">
        <v>0</v>
      </c>
      <c r="AB10" s="45">
        <v>2</v>
      </c>
      <c r="AC10" s="45">
        <v>1</v>
      </c>
      <c r="AD10" s="10">
        <f t="shared" si="0"/>
        <v>41</v>
      </c>
    </row>
    <row r="11" spans="1:30" ht="27.75" customHeight="1">
      <c r="A11" s="44" t="s">
        <v>379</v>
      </c>
      <c r="B11" s="69">
        <v>1</v>
      </c>
      <c r="C11" s="74" t="s">
        <v>90</v>
      </c>
      <c r="D11" s="45">
        <v>2</v>
      </c>
      <c r="E11" s="46">
        <v>0</v>
      </c>
      <c r="F11" s="46">
        <v>0</v>
      </c>
      <c r="G11" s="46">
        <v>0</v>
      </c>
      <c r="H11" s="46">
        <v>0</v>
      </c>
      <c r="I11" s="46">
        <v>1</v>
      </c>
      <c r="J11" s="45">
        <v>1</v>
      </c>
      <c r="K11" s="45">
        <v>0</v>
      </c>
      <c r="L11" s="45">
        <v>0</v>
      </c>
      <c r="M11" s="45">
        <v>0</v>
      </c>
      <c r="N11" s="45">
        <v>1</v>
      </c>
      <c r="O11" s="46">
        <v>0</v>
      </c>
      <c r="P11" s="46">
        <v>0</v>
      </c>
      <c r="Q11" s="46">
        <v>0</v>
      </c>
      <c r="R11" s="46">
        <v>10</v>
      </c>
      <c r="S11" s="46">
        <v>0</v>
      </c>
      <c r="T11" s="45">
        <v>1</v>
      </c>
      <c r="U11" s="45">
        <v>0</v>
      </c>
      <c r="V11" s="45">
        <v>1</v>
      </c>
      <c r="W11" s="45">
        <v>2</v>
      </c>
      <c r="X11" s="45">
        <v>1</v>
      </c>
      <c r="Y11" s="45">
        <v>0</v>
      </c>
      <c r="Z11" s="45">
        <v>0</v>
      </c>
      <c r="AA11" s="45">
        <v>0</v>
      </c>
      <c r="AB11" s="45">
        <v>3</v>
      </c>
      <c r="AC11" s="45">
        <v>1</v>
      </c>
      <c r="AD11" s="10">
        <f t="shared" si="0"/>
        <v>24</v>
      </c>
    </row>
    <row r="12" spans="1:30" ht="27.75" customHeight="1">
      <c r="A12" s="44" t="s">
        <v>344</v>
      </c>
      <c r="B12" s="137" t="s">
        <v>376</v>
      </c>
      <c r="C12" s="74" t="s">
        <v>90</v>
      </c>
      <c r="D12" s="45">
        <v>1</v>
      </c>
      <c r="E12" s="46">
        <v>0</v>
      </c>
      <c r="F12" s="46">
        <v>0</v>
      </c>
      <c r="G12" s="46">
        <v>0</v>
      </c>
      <c r="H12" s="46">
        <v>5</v>
      </c>
      <c r="I12" s="46">
        <v>1</v>
      </c>
      <c r="J12" s="45">
        <v>1</v>
      </c>
      <c r="K12" s="45">
        <v>0</v>
      </c>
      <c r="L12" s="45">
        <v>0</v>
      </c>
      <c r="M12" s="45">
        <v>0</v>
      </c>
      <c r="N12" s="45">
        <v>1</v>
      </c>
      <c r="O12" s="46">
        <v>0</v>
      </c>
      <c r="P12" s="46">
        <v>0</v>
      </c>
      <c r="Q12" s="46">
        <v>10</v>
      </c>
      <c r="R12" s="46">
        <v>0</v>
      </c>
      <c r="S12" s="46">
        <v>0</v>
      </c>
      <c r="T12" s="45">
        <v>1</v>
      </c>
      <c r="U12" s="45">
        <v>0</v>
      </c>
      <c r="V12" s="45">
        <v>1</v>
      </c>
      <c r="W12" s="45">
        <v>0</v>
      </c>
      <c r="X12" s="45">
        <v>1</v>
      </c>
      <c r="Y12" s="45">
        <v>0</v>
      </c>
      <c r="Z12" s="45">
        <v>0</v>
      </c>
      <c r="AA12" s="45">
        <v>0</v>
      </c>
      <c r="AB12" s="45">
        <v>2</v>
      </c>
      <c r="AC12" s="45">
        <v>1</v>
      </c>
      <c r="AD12" s="10">
        <f t="shared" si="0"/>
        <v>25</v>
      </c>
    </row>
    <row r="13" spans="1:30" ht="18" customHeight="1">
      <c r="A13" s="47" t="s">
        <v>168</v>
      </c>
      <c r="B13" s="68"/>
      <c r="C13" s="75">
        <v>0</v>
      </c>
      <c r="D13" s="66">
        <v>1</v>
      </c>
      <c r="E13" s="49">
        <v>0</v>
      </c>
      <c r="F13" s="49">
        <v>0</v>
      </c>
      <c r="G13" s="49">
        <v>2</v>
      </c>
      <c r="H13" s="49">
        <v>0</v>
      </c>
      <c r="I13" s="49">
        <v>2</v>
      </c>
      <c r="J13" s="66">
        <v>0</v>
      </c>
      <c r="K13" s="66">
        <v>1</v>
      </c>
      <c r="L13" s="66">
        <v>5</v>
      </c>
      <c r="M13" s="66">
        <v>0</v>
      </c>
      <c r="N13" s="66">
        <v>5</v>
      </c>
      <c r="O13" s="78">
        <v>0</v>
      </c>
      <c r="P13" s="78">
        <v>0</v>
      </c>
      <c r="Q13" s="49">
        <v>0</v>
      </c>
      <c r="R13" s="49">
        <v>0</v>
      </c>
      <c r="S13" s="78">
        <v>1</v>
      </c>
      <c r="T13" s="66">
        <v>3</v>
      </c>
      <c r="U13" s="66">
        <v>1</v>
      </c>
      <c r="V13" s="66">
        <v>2</v>
      </c>
      <c r="W13" s="66">
        <v>3</v>
      </c>
      <c r="X13" s="48">
        <v>2</v>
      </c>
      <c r="Y13" s="66">
        <v>2</v>
      </c>
      <c r="Z13" s="66">
        <v>0</v>
      </c>
      <c r="AA13" s="66">
        <v>0</v>
      </c>
      <c r="AB13" s="66">
        <v>1</v>
      </c>
      <c r="AC13" s="66">
        <v>2</v>
      </c>
      <c r="AD13" s="10">
        <f t="shared" si="0"/>
        <v>33</v>
      </c>
    </row>
    <row r="14" spans="1:30" ht="18" customHeight="1">
      <c r="A14" s="47" t="s">
        <v>345</v>
      </c>
      <c r="B14" s="68"/>
      <c r="C14" s="75">
        <v>0</v>
      </c>
      <c r="D14" s="48">
        <v>0</v>
      </c>
      <c r="E14" s="49">
        <v>1</v>
      </c>
      <c r="F14" s="49">
        <v>0</v>
      </c>
      <c r="G14" s="49">
        <v>5</v>
      </c>
      <c r="H14" s="49">
        <v>0</v>
      </c>
      <c r="I14" s="49">
        <v>3</v>
      </c>
      <c r="J14" s="48">
        <v>3</v>
      </c>
      <c r="K14" s="48">
        <v>1</v>
      </c>
      <c r="L14" s="48">
        <v>1</v>
      </c>
      <c r="M14" s="48">
        <v>0</v>
      </c>
      <c r="N14" s="48">
        <v>1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8">
        <v>3</v>
      </c>
      <c r="U14" s="48">
        <v>0</v>
      </c>
      <c r="V14" s="48">
        <v>2</v>
      </c>
      <c r="W14" s="48">
        <v>1</v>
      </c>
      <c r="X14" s="48">
        <v>0</v>
      </c>
      <c r="Y14" s="48">
        <v>3</v>
      </c>
      <c r="Z14" s="48">
        <v>0</v>
      </c>
      <c r="AA14" s="48">
        <v>0</v>
      </c>
      <c r="AB14" s="48">
        <v>2</v>
      </c>
      <c r="AC14" s="48">
        <v>1</v>
      </c>
      <c r="AD14" s="10">
        <f t="shared" si="0"/>
        <v>27</v>
      </c>
    </row>
    <row r="15" spans="1:30" ht="27.75" customHeight="1">
      <c r="A15" s="50" t="s">
        <v>346</v>
      </c>
      <c r="B15" s="69">
        <v>2</v>
      </c>
      <c r="C15" s="75">
        <v>0</v>
      </c>
      <c r="D15" s="48">
        <v>2</v>
      </c>
      <c r="E15" s="49">
        <v>0</v>
      </c>
      <c r="F15" s="49">
        <v>0</v>
      </c>
      <c r="G15" s="49">
        <v>0</v>
      </c>
      <c r="H15" s="49">
        <v>0</v>
      </c>
      <c r="I15" s="49">
        <v>10</v>
      </c>
      <c r="J15" s="48">
        <v>3</v>
      </c>
      <c r="K15" s="48">
        <v>0</v>
      </c>
      <c r="L15" s="48">
        <v>0</v>
      </c>
      <c r="M15" s="48">
        <v>3</v>
      </c>
      <c r="N15" s="48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8">
        <v>1</v>
      </c>
      <c r="U15" s="48">
        <v>0</v>
      </c>
      <c r="V15" s="48">
        <v>0</v>
      </c>
      <c r="W15" s="48">
        <v>1</v>
      </c>
      <c r="X15" s="48">
        <v>0</v>
      </c>
      <c r="Y15" s="48">
        <v>2</v>
      </c>
      <c r="Z15" s="48">
        <v>0</v>
      </c>
      <c r="AA15" s="48">
        <v>1</v>
      </c>
      <c r="AB15" s="48">
        <v>2</v>
      </c>
      <c r="AC15" s="48">
        <v>1</v>
      </c>
      <c r="AD15" s="10">
        <f t="shared" si="0"/>
        <v>26</v>
      </c>
    </row>
    <row r="16" spans="1:30" ht="18" customHeight="1">
      <c r="A16" s="47" t="s">
        <v>347</v>
      </c>
      <c r="B16" s="68">
        <v>2</v>
      </c>
      <c r="C16" s="75">
        <v>0</v>
      </c>
      <c r="D16" s="51">
        <v>3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51">
        <v>0</v>
      </c>
      <c r="K16" s="51">
        <v>0</v>
      </c>
      <c r="L16" s="51">
        <v>0</v>
      </c>
      <c r="M16" s="51">
        <v>10</v>
      </c>
      <c r="N16" s="51">
        <v>2</v>
      </c>
      <c r="O16" s="52">
        <v>0</v>
      </c>
      <c r="P16" s="52">
        <v>0</v>
      </c>
      <c r="Q16" s="49">
        <v>0</v>
      </c>
      <c r="R16" s="49">
        <v>0</v>
      </c>
      <c r="S16" s="52">
        <v>0</v>
      </c>
      <c r="T16" s="51">
        <v>2</v>
      </c>
      <c r="U16" s="51">
        <v>0</v>
      </c>
      <c r="V16" s="51">
        <v>0</v>
      </c>
      <c r="W16" s="51">
        <v>0</v>
      </c>
      <c r="X16" s="48">
        <v>0</v>
      </c>
      <c r="Y16" s="51">
        <v>2</v>
      </c>
      <c r="Z16" s="48">
        <v>0</v>
      </c>
      <c r="AA16" s="48">
        <v>1</v>
      </c>
      <c r="AB16" s="51">
        <v>3</v>
      </c>
      <c r="AC16" s="51">
        <v>3</v>
      </c>
      <c r="AD16" s="10">
        <f t="shared" si="0"/>
        <v>26</v>
      </c>
    </row>
    <row r="17" spans="1:30" ht="18" customHeight="1">
      <c r="A17" s="44" t="s">
        <v>348</v>
      </c>
      <c r="B17" s="68">
        <v>3</v>
      </c>
      <c r="C17" s="74" t="s">
        <v>90</v>
      </c>
      <c r="D17" s="45">
        <v>1</v>
      </c>
      <c r="E17" s="46">
        <v>0</v>
      </c>
      <c r="F17" s="46">
        <v>0</v>
      </c>
      <c r="G17" s="46">
        <v>2</v>
      </c>
      <c r="H17" s="46">
        <v>3</v>
      </c>
      <c r="I17" s="46">
        <v>2</v>
      </c>
      <c r="J17" s="45">
        <v>0</v>
      </c>
      <c r="K17" s="45">
        <v>1</v>
      </c>
      <c r="L17" s="45">
        <v>0</v>
      </c>
      <c r="M17" s="45">
        <v>0</v>
      </c>
      <c r="N17" s="45">
        <v>0</v>
      </c>
      <c r="O17" s="46">
        <v>10</v>
      </c>
      <c r="P17" s="46">
        <v>0</v>
      </c>
      <c r="Q17" s="46">
        <v>1</v>
      </c>
      <c r="R17" s="46">
        <v>0</v>
      </c>
      <c r="S17" s="46">
        <v>0</v>
      </c>
      <c r="T17" s="45">
        <v>2</v>
      </c>
      <c r="U17" s="45">
        <v>0</v>
      </c>
      <c r="V17" s="45">
        <v>0</v>
      </c>
      <c r="W17" s="45">
        <v>0</v>
      </c>
      <c r="X17" s="45">
        <v>0</v>
      </c>
      <c r="Y17" s="45">
        <v>2</v>
      </c>
      <c r="Z17" s="45">
        <v>0</v>
      </c>
      <c r="AA17" s="45">
        <v>0</v>
      </c>
      <c r="AB17" s="45">
        <v>2</v>
      </c>
      <c r="AC17" s="45">
        <v>2</v>
      </c>
      <c r="AD17" s="10">
        <f t="shared" si="0"/>
        <v>28</v>
      </c>
    </row>
    <row r="18" spans="1:30" ht="18" customHeight="1">
      <c r="A18" s="44" t="s">
        <v>349</v>
      </c>
      <c r="B18" s="68">
        <v>3</v>
      </c>
      <c r="C18" s="74" t="s">
        <v>90</v>
      </c>
      <c r="D18" s="45">
        <v>1</v>
      </c>
      <c r="E18" s="46">
        <v>0</v>
      </c>
      <c r="F18" s="46">
        <v>0</v>
      </c>
      <c r="G18" s="46">
        <v>2</v>
      </c>
      <c r="H18" s="46">
        <v>2</v>
      </c>
      <c r="I18" s="46">
        <v>1</v>
      </c>
      <c r="J18" s="45">
        <v>2</v>
      </c>
      <c r="K18" s="45">
        <v>0</v>
      </c>
      <c r="L18" s="45">
        <v>0</v>
      </c>
      <c r="M18" s="45">
        <v>0</v>
      </c>
      <c r="N18" s="45">
        <v>0</v>
      </c>
      <c r="O18" s="46">
        <v>10</v>
      </c>
      <c r="P18" s="46">
        <v>1</v>
      </c>
      <c r="Q18" s="46">
        <v>1</v>
      </c>
      <c r="R18" s="46">
        <v>0</v>
      </c>
      <c r="S18" s="46">
        <v>0</v>
      </c>
      <c r="T18" s="45">
        <v>3</v>
      </c>
      <c r="U18" s="45">
        <v>0</v>
      </c>
      <c r="V18" s="45">
        <v>0</v>
      </c>
      <c r="W18" s="45">
        <v>0</v>
      </c>
      <c r="X18" s="45">
        <v>0</v>
      </c>
      <c r="Y18" s="45">
        <v>1</v>
      </c>
      <c r="Z18" s="45">
        <v>0</v>
      </c>
      <c r="AA18" s="45">
        <v>0</v>
      </c>
      <c r="AB18" s="45">
        <v>1</v>
      </c>
      <c r="AC18" s="45">
        <v>3</v>
      </c>
      <c r="AD18" s="10">
        <f t="shared" si="0"/>
        <v>28</v>
      </c>
    </row>
    <row r="19" spans="1:30" ht="18" customHeight="1">
      <c r="A19" s="47" t="s">
        <v>154</v>
      </c>
      <c r="B19" s="68">
        <v>4</v>
      </c>
      <c r="C19" s="75">
        <v>0</v>
      </c>
      <c r="D19" s="48">
        <v>0</v>
      </c>
      <c r="E19" s="49">
        <v>1</v>
      </c>
      <c r="F19" s="49">
        <v>0</v>
      </c>
      <c r="G19" s="49">
        <v>0</v>
      </c>
      <c r="H19" s="49">
        <v>3</v>
      </c>
      <c r="I19" s="49">
        <v>3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9">
        <v>0</v>
      </c>
      <c r="P19" s="49">
        <v>3</v>
      </c>
      <c r="Q19" s="49">
        <v>3</v>
      </c>
      <c r="R19" s="49">
        <v>0</v>
      </c>
      <c r="S19" s="49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1</v>
      </c>
      <c r="Z19" s="48">
        <v>0</v>
      </c>
      <c r="AA19" s="48">
        <v>0</v>
      </c>
      <c r="AB19" s="48">
        <v>3</v>
      </c>
      <c r="AC19" s="48">
        <v>1</v>
      </c>
      <c r="AD19" s="10">
        <f t="shared" si="0"/>
        <v>18</v>
      </c>
    </row>
    <row r="20" spans="1:30" ht="18" customHeight="1">
      <c r="A20" s="47" t="s">
        <v>350</v>
      </c>
      <c r="B20" s="68">
        <v>4</v>
      </c>
      <c r="C20" s="75">
        <v>0</v>
      </c>
      <c r="D20" s="48">
        <v>0</v>
      </c>
      <c r="E20" s="49">
        <v>0</v>
      </c>
      <c r="F20" s="49">
        <v>0</v>
      </c>
      <c r="G20" s="49">
        <v>0</v>
      </c>
      <c r="H20" s="49">
        <v>0</v>
      </c>
      <c r="I20" s="49">
        <v>10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1</v>
      </c>
      <c r="Z20" s="48">
        <v>0</v>
      </c>
      <c r="AA20" s="48">
        <v>0</v>
      </c>
      <c r="AB20" s="48">
        <v>3</v>
      </c>
      <c r="AC20" s="48">
        <v>0</v>
      </c>
      <c r="AD20" s="10">
        <f t="shared" si="0"/>
        <v>14</v>
      </c>
    </row>
    <row r="21" spans="1:30" ht="18" customHeight="1">
      <c r="A21" s="47" t="s">
        <v>351</v>
      </c>
      <c r="B21" s="68">
        <v>4</v>
      </c>
      <c r="C21" s="75">
        <v>0</v>
      </c>
      <c r="D21" s="48">
        <v>2</v>
      </c>
      <c r="E21" s="49">
        <v>1</v>
      </c>
      <c r="F21" s="49">
        <v>2</v>
      </c>
      <c r="G21" s="49">
        <v>3</v>
      </c>
      <c r="H21" s="49">
        <v>0</v>
      </c>
      <c r="I21" s="49">
        <v>10</v>
      </c>
      <c r="J21" s="48">
        <v>2</v>
      </c>
      <c r="K21" s="48">
        <v>10</v>
      </c>
      <c r="L21" s="48">
        <v>1</v>
      </c>
      <c r="M21" s="48">
        <v>0</v>
      </c>
      <c r="N21" s="48">
        <v>1</v>
      </c>
      <c r="O21" s="49">
        <v>2</v>
      </c>
      <c r="P21" s="49">
        <v>1</v>
      </c>
      <c r="Q21" s="49">
        <v>0</v>
      </c>
      <c r="R21" s="49">
        <v>0</v>
      </c>
      <c r="S21" s="49">
        <v>1</v>
      </c>
      <c r="T21" s="48">
        <v>10</v>
      </c>
      <c r="U21" s="48">
        <v>3</v>
      </c>
      <c r="V21" s="48">
        <v>1</v>
      </c>
      <c r="W21" s="48">
        <v>2</v>
      </c>
      <c r="X21" s="48">
        <v>0</v>
      </c>
      <c r="Y21" s="48">
        <v>10</v>
      </c>
      <c r="Z21" s="48">
        <v>0</v>
      </c>
      <c r="AA21" s="48">
        <v>0</v>
      </c>
      <c r="AB21" s="48">
        <v>1</v>
      </c>
      <c r="AC21" s="48">
        <v>3</v>
      </c>
      <c r="AD21" s="10">
        <f t="shared" si="0"/>
        <v>66</v>
      </c>
    </row>
    <row r="22" spans="1:30" ht="18" customHeight="1">
      <c r="A22" s="47" t="s">
        <v>352</v>
      </c>
      <c r="B22" s="68"/>
      <c r="C22" s="75">
        <v>0</v>
      </c>
      <c r="D22" s="48">
        <v>3</v>
      </c>
      <c r="E22" s="49">
        <v>5</v>
      </c>
      <c r="F22" s="49">
        <v>10</v>
      </c>
      <c r="G22" s="49">
        <v>3</v>
      </c>
      <c r="H22" s="49">
        <v>0</v>
      </c>
      <c r="I22" s="49">
        <v>1</v>
      </c>
      <c r="J22" s="48">
        <v>0</v>
      </c>
      <c r="K22" s="48">
        <v>2</v>
      </c>
      <c r="L22" s="48">
        <v>0</v>
      </c>
      <c r="M22" s="48">
        <v>1</v>
      </c>
      <c r="N22" s="48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8">
        <v>10</v>
      </c>
      <c r="U22" s="48">
        <v>0</v>
      </c>
      <c r="V22" s="48">
        <v>0</v>
      </c>
      <c r="W22" s="48">
        <v>2</v>
      </c>
      <c r="X22" s="48">
        <v>0</v>
      </c>
      <c r="Y22" s="48">
        <v>3</v>
      </c>
      <c r="Z22" s="48">
        <v>0</v>
      </c>
      <c r="AA22" s="48">
        <v>0</v>
      </c>
      <c r="AB22" s="48">
        <v>1</v>
      </c>
      <c r="AC22" s="48">
        <v>3</v>
      </c>
      <c r="AD22" s="10">
        <f t="shared" si="0"/>
        <v>44</v>
      </c>
    </row>
    <row r="23" spans="1:30" ht="18" customHeight="1">
      <c r="A23" s="47" t="s">
        <v>353</v>
      </c>
      <c r="B23" s="68"/>
      <c r="C23" s="75">
        <v>0</v>
      </c>
      <c r="D23" s="48">
        <v>10</v>
      </c>
      <c r="E23" s="49">
        <v>3</v>
      </c>
      <c r="F23" s="49">
        <v>3</v>
      </c>
      <c r="G23" s="49">
        <v>3</v>
      </c>
      <c r="H23" s="49">
        <v>0</v>
      </c>
      <c r="I23" s="49">
        <v>2</v>
      </c>
      <c r="J23" s="48">
        <v>0</v>
      </c>
      <c r="K23" s="48">
        <v>0</v>
      </c>
      <c r="L23" s="48">
        <v>0</v>
      </c>
      <c r="M23" s="48">
        <v>2</v>
      </c>
      <c r="N23" s="48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8">
        <v>10</v>
      </c>
      <c r="U23" s="48">
        <v>2</v>
      </c>
      <c r="V23" s="48">
        <v>0</v>
      </c>
      <c r="W23" s="48">
        <v>1</v>
      </c>
      <c r="X23" s="48">
        <v>0</v>
      </c>
      <c r="Y23" s="48">
        <v>1</v>
      </c>
      <c r="Z23" s="48">
        <v>0</v>
      </c>
      <c r="AA23" s="48">
        <v>0</v>
      </c>
      <c r="AB23" s="48">
        <v>10</v>
      </c>
      <c r="AC23" s="48">
        <v>3</v>
      </c>
      <c r="AD23" s="10">
        <f t="shared" si="0"/>
        <v>50</v>
      </c>
    </row>
    <row r="24" spans="1:30" ht="18" customHeight="1">
      <c r="A24" s="47" t="s">
        <v>354</v>
      </c>
      <c r="B24" s="68"/>
      <c r="C24" s="75">
        <v>0</v>
      </c>
      <c r="D24" s="48">
        <v>2</v>
      </c>
      <c r="E24" s="49">
        <v>2</v>
      </c>
      <c r="F24" s="49">
        <v>2</v>
      </c>
      <c r="G24" s="49">
        <v>3</v>
      </c>
      <c r="H24" s="49">
        <v>0</v>
      </c>
      <c r="I24" s="49">
        <v>2</v>
      </c>
      <c r="J24" s="48">
        <v>0</v>
      </c>
      <c r="K24" s="48">
        <v>5</v>
      </c>
      <c r="L24" s="48">
        <v>1</v>
      </c>
      <c r="M24" s="48">
        <v>2</v>
      </c>
      <c r="N24" s="48">
        <v>1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8">
        <v>3</v>
      </c>
      <c r="U24" s="48">
        <v>1</v>
      </c>
      <c r="V24" s="48">
        <v>0</v>
      </c>
      <c r="W24" s="48">
        <v>3</v>
      </c>
      <c r="X24" s="48">
        <v>0</v>
      </c>
      <c r="Y24" s="48">
        <v>3</v>
      </c>
      <c r="Z24" s="48">
        <v>0</v>
      </c>
      <c r="AA24" s="48">
        <v>0</v>
      </c>
      <c r="AB24" s="48">
        <v>2</v>
      </c>
      <c r="AC24" s="48">
        <v>2</v>
      </c>
      <c r="AD24" s="10">
        <f t="shared" si="0"/>
        <v>34</v>
      </c>
    </row>
    <row r="25" spans="1:30" ht="18" customHeight="1">
      <c r="A25" s="44" t="s">
        <v>355</v>
      </c>
      <c r="B25" s="68">
        <v>1</v>
      </c>
      <c r="C25" s="74" t="s">
        <v>90</v>
      </c>
      <c r="D25" s="45">
        <v>2</v>
      </c>
      <c r="E25" s="46">
        <v>1</v>
      </c>
      <c r="F25" s="46">
        <v>1</v>
      </c>
      <c r="G25" s="46">
        <v>1</v>
      </c>
      <c r="H25" s="46">
        <v>10</v>
      </c>
      <c r="I25" s="46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6">
        <v>5</v>
      </c>
      <c r="P25" s="46">
        <v>10</v>
      </c>
      <c r="Q25" s="46">
        <v>0</v>
      </c>
      <c r="R25" s="46">
        <v>0</v>
      </c>
      <c r="S25" s="46">
        <v>1</v>
      </c>
      <c r="T25" s="45">
        <v>1</v>
      </c>
      <c r="U25" s="45">
        <v>0</v>
      </c>
      <c r="V25" s="45">
        <v>0</v>
      </c>
      <c r="W25" s="45">
        <v>0</v>
      </c>
      <c r="X25" s="45">
        <v>0</v>
      </c>
      <c r="Y25" s="45">
        <v>1</v>
      </c>
      <c r="Z25" s="45">
        <v>0</v>
      </c>
      <c r="AA25" s="45">
        <v>0</v>
      </c>
      <c r="AB25" s="45">
        <v>3</v>
      </c>
      <c r="AC25" s="45">
        <v>3</v>
      </c>
      <c r="AD25" s="10">
        <f t="shared" si="0"/>
        <v>40</v>
      </c>
    </row>
    <row r="26" spans="1:30" ht="18" customHeight="1">
      <c r="A26" s="47" t="s">
        <v>32</v>
      </c>
      <c r="B26" s="68"/>
      <c r="C26" s="75">
        <v>0</v>
      </c>
      <c r="D26" s="48">
        <v>3</v>
      </c>
      <c r="E26" s="49">
        <v>1</v>
      </c>
      <c r="F26" s="49">
        <v>1</v>
      </c>
      <c r="G26" s="49">
        <v>1</v>
      </c>
      <c r="H26" s="49">
        <v>0</v>
      </c>
      <c r="I26" s="49">
        <v>2</v>
      </c>
      <c r="J26" s="48">
        <v>0</v>
      </c>
      <c r="K26" s="48">
        <v>2</v>
      </c>
      <c r="L26" s="48">
        <v>10</v>
      </c>
      <c r="M26" s="48">
        <v>1</v>
      </c>
      <c r="N26" s="48">
        <v>2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8">
        <v>2</v>
      </c>
      <c r="U26" s="48">
        <v>2</v>
      </c>
      <c r="V26" s="48">
        <v>0</v>
      </c>
      <c r="W26" s="48">
        <v>3</v>
      </c>
      <c r="X26" s="48">
        <v>0</v>
      </c>
      <c r="Y26" s="48">
        <v>2</v>
      </c>
      <c r="Z26" s="48">
        <v>0</v>
      </c>
      <c r="AA26" s="48">
        <v>1</v>
      </c>
      <c r="AB26" s="48">
        <v>3</v>
      </c>
      <c r="AC26" s="48">
        <v>2</v>
      </c>
      <c r="AD26" s="10">
        <f t="shared" si="0"/>
        <v>38</v>
      </c>
    </row>
    <row r="27" spans="1:30" ht="18" customHeight="1">
      <c r="A27" s="47" t="s">
        <v>356</v>
      </c>
      <c r="B27" s="68"/>
      <c r="C27" s="75">
        <v>0</v>
      </c>
      <c r="D27" s="48">
        <v>2</v>
      </c>
      <c r="E27" s="49">
        <v>0</v>
      </c>
      <c r="F27" s="49">
        <v>0</v>
      </c>
      <c r="G27" s="49">
        <v>3</v>
      </c>
      <c r="H27" s="49">
        <v>0</v>
      </c>
      <c r="I27" s="49">
        <v>0</v>
      </c>
      <c r="J27" s="48">
        <v>0</v>
      </c>
      <c r="K27" s="48">
        <v>0</v>
      </c>
      <c r="L27" s="48">
        <v>5</v>
      </c>
      <c r="M27" s="48">
        <v>0</v>
      </c>
      <c r="N27" s="48">
        <v>0</v>
      </c>
      <c r="O27" s="49">
        <v>0</v>
      </c>
      <c r="P27" s="49">
        <v>1</v>
      </c>
      <c r="Q27" s="49">
        <v>0</v>
      </c>
      <c r="R27" s="49">
        <v>0</v>
      </c>
      <c r="S27" s="49">
        <v>1</v>
      </c>
      <c r="T27" s="48">
        <v>10</v>
      </c>
      <c r="U27" s="48">
        <v>5</v>
      </c>
      <c r="V27" s="48">
        <v>0</v>
      </c>
      <c r="W27" s="48">
        <v>3</v>
      </c>
      <c r="X27" s="48">
        <v>0</v>
      </c>
      <c r="Y27" s="48">
        <v>10</v>
      </c>
      <c r="Z27" s="48">
        <v>0</v>
      </c>
      <c r="AA27" s="48">
        <v>0</v>
      </c>
      <c r="AB27" s="48">
        <v>10</v>
      </c>
      <c r="AC27" s="48">
        <v>3</v>
      </c>
      <c r="AD27" s="10">
        <f t="shared" si="0"/>
        <v>53</v>
      </c>
    </row>
    <row r="28" spans="1:30" ht="18" customHeight="1">
      <c r="A28" s="47" t="s">
        <v>357</v>
      </c>
      <c r="B28" s="68"/>
      <c r="C28" s="75">
        <v>0</v>
      </c>
      <c r="D28" s="48">
        <v>1</v>
      </c>
      <c r="E28" s="49">
        <v>0</v>
      </c>
      <c r="F28" s="49">
        <v>1</v>
      </c>
      <c r="G28" s="49">
        <v>0</v>
      </c>
      <c r="H28" s="49">
        <v>0</v>
      </c>
      <c r="I28" s="49">
        <v>0</v>
      </c>
      <c r="J28" s="48">
        <v>2</v>
      </c>
      <c r="K28" s="48">
        <v>0</v>
      </c>
      <c r="L28" s="48">
        <v>0</v>
      </c>
      <c r="M28" s="48">
        <v>1</v>
      </c>
      <c r="N28" s="48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8">
        <v>5</v>
      </c>
      <c r="U28" s="48">
        <v>5</v>
      </c>
      <c r="V28" s="48">
        <v>0</v>
      </c>
      <c r="W28" s="48">
        <v>3</v>
      </c>
      <c r="X28" s="48">
        <v>0</v>
      </c>
      <c r="Y28" s="48">
        <v>3</v>
      </c>
      <c r="Z28" s="48">
        <v>0</v>
      </c>
      <c r="AA28" s="48">
        <v>0</v>
      </c>
      <c r="AB28" s="48">
        <v>10</v>
      </c>
      <c r="AC28" s="48">
        <v>3</v>
      </c>
      <c r="AD28" s="10">
        <f t="shared" si="0"/>
        <v>34</v>
      </c>
    </row>
    <row r="29" spans="1:30" ht="18" customHeight="1">
      <c r="A29" s="47" t="s">
        <v>375</v>
      </c>
      <c r="B29" s="68"/>
      <c r="C29" s="75">
        <v>0</v>
      </c>
      <c r="D29" s="48">
        <v>0</v>
      </c>
      <c r="E29" s="49">
        <v>0</v>
      </c>
      <c r="F29" s="49">
        <v>0</v>
      </c>
      <c r="G29" s="49">
        <v>0</v>
      </c>
      <c r="H29" s="49">
        <v>0</v>
      </c>
      <c r="I29" s="49">
        <v>10</v>
      </c>
      <c r="J29" s="48">
        <v>0</v>
      </c>
      <c r="K29" s="48">
        <v>0</v>
      </c>
      <c r="L29" s="48">
        <v>5</v>
      </c>
      <c r="M29" s="48">
        <v>0</v>
      </c>
      <c r="N29" s="48">
        <v>0</v>
      </c>
      <c r="O29" s="49">
        <v>0</v>
      </c>
      <c r="P29" s="49">
        <v>0</v>
      </c>
      <c r="Q29" s="49">
        <v>3</v>
      </c>
      <c r="R29" s="49">
        <v>0</v>
      </c>
      <c r="S29" s="49">
        <v>0</v>
      </c>
      <c r="T29" s="48">
        <v>3</v>
      </c>
      <c r="U29" s="48">
        <v>0</v>
      </c>
      <c r="V29" s="48">
        <v>0</v>
      </c>
      <c r="W29" s="48">
        <v>0</v>
      </c>
      <c r="X29" s="48">
        <v>3</v>
      </c>
      <c r="Y29" s="48">
        <v>2</v>
      </c>
      <c r="Z29" s="48">
        <v>0</v>
      </c>
      <c r="AA29" s="48">
        <v>0</v>
      </c>
      <c r="AB29" s="48">
        <v>5</v>
      </c>
      <c r="AC29" s="48">
        <v>3</v>
      </c>
      <c r="AD29" s="10">
        <f t="shared" ref="AD29" si="1">SUM(D29:AC29)</f>
        <v>34</v>
      </c>
    </row>
    <row r="30" spans="1:30" ht="18" customHeight="1">
      <c r="A30" s="47" t="s">
        <v>24</v>
      </c>
      <c r="B30" s="68"/>
      <c r="C30" s="75">
        <v>0</v>
      </c>
      <c r="D30" s="48">
        <v>1</v>
      </c>
      <c r="E30" s="49">
        <v>0</v>
      </c>
      <c r="F30" s="49">
        <v>0</v>
      </c>
      <c r="G30" s="49">
        <v>1</v>
      </c>
      <c r="H30" s="49">
        <v>0</v>
      </c>
      <c r="I30" s="49">
        <v>2</v>
      </c>
      <c r="J30" s="48">
        <v>2</v>
      </c>
      <c r="K30" s="48">
        <v>3</v>
      </c>
      <c r="L30" s="48">
        <v>0</v>
      </c>
      <c r="M30" s="48">
        <v>0</v>
      </c>
      <c r="N30" s="48">
        <v>1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8">
        <v>2</v>
      </c>
      <c r="U30" s="48">
        <v>1</v>
      </c>
      <c r="V30" s="48">
        <v>0</v>
      </c>
      <c r="W30" s="48">
        <v>1</v>
      </c>
      <c r="X30" s="48">
        <v>2</v>
      </c>
      <c r="Y30" s="48">
        <v>1</v>
      </c>
      <c r="Z30" s="48">
        <v>10</v>
      </c>
      <c r="AA30" s="48">
        <v>0</v>
      </c>
      <c r="AB30" s="48">
        <v>2</v>
      </c>
      <c r="AC30" s="48">
        <v>1</v>
      </c>
      <c r="AD30" s="10">
        <f t="shared" si="0"/>
        <v>30</v>
      </c>
    </row>
    <row r="31" spans="1:30" ht="18" customHeight="1">
      <c r="A31" s="47" t="s">
        <v>358</v>
      </c>
      <c r="B31" s="68"/>
      <c r="C31" s="75">
        <v>0</v>
      </c>
      <c r="D31" s="48">
        <v>1</v>
      </c>
      <c r="E31" s="49">
        <v>0</v>
      </c>
      <c r="F31" s="49">
        <v>0</v>
      </c>
      <c r="G31" s="49">
        <v>1</v>
      </c>
      <c r="H31" s="49">
        <v>0</v>
      </c>
      <c r="I31" s="49">
        <v>1</v>
      </c>
      <c r="J31" s="48">
        <v>0</v>
      </c>
      <c r="K31" s="48">
        <v>1</v>
      </c>
      <c r="L31" s="48">
        <v>1</v>
      </c>
      <c r="M31" s="48">
        <v>0</v>
      </c>
      <c r="N31" s="48">
        <v>3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8">
        <v>2</v>
      </c>
      <c r="U31" s="48">
        <v>3</v>
      </c>
      <c r="V31" s="48">
        <v>2</v>
      </c>
      <c r="W31" s="48">
        <v>3</v>
      </c>
      <c r="X31" s="48">
        <v>3</v>
      </c>
      <c r="Y31" s="48">
        <v>2</v>
      </c>
      <c r="Z31" s="48">
        <v>0</v>
      </c>
      <c r="AA31" s="48">
        <v>0</v>
      </c>
      <c r="AB31" s="48">
        <v>10</v>
      </c>
      <c r="AC31" s="48">
        <v>2</v>
      </c>
      <c r="AD31" s="10">
        <f t="shared" si="0"/>
        <v>35</v>
      </c>
    </row>
    <row r="32" spans="1:30" ht="15" thickBot="1">
      <c r="A32" s="53" t="s">
        <v>359</v>
      </c>
      <c r="B32" s="70"/>
      <c r="C32" s="76">
        <v>0</v>
      </c>
      <c r="D32" s="54">
        <v>2</v>
      </c>
      <c r="E32" s="55">
        <v>2</v>
      </c>
      <c r="F32" s="55">
        <v>5</v>
      </c>
      <c r="G32" s="55">
        <v>0</v>
      </c>
      <c r="H32" s="55">
        <v>3</v>
      </c>
      <c r="I32" s="55">
        <v>0</v>
      </c>
      <c r="J32" s="54">
        <v>0</v>
      </c>
      <c r="K32" s="54">
        <v>2</v>
      </c>
      <c r="L32" s="54">
        <v>0</v>
      </c>
      <c r="M32" s="54">
        <v>0</v>
      </c>
      <c r="N32" s="54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4">
        <v>10</v>
      </c>
      <c r="U32" s="54">
        <v>2</v>
      </c>
      <c r="V32" s="54">
        <v>0</v>
      </c>
      <c r="W32" s="54">
        <v>0</v>
      </c>
      <c r="X32" s="54">
        <v>0</v>
      </c>
      <c r="Y32" s="54">
        <v>1</v>
      </c>
      <c r="Z32" s="54">
        <v>0</v>
      </c>
      <c r="AA32" s="54">
        <v>0</v>
      </c>
      <c r="AB32" s="54">
        <v>10</v>
      </c>
      <c r="AC32" s="54">
        <v>2</v>
      </c>
      <c r="AD32" s="10">
        <f t="shared" si="0"/>
        <v>39</v>
      </c>
    </row>
    <row r="33" spans="1:29">
      <c r="B33" s="10" t="s">
        <v>210</v>
      </c>
      <c r="D33" s="10">
        <f t="shared" ref="D33:AC33" si="2">SUM(D2:D32)</f>
        <v>55</v>
      </c>
      <c r="E33" s="10">
        <f t="shared" si="2"/>
        <v>20</v>
      </c>
      <c r="F33" s="10">
        <f t="shared" si="2"/>
        <v>30</v>
      </c>
      <c r="G33" s="10">
        <f t="shared" si="2"/>
        <v>41</v>
      </c>
      <c r="H33" s="10">
        <f t="shared" si="2"/>
        <v>46</v>
      </c>
      <c r="I33" s="10">
        <f t="shared" si="2"/>
        <v>71</v>
      </c>
      <c r="J33" s="10">
        <f t="shared" si="2"/>
        <v>22</v>
      </c>
      <c r="K33" s="10">
        <f t="shared" si="2"/>
        <v>36</v>
      </c>
      <c r="L33" s="10">
        <f t="shared" si="2"/>
        <v>36</v>
      </c>
      <c r="M33" s="10">
        <f t="shared" si="2"/>
        <v>35</v>
      </c>
      <c r="N33" s="10">
        <f t="shared" si="2"/>
        <v>22</v>
      </c>
      <c r="O33" s="10">
        <f t="shared" si="2"/>
        <v>31</v>
      </c>
      <c r="P33" s="10">
        <f t="shared" si="2"/>
        <v>29</v>
      </c>
      <c r="Q33" s="10">
        <f t="shared" si="2"/>
        <v>25</v>
      </c>
      <c r="R33" s="10">
        <f t="shared" si="2"/>
        <v>10</v>
      </c>
      <c r="S33" s="10">
        <f t="shared" si="2"/>
        <v>18</v>
      </c>
      <c r="T33" s="10">
        <f t="shared" si="2"/>
        <v>116</v>
      </c>
      <c r="U33" s="10">
        <f t="shared" si="2"/>
        <v>34</v>
      </c>
      <c r="V33" s="10">
        <f t="shared" si="2"/>
        <v>27</v>
      </c>
      <c r="W33" s="10">
        <f t="shared" si="2"/>
        <v>38</v>
      </c>
      <c r="X33" s="10">
        <f t="shared" si="2"/>
        <v>20</v>
      </c>
      <c r="Y33" s="10">
        <f t="shared" si="2"/>
        <v>70</v>
      </c>
      <c r="Z33" s="10">
        <f t="shared" si="2"/>
        <v>10</v>
      </c>
      <c r="AA33" s="10">
        <f t="shared" si="2"/>
        <v>5</v>
      </c>
      <c r="AB33" s="10">
        <f t="shared" si="2"/>
        <v>110</v>
      </c>
      <c r="AC33" s="10">
        <f t="shared" si="2"/>
        <v>59</v>
      </c>
    </row>
    <row r="34" spans="1:29">
      <c r="C34" s="11" t="s">
        <v>9</v>
      </c>
      <c r="D34" s="11"/>
      <c r="E34" s="11"/>
      <c r="F34" s="11"/>
      <c r="G34" s="11"/>
      <c r="H34" s="11"/>
      <c r="I34" s="11"/>
      <c r="J34" s="11"/>
      <c r="K34" s="11"/>
      <c r="T34" s="11"/>
      <c r="U34" s="11"/>
      <c r="W34" s="11"/>
      <c r="Y34" s="11"/>
      <c r="AC34" s="11"/>
    </row>
    <row r="36" spans="1:29">
      <c r="B36" s="10" t="s">
        <v>167</v>
      </c>
    </row>
    <row r="37" spans="1:29">
      <c r="A37" s="44" t="s">
        <v>166</v>
      </c>
      <c r="B37" s="10">
        <v>10</v>
      </c>
    </row>
    <row r="38" spans="1:29">
      <c r="A38" s="64" t="s">
        <v>166</v>
      </c>
      <c r="B38" s="10">
        <v>5</v>
      </c>
    </row>
    <row r="39" spans="1:29">
      <c r="A39" s="65" t="s">
        <v>166</v>
      </c>
      <c r="B39" s="10">
        <v>3</v>
      </c>
    </row>
    <row r="40" spans="1:29">
      <c r="A40" s="10" t="s">
        <v>166</v>
      </c>
      <c r="B40" s="10">
        <v>1</v>
      </c>
    </row>
    <row r="49" spans="1:29">
      <c r="A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>
      <c r="A50" s="66"/>
    </row>
    <row r="54" spans="1:29">
      <c r="A54" s="66"/>
    </row>
    <row r="55" spans="1:29">
      <c r="A55" s="66"/>
    </row>
    <row r="56" spans="1:29">
      <c r="A56" s="66"/>
    </row>
    <row r="57" spans="1:29">
      <c r="A57" s="66"/>
    </row>
    <row r="58" spans="1:29">
      <c r="A58" s="66"/>
    </row>
    <row r="59" spans="1:29">
      <c r="A59" s="66"/>
    </row>
    <row r="60" spans="1:29">
      <c r="A60" s="66"/>
    </row>
    <row r="61" spans="1:29">
      <c r="A61" s="66"/>
    </row>
    <row r="62" spans="1:29">
      <c r="A62" s="66"/>
    </row>
    <row r="63" spans="1:29">
      <c r="A63" s="66"/>
    </row>
    <row r="64" spans="1:29">
      <c r="A64" s="66"/>
    </row>
    <row r="65" spans="1:1">
      <c r="A65" s="66"/>
    </row>
    <row r="66" spans="1:1">
      <c r="A66" s="66"/>
    </row>
    <row r="67" spans="1:1">
      <c r="A67" s="66"/>
    </row>
    <row r="68" spans="1:1">
      <c r="A68" s="66"/>
    </row>
    <row r="69" spans="1:1">
      <c r="A69" s="66"/>
    </row>
    <row r="70" spans="1:1">
      <c r="A70" s="66"/>
    </row>
    <row r="71" spans="1:1">
      <c r="A71" s="66"/>
    </row>
    <row r="72" spans="1:1">
      <c r="A72" s="66"/>
    </row>
    <row r="73" spans="1:1">
      <c r="A73" s="66"/>
    </row>
    <row r="74" spans="1:1">
      <c r="A74" s="66"/>
    </row>
    <row r="75" spans="1:1">
      <c r="A75" s="66"/>
    </row>
    <row r="76" spans="1:1">
      <c r="A76" s="66"/>
    </row>
    <row r="77" spans="1:1">
      <c r="A77" s="66"/>
    </row>
  </sheetData>
  <pageMargins left="0.7" right="0.7" top="0.75" bottom="0.75" header="0.3" footer="0.3"/>
  <pageSetup paperSize="9"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8"/>
  <sheetViews>
    <sheetView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D31" sqref="D31:CQ32"/>
    </sheetView>
  </sheetViews>
  <sheetFormatPr baseColWidth="10" defaultColWidth="11.5" defaultRowHeight="14" x14ac:dyDescent="0"/>
  <cols>
    <col min="1" max="1" width="29" bestFit="1" customWidth="1"/>
    <col min="2" max="2" width="39.6640625" customWidth="1"/>
    <col min="3" max="3" width="5" customWidth="1"/>
    <col min="4" max="30" width="4" customWidth="1"/>
    <col min="31" max="31" width="6" customWidth="1"/>
    <col min="32" max="32" width="6.1640625" customWidth="1"/>
    <col min="33" max="33" width="4.1640625" customWidth="1"/>
    <col min="34" max="34" width="4.6640625" customWidth="1"/>
    <col min="35" max="36" width="7.1640625" customWidth="1"/>
    <col min="37" max="37" width="5.33203125" customWidth="1"/>
    <col min="38" max="38" width="5.83203125" customWidth="1"/>
    <col min="39" max="39" width="7.6640625" bestFit="1" customWidth="1"/>
    <col min="40" max="40" width="7.6640625" customWidth="1"/>
    <col min="41" max="41" width="3.5" bestFit="1" customWidth="1"/>
    <col min="42" max="42" width="3.5" customWidth="1"/>
    <col min="43" max="43" width="3.5" bestFit="1" customWidth="1"/>
    <col min="44" max="44" width="3.5" customWidth="1"/>
    <col min="45" max="45" width="3.5" bestFit="1" customWidth="1"/>
    <col min="46" max="46" width="3.5" customWidth="1"/>
    <col min="47" max="47" width="3.5" bestFit="1" customWidth="1"/>
    <col min="48" max="48" width="3.5" customWidth="1"/>
    <col min="49" max="49" width="3.5" bestFit="1" customWidth="1"/>
    <col min="50" max="50" width="3.5" customWidth="1"/>
    <col min="51" max="51" width="3.5" bestFit="1" customWidth="1"/>
    <col min="52" max="52" width="3.5" customWidth="1"/>
    <col min="53" max="53" width="3.5" bestFit="1" customWidth="1"/>
    <col min="54" max="54" width="3.5" customWidth="1"/>
    <col min="55" max="55" width="3.5" bestFit="1" customWidth="1"/>
    <col min="56" max="56" width="3.5" customWidth="1"/>
    <col min="57" max="57" width="3.5" bestFit="1" customWidth="1"/>
    <col min="58" max="58" width="3.5" customWidth="1"/>
    <col min="59" max="59" width="3.5" bestFit="1" customWidth="1"/>
    <col min="60" max="60" width="3.5" customWidth="1"/>
    <col min="61" max="61" width="3.5" bestFit="1" customWidth="1"/>
    <col min="62" max="62" width="3.5" customWidth="1"/>
    <col min="63" max="63" width="3.5" bestFit="1" customWidth="1"/>
    <col min="64" max="64" width="3.5" customWidth="1"/>
    <col min="65" max="65" width="3.5" bestFit="1" customWidth="1"/>
    <col min="66" max="66" width="3.5" customWidth="1"/>
    <col min="67" max="68" width="4" customWidth="1"/>
    <col min="69" max="69" width="3.5" bestFit="1" customWidth="1"/>
    <col min="70" max="70" width="3.5" customWidth="1"/>
    <col min="71" max="71" width="3.5" bestFit="1" customWidth="1"/>
    <col min="72" max="72" width="3.5" customWidth="1"/>
    <col min="73" max="73" width="3.5" bestFit="1" customWidth="1"/>
    <col min="74" max="74" width="3.5" customWidth="1"/>
    <col min="75" max="75" width="3.5" bestFit="1" customWidth="1"/>
    <col min="76" max="76" width="3.5" customWidth="1"/>
    <col min="77" max="77" width="3.5" bestFit="1" customWidth="1"/>
    <col min="78" max="78" width="3.5" customWidth="1"/>
    <col min="79" max="79" width="3.5" bestFit="1" customWidth="1"/>
    <col min="80" max="80" width="3.5" customWidth="1"/>
    <col min="81" max="81" width="3.5" bestFit="1" customWidth="1"/>
    <col min="82" max="82" width="3.5" customWidth="1"/>
    <col min="83" max="83" width="3.5" bestFit="1" customWidth="1"/>
    <col min="84" max="84" width="3.5" customWidth="1"/>
    <col min="85" max="85" width="3.5" bestFit="1" customWidth="1"/>
    <col min="86" max="86" width="3.5" customWidth="1"/>
    <col min="87" max="87" width="3.5" bestFit="1" customWidth="1"/>
    <col min="88" max="88" width="3.5" customWidth="1"/>
    <col min="89" max="89" width="3.5" bestFit="1" customWidth="1"/>
    <col min="90" max="91" width="3.5" customWidth="1"/>
    <col min="92" max="93" width="5.5" customWidth="1"/>
    <col min="94" max="94" width="6.83203125" customWidth="1"/>
    <col min="95" max="95" width="6.33203125" customWidth="1"/>
  </cols>
  <sheetData>
    <row r="1" spans="1:95" ht="302">
      <c r="A1" t="s">
        <v>47</v>
      </c>
      <c r="B1" t="s">
        <v>43</v>
      </c>
      <c r="C1" s="18" t="str">
        <f>'Symptomen (alle)'!B1</f>
        <v>lijken op elkaar</v>
      </c>
      <c r="D1" s="18" t="str">
        <f>'Symptomen (alle)'!C1</f>
        <v>Pathogen visible to_x000D_ naked eye</v>
      </c>
      <c r="E1" s="18" t="str">
        <f>'Symptomen (alle)'!D1</f>
        <v>Colour_x000D_change/Darkening</v>
      </c>
      <c r="F1" s="18" t="str">
        <f>'Symptomen (alle)'!E1</f>
        <v>Pop-eye</v>
      </c>
      <c r="G1" s="18" t="str">
        <f>'Symptomen (alle)'!F1</f>
        <v>Swollen Belly/Dropsy/ascites</v>
      </c>
      <c r="H1" s="18" t="str">
        <f>'Symptomen (alle)'!G1</f>
        <v>Reddish wounds/Skin ulcer/heamorrhage/Bleeding skin</v>
      </c>
      <c r="I1" s="18" t="str">
        <f>'Symptomen (alle)'!H1</f>
        <v>Extra growth/swelling on body/skin/little creature</v>
      </c>
      <c r="J1" s="18" t="str">
        <f>'Symptomen (alle)'!I1</f>
        <v>Body Whitish/Necrotic lesion/Holes</v>
      </c>
      <c r="K1" s="18" t="str">
        <f>'Symptomen (alle)'!J1</f>
        <v>Scale loss</v>
      </c>
      <c r="L1" s="18" t="str">
        <f>'Symptomen (alle)'!K1</f>
        <v>Fin rot/damage</v>
      </c>
      <c r="M1" s="18" t="str">
        <f>'Symptomen (alle)'!L1</f>
        <v>White Mucus/Extra Slime/Cloudy/Turbid skin</v>
      </c>
      <c r="N1" s="18" t="str">
        <f>'Symptomen (alle)'!M1</f>
        <v>Faecal cast/Excrement strings at anus</v>
      </c>
      <c r="O1" s="18" t="str">
        <f>'Symptomen (alle)'!N1</f>
        <v>Clamped/Fraying fins</v>
      </c>
      <c r="P1" s="18" t="str">
        <f>'Symptomen (alle)'!O1</f>
        <v>Cotton growth</v>
      </c>
      <c r="Q1" s="18" t="str">
        <f>'Symptomen (alle)'!P1</f>
        <v>White spots</v>
      </c>
      <c r="R1" s="18" t="str">
        <f>'Symptomen (alle)'!Q1</f>
        <v>White large specks/growths</v>
      </c>
      <c r="S1" s="18" t="str">
        <f>'Symptomen (alle)'!R1</f>
        <v>Black spots</v>
      </c>
      <c r="T1" s="18" t="str">
        <f>'Symptomen (alle)'!S1</f>
        <v>Dusty look/fine pepper spots</v>
      </c>
      <c r="U1" s="18" t="str">
        <f>'Symptomen (alle)'!T1</f>
        <v>Listless(V): Laying on bottom</v>
      </c>
      <c r="V1" s="18" t="str">
        <f>'Symptomen (alle)'!U1</f>
        <v>Listless(V): hanging at surface</v>
      </c>
      <c r="W1" s="18" t="str">
        <f>'Symptomen (alle)'!V1</f>
        <v>Scraping(V)</v>
      </c>
      <c r="X1" s="18" t="str">
        <f>'Symptomen (alle)'!W1</f>
        <v>Respiratory problems(V)</v>
      </c>
      <c r="Y1" s="18" t="str">
        <f>'Symptomen (alle)'!X1</f>
        <v>"Abnormal"/stressbehavior(V)</v>
      </c>
      <c r="Z1" s="18" t="str">
        <f>'Symptomen (alle)'!Y1</f>
        <v>Increased mortalitities(uit???)</v>
      </c>
      <c r="AA1" s="18" t="str">
        <f>'Symptomen (alle)'!Z1</f>
        <v>Fighting (v)</v>
      </c>
      <c r="AB1" s="18" t="str">
        <f>'Symptomen (alle)'!AA1</f>
        <v>Coughing (v)</v>
      </c>
      <c r="AC1" s="18" t="str">
        <f>'Symptomen (alle)'!AB1</f>
        <v>Emaciation/Exhaustion Progress</v>
      </c>
      <c r="AD1" s="18" t="str">
        <f>'Symptomen (alle)'!AC1</f>
        <v>Less appetite/less eating</v>
      </c>
      <c r="AE1" s="18" t="s">
        <v>45</v>
      </c>
      <c r="AF1" s="18" t="s">
        <v>79</v>
      </c>
      <c r="AG1" s="29" t="s">
        <v>78</v>
      </c>
      <c r="AH1" s="29" t="s">
        <v>48</v>
      </c>
      <c r="AI1" s="18" t="s">
        <v>74</v>
      </c>
      <c r="AJ1" s="18" t="s">
        <v>272</v>
      </c>
      <c r="AK1" s="18" t="s">
        <v>80</v>
      </c>
      <c r="AL1" s="57" t="s">
        <v>241</v>
      </c>
      <c r="AM1" s="18" t="str">
        <f>E1</f>
        <v>Colour_x000D_change/Darkening</v>
      </c>
      <c r="AN1" s="18" t="s">
        <v>333</v>
      </c>
      <c r="AO1" s="18" t="str">
        <f t="shared" ref="AO1" si="0">F1</f>
        <v>Pop-eye</v>
      </c>
      <c r="AP1" s="18" t="s">
        <v>333</v>
      </c>
      <c r="AQ1" s="18" t="str">
        <f>G1</f>
        <v>Swollen Belly/Dropsy/ascites</v>
      </c>
      <c r="AR1" s="18" t="s">
        <v>333</v>
      </c>
      <c r="AS1" s="18" t="str">
        <f>H1</f>
        <v>Reddish wounds/Skin ulcer/heamorrhage/Bleeding skin</v>
      </c>
      <c r="AT1" s="18" t="s">
        <v>333</v>
      </c>
      <c r="AU1" s="18" t="str">
        <f>I1</f>
        <v>Extra growth/swelling on body/skin/little creature</v>
      </c>
      <c r="AV1" s="18" t="s">
        <v>333</v>
      </c>
      <c r="AW1" s="18" t="str">
        <f>J1</f>
        <v>Body Whitish/Necrotic lesion/Holes</v>
      </c>
      <c r="AX1" s="18" t="s">
        <v>333</v>
      </c>
      <c r="AY1" s="18" t="str">
        <f>K1</f>
        <v>Scale loss</v>
      </c>
      <c r="AZ1" s="18" t="s">
        <v>333</v>
      </c>
      <c r="BA1" s="18" t="str">
        <f>L1</f>
        <v>Fin rot/damage</v>
      </c>
      <c r="BB1" s="18" t="s">
        <v>333</v>
      </c>
      <c r="BC1" s="18" t="str">
        <f>M1</f>
        <v>White Mucus/Extra Slime/Cloudy/Turbid skin</v>
      </c>
      <c r="BD1" s="18" t="s">
        <v>333</v>
      </c>
      <c r="BE1" s="18" t="str">
        <f>N1</f>
        <v>Faecal cast/Excrement strings at anus</v>
      </c>
      <c r="BF1" s="18" t="s">
        <v>333</v>
      </c>
      <c r="BG1" s="18" t="str">
        <f>O1</f>
        <v>Clamped/Fraying fins</v>
      </c>
      <c r="BH1" s="18" t="s">
        <v>333</v>
      </c>
      <c r="BI1" s="18" t="str">
        <f>P1</f>
        <v>Cotton growth</v>
      </c>
      <c r="BJ1" s="18" t="s">
        <v>333</v>
      </c>
      <c r="BK1" s="18" t="str">
        <f>Q1</f>
        <v>White spots</v>
      </c>
      <c r="BL1" s="18" t="s">
        <v>333</v>
      </c>
      <c r="BM1" s="18" t="str">
        <f>R1</f>
        <v>White large specks/growths</v>
      </c>
      <c r="BN1" s="18" t="s">
        <v>333</v>
      </c>
      <c r="BO1" s="18" t="str">
        <f>S1</f>
        <v>Black spots</v>
      </c>
      <c r="BP1" s="18" t="s">
        <v>333</v>
      </c>
      <c r="BQ1" s="18" t="str">
        <f t="shared" ref="BQ1" si="1">T1</f>
        <v>Dusty look/fine pepper spots</v>
      </c>
      <c r="BR1" s="18" t="s">
        <v>333</v>
      </c>
      <c r="BS1" s="18" t="str">
        <f t="shared" ref="BS1" si="2">U1</f>
        <v>Listless(V): Laying on bottom</v>
      </c>
      <c r="BT1" s="18" t="s">
        <v>333</v>
      </c>
      <c r="BU1" s="18" t="str">
        <f t="shared" ref="BU1" si="3">V1</f>
        <v>Listless(V): hanging at surface</v>
      </c>
      <c r="BV1" s="18" t="s">
        <v>333</v>
      </c>
      <c r="BW1" s="18" t="str">
        <f t="shared" ref="BW1" si="4">W1</f>
        <v>Scraping(V)</v>
      </c>
      <c r="BX1" s="18" t="s">
        <v>333</v>
      </c>
      <c r="BY1" s="18" t="str">
        <f t="shared" ref="BY1" si="5">X1</f>
        <v>Respiratory problems(V)</v>
      </c>
      <c r="BZ1" s="18" t="s">
        <v>333</v>
      </c>
      <c r="CA1" s="18" t="str">
        <f t="shared" ref="CA1" si="6">Y1</f>
        <v>"Abnormal"/stressbehavior(V)</v>
      </c>
      <c r="CB1" s="18" t="s">
        <v>333</v>
      </c>
      <c r="CC1" s="18" t="str">
        <f t="shared" ref="CC1" si="7">Z1</f>
        <v>Increased mortalitities(uit???)</v>
      </c>
      <c r="CD1" s="18" t="s">
        <v>333</v>
      </c>
      <c r="CE1" s="18" t="str">
        <f t="shared" ref="CE1" si="8">AA1</f>
        <v>Fighting (v)</v>
      </c>
      <c r="CF1" s="18" t="s">
        <v>333</v>
      </c>
      <c r="CG1" s="18" t="str">
        <f t="shared" ref="CG1" si="9">AB1</f>
        <v>Coughing (v)</v>
      </c>
      <c r="CH1" s="18" t="s">
        <v>333</v>
      </c>
      <c r="CI1" s="18" t="str">
        <f t="shared" ref="CI1" si="10">AC1</f>
        <v>Emaciation/Exhaustion Progress</v>
      </c>
      <c r="CJ1" s="18" t="s">
        <v>333</v>
      </c>
      <c r="CK1" s="18" t="str">
        <f>AD1</f>
        <v>Less appetite/less eating</v>
      </c>
      <c r="CL1" s="18" t="s">
        <v>333</v>
      </c>
      <c r="CM1" s="18" t="s">
        <v>298</v>
      </c>
      <c r="CN1" s="18" t="s">
        <v>300</v>
      </c>
      <c r="CO1" s="18"/>
      <c r="CP1" s="139" t="s">
        <v>303</v>
      </c>
      <c r="CQ1" s="139" t="s">
        <v>304</v>
      </c>
    </row>
    <row r="2" spans="1:95">
      <c r="A2" s="20" t="str">
        <f>Berekening!A4</f>
        <v>Bacteriële infectie en Mycobacterium</v>
      </c>
      <c r="B2" s="20" t="s">
        <v>248</v>
      </c>
      <c r="C2" s="20"/>
      <c r="D2" s="147" t="str">
        <f>Berekening2!D4</f>
        <v>x</v>
      </c>
      <c r="E2" s="147">
        <f>Berekening2!E4</f>
        <v>0</v>
      </c>
      <c r="F2" s="147">
        <f>Berekening2!F4</f>
        <v>0</v>
      </c>
      <c r="G2" s="147">
        <f>Berekening2!G4</f>
        <v>0</v>
      </c>
      <c r="H2" s="147">
        <f>Berekening2!H4</f>
        <v>0</v>
      </c>
      <c r="I2" s="147">
        <f>Berekening2!I4</f>
        <v>0</v>
      </c>
      <c r="J2" s="147" t="str">
        <f>Berekening2!J4</f>
        <v>x</v>
      </c>
      <c r="K2" s="147">
        <f>Berekening2!K4</f>
        <v>0</v>
      </c>
      <c r="L2" s="147">
        <f>Berekening2!L4</f>
        <v>0</v>
      </c>
      <c r="M2" s="147">
        <f>Berekening2!M4</f>
        <v>0</v>
      </c>
      <c r="N2" s="147">
        <f>Berekening2!N4</f>
        <v>0</v>
      </c>
      <c r="O2" s="147">
        <f>Berekening2!O4</f>
        <v>0</v>
      </c>
      <c r="P2" s="147">
        <f>Berekening2!P4</f>
        <v>0</v>
      </c>
      <c r="Q2" s="147">
        <f>Berekening2!Q4</f>
        <v>0</v>
      </c>
      <c r="R2" s="147">
        <f>Berekening2!R4</f>
        <v>0</v>
      </c>
      <c r="S2" s="147">
        <f>Berekening2!S4</f>
        <v>0</v>
      </c>
      <c r="T2" s="147" t="str">
        <f>Berekening2!T4</f>
        <v>x</v>
      </c>
      <c r="U2" s="147">
        <f>Berekening2!U4</f>
        <v>0</v>
      </c>
      <c r="V2" s="147">
        <f>Berekening2!V4</f>
        <v>0</v>
      </c>
      <c r="W2" s="147" t="str">
        <f>Berekening2!W4</f>
        <v>x</v>
      </c>
      <c r="X2" s="147">
        <f>Berekening2!X4</f>
        <v>0</v>
      </c>
      <c r="Y2" s="147" t="str">
        <f>Berekening2!Y4</f>
        <v>x</v>
      </c>
      <c r="Z2" s="147">
        <f>Berekening2!Z4</f>
        <v>0</v>
      </c>
      <c r="AA2" s="147">
        <f>Berekening2!AA4</f>
        <v>0</v>
      </c>
      <c r="AB2" s="147">
        <f>Berekening2!AB4</f>
        <v>0</v>
      </c>
      <c r="AC2" s="147">
        <f>Berekening2!AC4</f>
        <v>0</v>
      </c>
      <c r="AD2" s="147">
        <f>Berekening2!AD4</f>
        <v>0</v>
      </c>
      <c r="AF2" s="30"/>
      <c r="AG2" s="30"/>
      <c r="AM2">
        <f>VLOOKUP(AM1,'Belang symptomen'!$A$2:$B$28,2,FALSE)</f>
        <v>3</v>
      </c>
      <c r="AO2">
        <f>VLOOKUP(AO1,'Belang symptomen'!$A$2:$B$28,2,FALSE)</f>
        <v>5</v>
      </c>
      <c r="AQ2">
        <f>VLOOKUP(AQ1,'Belang symptomen'!$A$2:$B$28,2,FALSE)</f>
        <v>5</v>
      </c>
      <c r="AS2">
        <f>VLOOKUP(AS1,'Belang symptomen'!$A$2:$B$28,2,FALSE)</f>
        <v>5</v>
      </c>
      <c r="AU2">
        <f>VLOOKUP(AU1,'Belang symptomen'!$A$2:$B$28,2,FALSE)</f>
        <v>5</v>
      </c>
      <c r="AW2">
        <f>VLOOKUP(AW1,'Belang symptomen'!$A$2:$B$28,2,FALSE)</f>
        <v>5</v>
      </c>
      <c r="AY2">
        <f>VLOOKUP(AY1,'Belang symptomen'!$A$2:$B$28,2,FALSE)</f>
        <v>1</v>
      </c>
      <c r="BA2">
        <f>VLOOKUP(BA1,'Belang symptomen'!$A$2:$B$28,2,FALSE)</f>
        <v>3</v>
      </c>
      <c r="BC2">
        <f>VLOOKUP(BC1,'Belang symptomen'!$A$2:$B$28,2,FALSE)</f>
        <v>1</v>
      </c>
      <c r="BE2">
        <f>VLOOKUP(BE1,'Belang symptomen'!$A$2:$B$28,2,FALSE)</f>
        <v>1</v>
      </c>
      <c r="BG2">
        <f>VLOOKUP(BG1,'Belang symptomen'!$A$2:$B$28,2,FALSE)</f>
        <v>1</v>
      </c>
      <c r="BI2">
        <f>VLOOKUP(BI1,'Belang symptomen'!$A$2:$B$28,2,FALSE)</f>
        <v>5</v>
      </c>
      <c r="BK2">
        <f>VLOOKUP(BK1,'Belang symptomen'!$A$2:$B$28,2,FALSE)</f>
        <v>5</v>
      </c>
      <c r="BM2">
        <f>VLOOKUP(BM1,'Belang symptomen'!$A$2:$B$28,2,FALSE)</f>
        <v>5</v>
      </c>
      <c r="BO2">
        <f>VLOOKUP(BO1,'Belang symptomen'!$A$2:$B$28,2,FALSE)</f>
        <v>5</v>
      </c>
      <c r="BQ2">
        <f>VLOOKUP(BQ1,'Belang symptomen'!$A$2:$B$28,2,FALSE)</f>
        <v>5</v>
      </c>
      <c r="BS2">
        <f>VLOOKUP(BS1,'Belang symptomen'!$A$2:$B$28,2,FALSE)</f>
        <v>1</v>
      </c>
      <c r="BU2">
        <f>VLOOKUP(BU1,'Belang symptomen'!$A$2:$B$28,2,FALSE)</f>
        <v>1</v>
      </c>
      <c r="BW2">
        <f>VLOOKUP(BW1,'Belang symptomen'!$A$2:$B$28,2,FALSE)</f>
        <v>1</v>
      </c>
      <c r="BY2">
        <f>VLOOKUP(BY1,'Belang symptomen'!$A$2:$B$28,2,FALSE)</f>
        <v>1</v>
      </c>
      <c r="CA2">
        <f>VLOOKUP(CA1,'Belang symptomen'!$A$2:$B$28,2,FALSE)</f>
        <v>1</v>
      </c>
      <c r="CC2">
        <f>VLOOKUP(CC1,'Belang symptomen'!$A$2:$B$28,2,FALSE)</f>
        <v>1</v>
      </c>
      <c r="CE2">
        <f>VLOOKUP(CE1,'Belang symptomen'!$A$2:$B$28,2,FALSE)</f>
        <v>1</v>
      </c>
      <c r="CG2">
        <f>VLOOKUP(CG1,'Belang symptomen'!$A$2:$B$28,2,FALSE)</f>
        <v>1</v>
      </c>
      <c r="CI2">
        <f>VLOOKUP(CI1,'Belang symptomen'!$A$2:$B$28,2,FALSE)</f>
        <v>1</v>
      </c>
      <c r="CK2">
        <f>VLOOKUP(CK1,'Belang symptomen'!$A$2:$B$28,2,FALSE)</f>
        <v>1</v>
      </c>
      <c r="CP2" s="140"/>
      <c r="CQ2" s="140"/>
    </row>
    <row r="3" spans="1:95" hidden="1">
      <c r="B3" s="19" t="s">
        <v>49</v>
      </c>
      <c r="C3" s="19" t="s">
        <v>170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179</v>
      </c>
      <c r="J3" t="s">
        <v>55</v>
      </c>
      <c r="K3" t="s">
        <v>94</v>
      </c>
      <c r="L3" t="s">
        <v>56</v>
      </c>
      <c r="M3" t="s">
        <v>57</v>
      </c>
      <c r="N3" t="s">
        <v>58</v>
      </c>
      <c r="O3" t="s">
        <v>59</v>
      </c>
      <c r="P3" t="s">
        <v>60</v>
      </c>
      <c r="Q3" t="s">
        <v>61</v>
      </c>
      <c r="R3" t="s">
        <v>178</v>
      </c>
      <c r="S3" t="s">
        <v>177</v>
      </c>
      <c r="T3" t="s">
        <v>62</v>
      </c>
      <c r="U3" t="s">
        <v>63</v>
      </c>
      <c r="V3" t="s">
        <v>161</v>
      </c>
      <c r="W3" t="s">
        <v>160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97</v>
      </c>
      <c r="AD3" t="s">
        <v>96</v>
      </c>
      <c r="AE3" t="s">
        <v>69</v>
      </c>
      <c r="AF3" t="s">
        <v>70</v>
      </c>
      <c r="AG3" s="30" t="s">
        <v>71</v>
      </c>
      <c r="AH3" s="30" t="s">
        <v>72</v>
      </c>
      <c r="AI3" t="s">
        <v>73</v>
      </c>
      <c r="AJ3" t="s">
        <v>271</v>
      </c>
      <c r="AK3" t="s">
        <v>77</v>
      </c>
      <c r="AL3" t="s">
        <v>200</v>
      </c>
      <c r="AM3" t="s">
        <v>236</v>
      </c>
      <c r="AN3" t="s">
        <v>305</v>
      </c>
      <c r="AO3" t="s">
        <v>273</v>
      </c>
      <c r="AP3" t="s">
        <v>306</v>
      </c>
      <c r="AQ3" t="s">
        <v>274</v>
      </c>
      <c r="AR3" t="s">
        <v>307</v>
      </c>
      <c r="AS3" t="s">
        <v>275</v>
      </c>
      <c r="AT3" t="s">
        <v>308</v>
      </c>
      <c r="AU3" t="s">
        <v>276</v>
      </c>
      <c r="AV3" t="s">
        <v>309</v>
      </c>
      <c r="AW3" t="s">
        <v>277</v>
      </c>
      <c r="AX3" t="s">
        <v>310</v>
      </c>
      <c r="AY3" t="s">
        <v>278</v>
      </c>
      <c r="AZ3" t="s">
        <v>311</v>
      </c>
      <c r="BA3" t="s">
        <v>279</v>
      </c>
      <c r="BB3" t="s">
        <v>312</v>
      </c>
      <c r="BC3" t="s">
        <v>280</v>
      </c>
      <c r="BD3" t="s">
        <v>313</v>
      </c>
      <c r="BE3" t="s">
        <v>281</v>
      </c>
      <c r="BF3" t="s">
        <v>314</v>
      </c>
      <c r="BG3" t="s">
        <v>282</v>
      </c>
      <c r="BH3" t="s">
        <v>315</v>
      </c>
      <c r="BI3" t="s">
        <v>283</v>
      </c>
      <c r="BJ3" t="s">
        <v>316</v>
      </c>
      <c r="BK3" t="s">
        <v>284</v>
      </c>
      <c r="BL3" t="s">
        <v>317</v>
      </c>
      <c r="BM3" t="s">
        <v>285</v>
      </c>
      <c r="BN3" t="s">
        <v>318</v>
      </c>
      <c r="BO3" t="s">
        <v>286</v>
      </c>
      <c r="BP3" t="s">
        <v>319</v>
      </c>
      <c r="BQ3" t="s">
        <v>287</v>
      </c>
      <c r="BR3" t="s">
        <v>320</v>
      </c>
      <c r="BS3" t="s">
        <v>288</v>
      </c>
      <c r="BT3" t="s">
        <v>321</v>
      </c>
      <c r="BU3" t="s">
        <v>289</v>
      </c>
      <c r="BV3" t="s">
        <v>322</v>
      </c>
      <c r="BW3" t="s">
        <v>290</v>
      </c>
      <c r="BX3" t="s">
        <v>323</v>
      </c>
      <c r="BY3" t="s">
        <v>291</v>
      </c>
      <c r="BZ3" t="s">
        <v>324</v>
      </c>
      <c r="CA3" t="s">
        <v>292</v>
      </c>
      <c r="CB3" t="s">
        <v>325</v>
      </c>
      <c r="CC3" t="s">
        <v>293</v>
      </c>
      <c r="CD3" t="s">
        <v>326</v>
      </c>
      <c r="CE3" t="s">
        <v>294</v>
      </c>
      <c r="CF3" t="s">
        <v>327</v>
      </c>
      <c r="CG3" t="s">
        <v>295</v>
      </c>
      <c r="CH3" t="s">
        <v>328</v>
      </c>
      <c r="CI3" t="s">
        <v>296</v>
      </c>
      <c r="CJ3" t="s">
        <v>329</v>
      </c>
      <c r="CK3" t="s">
        <v>297</v>
      </c>
      <c r="CL3" t="s">
        <v>330</v>
      </c>
      <c r="CM3" t="s">
        <v>299</v>
      </c>
      <c r="CN3" t="s">
        <v>301</v>
      </c>
      <c r="CO3" t="s">
        <v>331</v>
      </c>
      <c r="CP3" s="140" t="s">
        <v>302</v>
      </c>
      <c r="CQ3" s="140" t="s">
        <v>332</v>
      </c>
    </row>
    <row r="4" spans="1:95">
      <c r="B4" s="24" t="s">
        <v>46</v>
      </c>
      <c r="C4" s="24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31"/>
      <c r="AH4" s="31"/>
      <c r="AI4" s="22"/>
      <c r="AJ4" s="22"/>
      <c r="AK4" s="22"/>
      <c r="AL4" s="22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5"/>
      <c r="CO4" s="135"/>
      <c r="CP4" s="141"/>
      <c r="CQ4" s="142"/>
    </row>
    <row r="5" spans="1:95">
      <c r="B5" s="21" t="str">
        <f>'Symptomen (alle)'!A2</f>
        <v>Fish Lice(Argulus/Livoneca)</v>
      </c>
      <c r="C5" s="21">
        <f>'Symptomen (alle)'!B2</f>
        <v>0</v>
      </c>
      <c r="D5" s="21" t="str">
        <f>IF(D$2="x",'Symptomen (alle)'!C2,0)</f>
        <v>x</v>
      </c>
      <c r="E5" s="21">
        <f>IF(E$2="x",'Symptomen (alle)'!D2,0)</f>
        <v>0</v>
      </c>
      <c r="F5" s="21">
        <f>IF(F$2="x",'Symptomen (alle)'!E2,0)</f>
        <v>0</v>
      </c>
      <c r="G5" s="21">
        <f>IF(G$2="x",'Symptomen (alle)'!F2,0)</f>
        <v>0</v>
      </c>
      <c r="H5" s="21">
        <f>IF(H$2="x",'Symptomen (alle)'!G2,0)</f>
        <v>0</v>
      </c>
      <c r="I5" s="21">
        <f>IF(I$2="x",'Symptomen (alle)'!H2,0)</f>
        <v>0</v>
      </c>
      <c r="J5" s="21">
        <f>IF(J$2="x",'Symptomen (alle)'!I2,0)</f>
        <v>0</v>
      </c>
      <c r="K5" s="21">
        <f>IF(K$2="x",'Symptomen (alle)'!J2,0)</f>
        <v>0</v>
      </c>
      <c r="L5" s="21">
        <f>IF(L$2="x",'Symptomen (alle)'!K2,0)</f>
        <v>0</v>
      </c>
      <c r="M5" s="21">
        <f>IF(M$2="x",'Symptomen (alle)'!L2,0)</f>
        <v>0</v>
      </c>
      <c r="N5" s="21">
        <f>IF(N$2="x",'Symptomen (alle)'!M2,0)</f>
        <v>0</v>
      </c>
      <c r="O5" s="21">
        <f>IF(O$2="x",'Symptomen (alle)'!N2,0)</f>
        <v>0</v>
      </c>
      <c r="P5" s="21">
        <f>IF(P$2="x",'Symptomen (alle)'!O2,0)</f>
        <v>0</v>
      </c>
      <c r="Q5" s="21">
        <f>IF(Q$2="x",'Symptomen (alle)'!P2,0)</f>
        <v>0</v>
      </c>
      <c r="R5" s="21">
        <f>IF(R$2="x",'Symptomen (alle)'!Q2,0)</f>
        <v>0</v>
      </c>
      <c r="S5" s="21">
        <f>IF(S$2="x",'Symptomen (alle)'!R2,0)</f>
        <v>0</v>
      </c>
      <c r="T5" s="21">
        <f>IF(T$2="x",'Symptomen (alle)'!S2,0)</f>
        <v>0</v>
      </c>
      <c r="U5" s="21">
        <f>IF(U$2="x",'Symptomen (alle)'!T2,0)</f>
        <v>0</v>
      </c>
      <c r="V5" s="21">
        <f>IF(V$2="x",'Symptomen (alle)'!U2,0)</f>
        <v>0</v>
      </c>
      <c r="W5" s="21">
        <f>IF(W$2="x",'Symptomen (alle)'!V2,0)</f>
        <v>3</v>
      </c>
      <c r="X5" s="21">
        <f>IF(X$2="x",'Symptomen (alle)'!W2,0)</f>
        <v>0</v>
      </c>
      <c r="Y5" s="21">
        <f>IF(Y$2="x",'Symptomen (alle)'!X2,0)</f>
        <v>2</v>
      </c>
      <c r="Z5" s="21">
        <f>IF(Z$2="x",'Symptomen (alle)'!Y2,0)</f>
        <v>0</v>
      </c>
      <c r="AA5" s="21">
        <f>IF(AA$2="x",'Symptomen (alle)'!Z2,0)</f>
        <v>0</v>
      </c>
      <c r="AB5" s="21">
        <f>IF(AB$2="x",'Symptomen (alle)'!AA2,0)</f>
        <v>0</v>
      </c>
      <c r="AC5" s="21">
        <f>IF(AC$2="x",'Symptomen (alle)'!AB2,0)</f>
        <v>0</v>
      </c>
      <c r="AD5" s="21">
        <f>IF(AD$2="x",'Symptomen (alle)'!AC2,0)</f>
        <v>0</v>
      </c>
      <c r="AE5" s="21">
        <f>SUM(E5:AD5)</f>
        <v>5</v>
      </c>
      <c r="AF5" s="21">
        <f>HLOOKUP($B$2,ZiekteFam!$B$1:$T$32,AG5,FALSE)</f>
        <v>3</v>
      </c>
      <c r="AG5" s="32">
        <f>ROW(AF5)-3</f>
        <v>2</v>
      </c>
      <c r="AH5" s="32">
        <f>SUM('Symptomen (alle)'!D2:AC2)</f>
        <v>18</v>
      </c>
      <c r="AI5" s="22">
        <f>Tabel424[[#This Row],[Kolom25]]/Tabel424[[#This Row],[Kolom28]]</f>
        <v>0.27777777777777779</v>
      </c>
      <c r="AJ5" s="22"/>
      <c r="AK5" s="22">
        <f>Tabel424[[#This Row],[Kolom29]]</f>
        <v>0.27777777777777779</v>
      </c>
      <c r="AL5" s="36">
        <f>_xlfn.RANK.EQ(Tabel424[[#This Row],[Kolom29]],$AI$5:$AI$35)</f>
        <v>5</v>
      </c>
      <c r="AM5" s="135">
        <f>IF(E$2="x",(_xlfn.RANK.EQ(Tabel424[[#This Row],[Kolom3]],E$5:E$35)),0)</f>
        <v>0</v>
      </c>
      <c r="AN5" s="135">
        <f>Tabel424[[#This Row],[Kolom2911]]*AM$2</f>
        <v>0</v>
      </c>
      <c r="AO5" s="135">
        <f>IF(F$2="x",(_xlfn.RANK.EQ(Tabel424[[#This Row],[Kolom4]],F$5:F$35)),0)</f>
        <v>0</v>
      </c>
      <c r="AP5" s="135">
        <f>Tabel424[[#This Row],[Kolom29112]]*AO$2</f>
        <v>0</v>
      </c>
      <c r="AQ5" s="135">
        <f>IF(G$2="x",(_xlfn.RANK.EQ(Tabel424[[#This Row],[Kolom5]],G$5:G$35)),0)</f>
        <v>0</v>
      </c>
      <c r="AR5" s="135">
        <f>Tabel424[[#This Row],[Kolom29113]]*AQ$2</f>
        <v>0</v>
      </c>
      <c r="AS5" s="135">
        <f>IF(H$2="x",(_xlfn.RANK.EQ(Tabel424[[#This Row],[Kolom6]],H$5:H$35)),0)</f>
        <v>0</v>
      </c>
      <c r="AT5" s="135">
        <f>Tabel424[[#This Row],[Kolom29114]]*AS$2</f>
        <v>0</v>
      </c>
      <c r="AU5" s="135">
        <f>IF(I$2="x",(_xlfn.RANK.EQ(Tabel424[[#This Row],[Kolom62]],I$5:I$35)),0)</f>
        <v>0</v>
      </c>
      <c r="AV5" s="135">
        <f>Tabel424[[#This Row],[Kolom29115]]*AU$2</f>
        <v>0</v>
      </c>
      <c r="AW5" s="135">
        <f>IF(J$2="x",(_xlfn.RANK.EQ(Tabel424[[#This Row],[Kolom7]],J$5:J$35)),0)</f>
        <v>23</v>
      </c>
      <c r="AX5" s="135">
        <f>Tabel424[[#This Row],[Kolom29116]]*AW$2</f>
        <v>115</v>
      </c>
      <c r="AY5" s="135">
        <f>IF(K$2="x",(_xlfn.RANK.EQ(Tabel424[[#This Row],[Kolom72]],K$5:K$35)),0)</f>
        <v>0</v>
      </c>
      <c r="AZ5" s="135">
        <f>Tabel424[[#This Row],[Kolom29117]]*AY$2</f>
        <v>0</v>
      </c>
      <c r="BA5" s="135">
        <f>IF(L$2="x",(_xlfn.RANK.EQ(Tabel424[[#This Row],[Kolom8]],L$5:L$35)),0)</f>
        <v>0</v>
      </c>
      <c r="BB5" s="135">
        <f>Tabel424[[#This Row],[Kolom29118]]*BA$2</f>
        <v>0</v>
      </c>
      <c r="BC5" s="135">
        <f>IF(M$2="x",(_xlfn.RANK.EQ(Tabel424[[#This Row],[Kolom9]],M$5:M$35)),0)</f>
        <v>0</v>
      </c>
      <c r="BD5" s="135">
        <f>Tabel424[[#This Row],[Kolom29119]]*BC$2</f>
        <v>0</v>
      </c>
      <c r="BE5" s="135">
        <f>IF(N$2="x",(_xlfn.RANK.EQ(Tabel424[[#This Row],[Kolom10]],N$5:N$35)),0)</f>
        <v>0</v>
      </c>
      <c r="BF5" s="135">
        <f>Tabel424[[#This Row],[Kolom29120]]*BE$2</f>
        <v>0</v>
      </c>
      <c r="BG5" s="135">
        <f>IF(O$2="x",(_xlfn.RANK.EQ(Tabel424[[#This Row],[Kolom11]],O$5:O$35)),0)</f>
        <v>0</v>
      </c>
      <c r="BH5" s="135">
        <f>Tabel424[[#This Row],[Kolom29121]]*BG$2</f>
        <v>0</v>
      </c>
      <c r="BI5" s="135">
        <f>IF(P$2="x",(_xlfn.RANK.EQ(Tabel424[[#This Row],[Kolom12]],P$5:P$35)),0)</f>
        <v>0</v>
      </c>
      <c r="BJ5" s="135">
        <f>Tabel424[[#This Row],[Kolom29122]]*BI$2</f>
        <v>0</v>
      </c>
      <c r="BK5" s="135">
        <f>IF(Q$2="x",(_xlfn.RANK.EQ(Tabel424[[#This Row],[Kolom13]],Q$5:Q$35)),0)</f>
        <v>0</v>
      </c>
      <c r="BL5" s="135">
        <f>Tabel424[[#This Row],[Kolom29123]]*BK$2</f>
        <v>0</v>
      </c>
      <c r="BM5" s="135">
        <f>IF(R$2="x",(_xlfn.RANK.EQ(Tabel424[[#This Row],[Kolom133]],R$5:R$35)),0)</f>
        <v>0</v>
      </c>
      <c r="BN5" s="135">
        <f>Tabel424[[#This Row],[Kolom29124]]*BM$2</f>
        <v>0</v>
      </c>
      <c r="BO5" s="135">
        <f>IF(S$2="x",(_xlfn.RANK.EQ(Tabel424[[#This Row],[Kolom132]],S$5:S$35)),0)</f>
        <v>0</v>
      </c>
      <c r="BP5" s="135">
        <f>Tabel424[[#This Row],[Kolom29125]]*BO$2</f>
        <v>0</v>
      </c>
      <c r="BQ5" s="135">
        <f>IF(T$2="x",(_xlfn.RANK.EQ(Tabel424[[#This Row],[Kolom14]],T$5:T$35)),0)</f>
        <v>8</v>
      </c>
      <c r="BR5" s="135">
        <f>Tabel424[[#This Row],[Kolom29126]]*BQ$2</f>
        <v>40</v>
      </c>
      <c r="BS5" s="135">
        <f>IF(U$2="x",(_xlfn.RANK.EQ(Tabel424[[#This Row],[Kolom16]],U$5:U$35)),0)</f>
        <v>0</v>
      </c>
      <c r="BT5" s="135">
        <f>Tabel424[[#This Row],[Kolom29127]]*BS$2</f>
        <v>0</v>
      </c>
      <c r="BU5" s="135">
        <f>IF(V$2="x",(_xlfn.RANK.EQ(Tabel424[[#This Row],[Kolom173]],V$5:V$35)),0)</f>
        <v>0</v>
      </c>
      <c r="BV5" s="135">
        <f>Tabel424[[#This Row],[Kolom29128]]*BU$2</f>
        <v>0</v>
      </c>
      <c r="BW5" s="135">
        <f>IF(W$2="x",(_xlfn.RANK.EQ(Tabel424[[#This Row],[Kolom172]],W$5:W$35)),0)</f>
        <v>1</v>
      </c>
      <c r="BX5" s="135">
        <f>Tabel424[[#This Row],[Kolom29129]]*BW$2</f>
        <v>1</v>
      </c>
      <c r="BY5" s="135">
        <f>IF(X$2="x",(_xlfn.RANK.EQ(Tabel424[[#This Row],[Kolom18]],X$5:X$35)),0)</f>
        <v>0</v>
      </c>
      <c r="BZ5" s="135">
        <f>Tabel424[[#This Row],[Kolom29130]]*BY$2</f>
        <v>0</v>
      </c>
      <c r="CA5" s="135">
        <f>IF(Y$2="x",(_xlfn.RANK.EQ(Tabel424[[#This Row],[Kolom19]],Y$5:Y$35)),0)</f>
        <v>3</v>
      </c>
      <c r="CB5" s="135">
        <f>Tabel424[[#This Row],[Kolom29131]]*CA$2</f>
        <v>3</v>
      </c>
      <c r="CC5" s="135">
        <f>IF(Z$2="x",(_xlfn.RANK.EQ(Tabel424[[#This Row],[Kolom20]],Z$5:Z$35)),0)</f>
        <v>0</v>
      </c>
      <c r="CD5" s="135">
        <f>Tabel424[[#This Row],[Kolom29132]]*CC$2</f>
        <v>0</v>
      </c>
      <c r="CE5" s="135">
        <f>IF(AA$2="x",(_xlfn.RANK.EQ(Tabel424[[#This Row],[Kolom21]],AA$5:AA$35)),0)</f>
        <v>0</v>
      </c>
      <c r="CF5" s="135">
        <f>Tabel424[[#This Row],[Kolom29133]]*CE$2</f>
        <v>0</v>
      </c>
      <c r="CG5" s="135">
        <f>IF(AB$2="x",(_xlfn.RANK.EQ(Tabel424[[#This Row],[Kolom22]],AB$5:AB$35)),0)</f>
        <v>0</v>
      </c>
      <c r="CH5" s="135">
        <f>Tabel424[[#This Row],[Kolom29134]]*CG$2</f>
        <v>0</v>
      </c>
      <c r="CI5" s="135">
        <f>IF(AC$2="x",(_xlfn.RANK.EQ(Tabel424[[#This Row],[Kolom223]],AC$5:AC$35)),0)</f>
        <v>0</v>
      </c>
      <c r="CJ5" s="135">
        <f>Tabel424[[#This Row],[Kolom29135]]*CI$2</f>
        <v>0</v>
      </c>
      <c r="CK5" s="135">
        <f>IF(AD$2="x",(_xlfn.RANK.EQ(Tabel424[[#This Row],[Kolom222]],AD$5:AD$35)),0)</f>
        <v>0</v>
      </c>
      <c r="CL5" s="135">
        <f>Tabel424[[#This Row],[Kolom29136]]*CK$2</f>
        <v>0</v>
      </c>
      <c r="CM5" s="135">
        <f>COUNTIF($E$2:$AD$2,"x")</f>
        <v>4</v>
      </c>
      <c r="CN5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Row],[Kolom29130]]+CA5+Tabel424[[#This Row],[Kolom29132]]+Tabel424[[#This Row],[Kolom29133]]+Tabel424[[#This Row],[Kolom29134]]+Tabel424[[#This Row],[Kolom29135]]+Tabel424[[#This Row],[Kolom29136]])/Tabel424[[#This Row],[Kolom29137]]</f>
        <v>8.75</v>
      </c>
      <c r="CO5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Row],[Kolom291302]]+CB5+Tabel424[[#This Row],[Kolom291322]]+Tabel424[[#This Row],[Kolom291332]]+Tabel424[[#This Row],[Kolom291342]]+Tabel424[[#This Row],[Kolom291352]]+Tabel424[[#This Row],[Kolom291362]])/Tabel424[[#This Row],[Kolom29137]]</f>
        <v>39.75</v>
      </c>
      <c r="CP5" s="142">
        <f>_xlfn.RANK.EQ(Tabel424[[#This Row],[Kolom29138]],CN$5:CN$35,1)</f>
        <v>13</v>
      </c>
      <c r="CQ5" s="142">
        <f>_xlfn.RANK.EQ(Tabel424[[#This Row],[Kolom291382]],CO$5:CO$35,1)</f>
        <v>23</v>
      </c>
    </row>
    <row r="6" spans="1:95">
      <c r="B6" s="21" t="str">
        <f>'Symptomen (alle)'!A3</f>
        <v>Anchor worm (Lernaea)</v>
      </c>
      <c r="C6" s="21">
        <f>'Symptomen (alle)'!B3</f>
        <v>0</v>
      </c>
      <c r="D6" s="21" t="str">
        <f>IF(D$2="x",'Symptomen (alle)'!C3,0)</f>
        <v>x</v>
      </c>
      <c r="E6" s="21">
        <f>IF(E$2="x",'Symptomen (alle)'!D3,0)</f>
        <v>0</v>
      </c>
      <c r="F6" s="21">
        <f>IF(F$2="x",'Symptomen (alle)'!E3,0)</f>
        <v>0</v>
      </c>
      <c r="G6" s="21">
        <f>IF(G$2="x",'Symptomen (alle)'!F3,0)</f>
        <v>0</v>
      </c>
      <c r="H6" s="21">
        <f>IF(H$2="x",'Symptomen (alle)'!G3,0)</f>
        <v>0</v>
      </c>
      <c r="I6" s="21">
        <f>IF(I$2="x",'Symptomen (alle)'!H3,0)</f>
        <v>0</v>
      </c>
      <c r="J6" s="21">
        <f>IF(J$2="x",'Symptomen (alle)'!I3,0)</f>
        <v>1</v>
      </c>
      <c r="K6" s="21">
        <f>IF(K$2="x",'Symptomen (alle)'!J3,0)</f>
        <v>0</v>
      </c>
      <c r="L6" s="21">
        <f>IF(L$2="x",'Symptomen (alle)'!K3,0)</f>
        <v>0</v>
      </c>
      <c r="M6" s="21">
        <f>IF(M$2="x",'Symptomen (alle)'!L3,0)</f>
        <v>0</v>
      </c>
      <c r="N6" s="21">
        <f>IF(N$2="x",'Symptomen (alle)'!M3,0)</f>
        <v>0</v>
      </c>
      <c r="O6" s="21">
        <f>IF(O$2="x",'Symptomen (alle)'!N3,0)</f>
        <v>0</v>
      </c>
      <c r="P6" s="21">
        <f>IF(P$2="x",'Symptomen (alle)'!O3,0)</f>
        <v>0</v>
      </c>
      <c r="Q6" s="21">
        <f>IF(Q$2="x",'Symptomen (alle)'!P3,0)</f>
        <v>0</v>
      </c>
      <c r="R6" s="21">
        <f>IF(R$2="x",'Symptomen (alle)'!Q3,0)</f>
        <v>0</v>
      </c>
      <c r="S6" s="21">
        <f>IF(S$2="x",'Symptomen (alle)'!R3,0)</f>
        <v>0</v>
      </c>
      <c r="T6" s="21">
        <f>IF(T$2="x",'Symptomen (alle)'!S3,0)</f>
        <v>0</v>
      </c>
      <c r="U6" s="21">
        <f>IF(U$2="x",'Symptomen (alle)'!T3,0)</f>
        <v>0</v>
      </c>
      <c r="V6" s="21">
        <f>IF(V$2="x",'Symptomen (alle)'!U3,0)</f>
        <v>0</v>
      </c>
      <c r="W6" s="21">
        <f>IF(W$2="x",'Symptomen (alle)'!V3,0)</f>
        <v>3</v>
      </c>
      <c r="X6" s="21">
        <f>IF(X$2="x",'Symptomen (alle)'!W3,0)</f>
        <v>0</v>
      </c>
      <c r="Y6" s="21">
        <f>IF(Y$2="x",'Symptomen (alle)'!X3,0)</f>
        <v>2</v>
      </c>
      <c r="Z6" s="21">
        <f>IF(Z$2="x",'Symptomen (alle)'!Y3,0)</f>
        <v>0</v>
      </c>
      <c r="AA6" s="21">
        <f>IF(AA$2="x",'Symptomen (alle)'!Z3,0)</f>
        <v>0</v>
      </c>
      <c r="AB6" s="21">
        <f>IF(AB$2="x",'Symptomen (alle)'!AA3,0)</f>
        <v>0</v>
      </c>
      <c r="AC6" s="21">
        <f>IF(AC$2="x",'Symptomen (alle)'!AB3,0)</f>
        <v>0</v>
      </c>
      <c r="AD6" s="21">
        <f>IF(AD$2="x",'Symptomen (alle)'!AC3,0)</f>
        <v>0</v>
      </c>
      <c r="AE6" s="21">
        <f t="shared" ref="AE6:AE35" si="11">SUM(E6:AD6)</f>
        <v>6</v>
      </c>
      <c r="AF6" s="21">
        <f>HLOOKUP($B$2,ZiekteFam!$B$1:$T$32,AG6,FALSE)</f>
        <v>0</v>
      </c>
      <c r="AG6" s="32">
        <f t="shared" ref="AG6:AG35" si="12">ROW(AF6)-3</f>
        <v>3</v>
      </c>
      <c r="AH6" s="32">
        <f>SUM('Symptomen (alle)'!D3:AC3)</f>
        <v>29</v>
      </c>
      <c r="AI6" s="22">
        <f>Tabel424[[#This Row],[Kolom25]]/Tabel424[[#This Row],[Kolom28]]</f>
        <v>0.20689655172413793</v>
      </c>
      <c r="AJ6" s="22"/>
      <c r="AK6" s="22">
        <f>Tabel424[[#This Row],[Kolom29]]</f>
        <v>0.20689655172413793</v>
      </c>
      <c r="AL6" s="36">
        <f>_xlfn.RANK.EQ(Tabel424[[#This Row],[Kolom29]],$AI$5:$AI$35)</f>
        <v>7</v>
      </c>
      <c r="AM6" s="135">
        <f>IF(E$2="x",(_xlfn.RANK.EQ(Tabel424[[#This Row],[Kolom3]],E$5:E$35)),0)</f>
        <v>0</v>
      </c>
      <c r="AN6" s="135">
        <f>Tabel424[[#This Row],[Kolom2911]]*AM$2</f>
        <v>0</v>
      </c>
      <c r="AO6" s="135">
        <f>IF(F$2="x",(_xlfn.RANK.EQ(Tabel424[[#This Row],[Kolom4]],F$5:F$35)),0)</f>
        <v>0</v>
      </c>
      <c r="AP6" s="135">
        <f>Tabel424[[#This Row],[Kolom29112]]*AO$2</f>
        <v>0</v>
      </c>
      <c r="AQ6" s="135">
        <f>IF(G$2="x",(_xlfn.RANK.EQ(Tabel424[[#This Row],[Kolom5]],G$5:G$35)),0)</f>
        <v>0</v>
      </c>
      <c r="AR6" s="135">
        <f>Tabel424[[#This Row],[Kolom29113]]*AQ$2</f>
        <v>0</v>
      </c>
      <c r="AS6" s="135">
        <f>IF(H$2="x",(_xlfn.RANK.EQ(Tabel424[[#This Row],[Kolom6]],H$5:H$35)),0)</f>
        <v>0</v>
      </c>
      <c r="AT6" s="135">
        <f>Tabel424[[#This Row],[Kolom29114]]*AS$2</f>
        <v>0</v>
      </c>
      <c r="AU6" s="135">
        <f>IF(I$2="x",(_xlfn.RANK.EQ(Tabel424[[#This Row],[Kolom62]],I$5:I$35)),0)</f>
        <v>0</v>
      </c>
      <c r="AV6" s="135">
        <f>Tabel424[[#This Row],[Kolom29115]]*AU$2</f>
        <v>0</v>
      </c>
      <c r="AW6" s="135">
        <f>IF(J$2="x",(_xlfn.RANK.EQ(Tabel424[[#This Row],[Kolom7]],J$5:J$35)),0)</f>
        <v>16</v>
      </c>
      <c r="AX6" s="135">
        <f>Tabel424[[#This Row],[Kolom29116]]*AW$2</f>
        <v>80</v>
      </c>
      <c r="AY6" s="135">
        <f>IF(K$2="x",(_xlfn.RANK.EQ(Tabel424[[#This Row],[Kolom72]],K$5:K$35)),0)</f>
        <v>0</v>
      </c>
      <c r="AZ6" s="135">
        <f>Tabel424[[#This Row],[Kolom29117]]*AY$2</f>
        <v>0</v>
      </c>
      <c r="BA6" s="135">
        <f>IF(L$2="x",(_xlfn.RANK.EQ(Tabel424[[#This Row],[Kolom8]],L$5:L$35)),0)</f>
        <v>0</v>
      </c>
      <c r="BB6" s="135">
        <f>Tabel424[[#This Row],[Kolom29118]]*BA$2</f>
        <v>0</v>
      </c>
      <c r="BC6" s="135">
        <f>IF(M$2="x",(_xlfn.RANK.EQ(Tabel424[[#This Row],[Kolom9]],M$5:M$35)),0)</f>
        <v>0</v>
      </c>
      <c r="BD6" s="135">
        <f>Tabel424[[#This Row],[Kolom29119]]*BC$2</f>
        <v>0</v>
      </c>
      <c r="BE6" s="135">
        <f>IF(N$2="x",(_xlfn.RANK.EQ(Tabel424[[#This Row],[Kolom10]],N$5:N$35)),0)</f>
        <v>0</v>
      </c>
      <c r="BF6" s="135">
        <f>Tabel424[[#This Row],[Kolom29120]]*BE$2</f>
        <v>0</v>
      </c>
      <c r="BG6" s="135">
        <f>IF(O$2="x",(_xlfn.RANK.EQ(Tabel424[[#This Row],[Kolom11]],O$5:O$35)),0)</f>
        <v>0</v>
      </c>
      <c r="BH6" s="135">
        <f>Tabel424[[#This Row],[Kolom29121]]*BG$2</f>
        <v>0</v>
      </c>
      <c r="BI6" s="135">
        <f>IF(P$2="x",(_xlfn.RANK.EQ(Tabel424[[#This Row],[Kolom12]],P$5:P$35)),0)</f>
        <v>0</v>
      </c>
      <c r="BJ6" s="135">
        <f>Tabel424[[#This Row],[Kolom29122]]*BI$2</f>
        <v>0</v>
      </c>
      <c r="BK6" s="135">
        <f>IF(Q$2="x",(_xlfn.RANK.EQ(Tabel424[[#This Row],[Kolom13]],Q$5:Q$35)),0)</f>
        <v>0</v>
      </c>
      <c r="BL6" s="135">
        <f>Tabel424[[#This Row],[Kolom29123]]*BK$2</f>
        <v>0</v>
      </c>
      <c r="BM6" s="135">
        <f>IF(R$2="x",(_xlfn.RANK.EQ(Tabel424[[#This Row],[Kolom133]],R$5:R$35)),0)</f>
        <v>0</v>
      </c>
      <c r="BN6" s="135">
        <f>Tabel424[[#This Row],[Kolom29124]]*BM$2</f>
        <v>0</v>
      </c>
      <c r="BO6" s="135">
        <f>IF(S$2="x",(_xlfn.RANK.EQ(Tabel424[[#This Row],[Kolom132]],S$5:S$35)),0)</f>
        <v>0</v>
      </c>
      <c r="BP6" s="135">
        <f>Tabel424[[#This Row],[Kolom29125]]*BO$2</f>
        <v>0</v>
      </c>
      <c r="BQ6" s="135">
        <f>IF(T$2="x",(_xlfn.RANK.EQ(Tabel424[[#This Row],[Kolom14]],T$5:T$35)),0)</f>
        <v>8</v>
      </c>
      <c r="BR6" s="135">
        <f>Tabel424[[#This Row],[Kolom29126]]*BQ$2</f>
        <v>40</v>
      </c>
      <c r="BS6" s="135">
        <f>IF(U$2="x",(_xlfn.RANK.EQ(Tabel424[[#This Row],[Kolom16]],U$5:U$35)),0)</f>
        <v>0</v>
      </c>
      <c r="BT6" s="135">
        <f>Tabel424[[#This Row],[Kolom29127]]*BS$2</f>
        <v>0</v>
      </c>
      <c r="BU6" s="135">
        <f>IF(V$2="x",(_xlfn.RANK.EQ(Tabel424[[#This Row],[Kolom173]],V$5:V$35)),0)</f>
        <v>0</v>
      </c>
      <c r="BV6" s="135">
        <f>Tabel424[[#This Row],[Kolom29128]]*BU$2</f>
        <v>0</v>
      </c>
      <c r="BW6" s="135">
        <f>IF(W$2="x",(_xlfn.RANK.EQ(Tabel424[[#This Row],[Kolom172]],W$5:W$35)),0)</f>
        <v>1</v>
      </c>
      <c r="BX6" s="135">
        <f>Tabel424[[#This Row],[Kolom29129]]*BW$2</f>
        <v>1</v>
      </c>
      <c r="BY6" s="135">
        <f>IF(X$2="x",(_xlfn.RANK.EQ(Tabel424[[#This Row],[Kolom18]],X$5:X$35)),0)</f>
        <v>0</v>
      </c>
      <c r="BZ6" s="135">
        <f>Tabel424[[#This Row],[Kolom29130]]*BY$2</f>
        <v>0</v>
      </c>
      <c r="CA6" s="135">
        <f>IF(Y$2="x",(_xlfn.RANK.EQ(Tabel424[[#This Row],[Kolom19]],Y$5:Y$35)),0)</f>
        <v>3</v>
      </c>
      <c r="CB6" s="135">
        <f>Tabel424[[#This Row],[Kolom29131]]*CA$2</f>
        <v>3</v>
      </c>
      <c r="CC6" s="135">
        <f>IF(Z$2="x",(_xlfn.RANK.EQ(Tabel424[[#This Row],[Kolom20]],Z$5:Z$35)),0)</f>
        <v>0</v>
      </c>
      <c r="CD6" s="135">
        <f>Tabel424[[#This Row],[Kolom29132]]*CC$2</f>
        <v>0</v>
      </c>
      <c r="CE6" s="135">
        <f>IF(AA$2="x",(_xlfn.RANK.EQ(Tabel424[[#This Row],[Kolom21]],AA$5:AA$35)),0)</f>
        <v>0</v>
      </c>
      <c r="CF6" s="135">
        <f>Tabel424[[#This Row],[Kolom29133]]*CE$2</f>
        <v>0</v>
      </c>
      <c r="CG6" s="135">
        <f>IF(AB$2="x",(_xlfn.RANK.EQ(Tabel424[[#This Row],[Kolom22]],AB$5:AB$35)),0)</f>
        <v>0</v>
      </c>
      <c r="CH6" s="135">
        <f>Tabel424[[#This Row],[Kolom29134]]*CG$2</f>
        <v>0</v>
      </c>
      <c r="CI6" s="135">
        <f>IF(AC$2="x",(_xlfn.RANK.EQ(Tabel424[[#This Row],[Kolom223]],AC$5:AC$35)),0)</f>
        <v>0</v>
      </c>
      <c r="CJ6" s="135">
        <f>Tabel424[[#This Row],[Kolom29135]]*CI$2</f>
        <v>0</v>
      </c>
      <c r="CK6" s="135">
        <f>IF(AD$2="x",(_xlfn.RANK.EQ(Tabel424[[#This Row],[Kolom222]],AD$5:AD$35)),0)</f>
        <v>0</v>
      </c>
      <c r="CL6" s="135">
        <f>Tabel424[[#This Row],[Kolom29136]]*CK$2</f>
        <v>0</v>
      </c>
      <c r="CM6" s="135">
        <f t="shared" ref="CM6:CM35" si="13">COUNTIF($E$2:$AD$2,"x")</f>
        <v>4</v>
      </c>
      <c r="CN6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Row],[Kolom29130]]+CA6+Tabel424[[#This Row],[Kolom29132]]+Tabel424[[#This Row],[Kolom29133]]+Tabel424[[#This Row],[Kolom29134]]+Tabel424[[#This Row],[Kolom29135]]+Tabel424[[#This Row],[Kolom29136]])/Tabel424[[#This Row],[Kolom29137]]</f>
        <v>7</v>
      </c>
      <c r="CO6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Row],[Kolom291302]]+CB6+Tabel424[[#This Row],[Kolom291322]]+Tabel424[[#This Row],[Kolom291332]]+Tabel424[[#This Row],[Kolom291342]]+Tabel424[[#This Row],[Kolom291352]]+Tabel424[[#This Row],[Kolom291362]])/Tabel424[[#This Row],[Kolom29137]]</f>
        <v>31</v>
      </c>
      <c r="CP6" s="142">
        <f>_xlfn.RANK.EQ(Tabel424[[#This Row],[Kolom29138]],CN$5:CN$35,1)</f>
        <v>7</v>
      </c>
      <c r="CQ6" s="142">
        <f>_xlfn.RANK.EQ(Tabel424[[#This Row],[Kolom291382]],CO$5:CO$35,1)</f>
        <v>16</v>
      </c>
    </row>
    <row r="7" spans="1:95">
      <c r="B7" s="21" t="str">
        <f>'Symptomen (alle)'!A4</f>
        <v>Camallanus</v>
      </c>
      <c r="C7" s="21">
        <f>'Symptomen (alle)'!B4</f>
        <v>0</v>
      </c>
      <c r="D7" s="21" t="str">
        <f>IF(D$2="x",'Symptomen (alle)'!C4,0)</f>
        <v>x</v>
      </c>
      <c r="E7" s="21">
        <f>IF(E$2="x",'Symptomen (alle)'!D4,0)</f>
        <v>0</v>
      </c>
      <c r="F7" s="21">
        <f>IF(F$2="x",'Symptomen (alle)'!E4,0)</f>
        <v>0</v>
      </c>
      <c r="G7" s="21">
        <f>IF(G$2="x",'Symptomen (alle)'!F4,0)</f>
        <v>0</v>
      </c>
      <c r="H7" s="21">
        <f>IF(H$2="x",'Symptomen (alle)'!G4,0)</f>
        <v>0</v>
      </c>
      <c r="I7" s="21">
        <f>IF(I$2="x",'Symptomen (alle)'!H4,0)</f>
        <v>0</v>
      </c>
      <c r="J7" s="21">
        <f>IF(J$2="x",'Symptomen (alle)'!I4,0)</f>
        <v>0</v>
      </c>
      <c r="K7" s="21">
        <f>IF(K$2="x",'Symptomen (alle)'!J4,0)</f>
        <v>0</v>
      </c>
      <c r="L7" s="21">
        <f>IF(L$2="x",'Symptomen (alle)'!K4,0)</f>
        <v>0</v>
      </c>
      <c r="M7" s="21">
        <f>IF(M$2="x",'Symptomen (alle)'!L4,0)</f>
        <v>0</v>
      </c>
      <c r="N7" s="21">
        <f>IF(N$2="x",'Symptomen (alle)'!M4,0)</f>
        <v>0</v>
      </c>
      <c r="O7" s="21">
        <f>IF(O$2="x",'Symptomen (alle)'!N4,0)</f>
        <v>0</v>
      </c>
      <c r="P7" s="21">
        <f>IF(P$2="x",'Symptomen (alle)'!O4,0)</f>
        <v>0</v>
      </c>
      <c r="Q7" s="21">
        <f>IF(Q$2="x",'Symptomen (alle)'!P4,0)</f>
        <v>0</v>
      </c>
      <c r="R7" s="21">
        <f>IF(R$2="x",'Symptomen (alle)'!Q4,0)</f>
        <v>0</v>
      </c>
      <c r="S7" s="21">
        <f>IF(S$2="x",'Symptomen (alle)'!R4,0)</f>
        <v>0</v>
      </c>
      <c r="T7" s="21">
        <f>IF(T$2="x",'Symptomen (alle)'!S4,0)</f>
        <v>0</v>
      </c>
      <c r="U7" s="21">
        <f>IF(U$2="x",'Symptomen (alle)'!T4,0)</f>
        <v>0</v>
      </c>
      <c r="V7" s="21">
        <f>IF(V$2="x",'Symptomen (alle)'!U4,0)</f>
        <v>0</v>
      </c>
      <c r="W7" s="21">
        <f>IF(W$2="x",'Symptomen (alle)'!V4,0)</f>
        <v>0</v>
      </c>
      <c r="X7" s="21">
        <f>IF(X$2="x",'Symptomen (alle)'!W4,0)</f>
        <v>0</v>
      </c>
      <c r="Y7" s="21">
        <f>IF(Y$2="x",'Symptomen (alle)'!X4,0)</f>
        <v>0</v>
      </c>
      <c r="Z7" s="21">
        <f>IF(Z$2="x",'Symptomen (alle)'!Y4,0)</f>
        <v>0</v>
      </c>
      <c r="AA7" s="21">
        <f>IF(AA$2="x",'Symptomen (alle)'!Z4,0)</f>
        <v>0</v>
      </c>
      <c r="AB7" s="21">
        <f>IF(AB$2="x",'Symptomen (alle)'!AA4,0)</f>
        <v>0</v>
      </c>
      <c r="AC7" s="21">
        <f>IF(AC$2="x",'Symptomen (alle)'!AB4,0)</f>
        <v>0</v>
      </c>
      <c r="AD7" s="21">
        <f>IF(AD$2="x",'Symptomen (alle)'!AC4,0)</f>
        <v>0</v>
      </c>
      <c r="AE7" s="21">
        <f t="shared" si="11"/>
        <v>0</v>
      </c>
      <c r="AF7" s="21">
        <f>HLOOKUP($B$2,ZiekteFam!$B$1:$T$32,AG7,FALSE)</f>
        <v>3</v>
      </c>
      <c r="AG7" s="32">
        <f t="shared" si="12"/>
        <v>4</v>
      </c>
      <c r="AH7" s="32">
        <f>SUM('Symptomen (alle)'!D4:AC4)</f>
        <v>18</v>
      </c>
      <c r="AI7" s="22">
        <f>Tabel424[[#This Row],[Kolom25]]/Tabel424[[#This Row],[Kolom28]]</f>
        <v>0</v>
      </c>
      <c r="AJ7" s="22"/>
      <c r="AK7" s="22">
        <f>Tabel424[[#This Row],[Kolom29]]</f>
        <v>0</v>
      </c>
      <c r="AL7" s="36">
        <f>_xlfn.RANK.EQ(Tabel424[[#This Row],[Kolom29]],$AI$5:$AI$35)</f>
        <v>27</v>
      </c>
      <c r="AM7" s="135">
        <f>IF(E$2="x",(_xlfn.RANK.EQ(Tabel424[[#This Row],[Kolom3]],E$5:E$35)),0)</f>
        <v>0</v>
      </c>
      <c r="AN7" s="135">
        <f>Tabel424[[#This Row],[Kolom2911]]*AM$2</f>
        <v>0</v>
      </c>
      <c r="AO7" s="135">
        <f>IF(F$2="x",(_xlfn.RANK.EQ(Tabel424[[#This Row],[Kolom4]],F$5:F$35)),0)</f>
        <v>0</v>
      </c>
      <c r="AP7" s="135">
        <f>Tabel424[[#This Row],[Kolom29112]]*AO$2</f>
        <v>0</v>
      </c>
      <c r="AQ7" s="135">
        <f>IF(G$2="x",(_xlfn.RANK.EQ(Tabel424[[#This Row],[Kolom5]],G$5:G$35)),0)</f>
        <v>0</v>
      </c>
      <c r="AR7" s="135">
        <f>Tabel424[[#This Row],[Kolom29113]]*AQ$2</f>
        <v>0</v>
      </c>
      <c r="AS7" s="135">
        <f>IF(H$2="x",(_xlfn.RANK.EQ(Tabel424[[#This Row],[Kolom6]],H$5:H$35)),0)</f>
        <v>0</v>
      </c>
      <c r="AT7" s="135">
        <f>Tabel424[[#This Row],[Kolom29114]]*AS$2</f>
        <v>0</v>
      </c>
      <c r="AU7" s="135">
        <f>IF(I$2="x",(_xlfn.RANK.EQ(Tabel424[[#This Row],[Kolom62]],I$5:I$35)),0)</f>
        <v>0</v>
      </c>
      <c r="AV7" s="135">
        <f>Tabel424[[#This Row],[Kolom29115]]*AU$2</f>
        <v>0</v>
      </c>
      <c r="AW7" s="135">
        <f>IF(J$2="x",(_xlfn.RANK.EQ(Tabel424[[#This Row],[Kolom7]],J$5:J$35)),0)</f>
        <v>23</v>
      </c>
      <c r="AX7" s="135">
        <f>Tabel424[[#This Row],[Kolom29116]]*AW$2</f>
        <v>115</v>
      </c>
      <c r="AY7" s="135">
        <f>IF(K$2="x",(_xlfn.RANK.EQ(Tabel424[[#This Row],[Kolom72]],K$5:K$35)),0)</f>
        <v>0</v>
      </c>
      <c r="AZ7" s="135">
        <f>Tabel424[[#This Row],[Kolom29117]]*AY$2</f>
        <v>0</v>
      </c>
      <c r="BA7" s="135">
        <f>IF(L$2="x",(_xlfn.RANK.EQ(Tabel424[[#This Row],[Kolom8]],L$5:L$35)),0)</f>
        <v>0</v>
      </c>
      <c r="BB7" s="135">
        <f>Tabel424[[#This Row],[Kolom29118]]*BA$2</f>
        <v>0</v>
      </c>
      <c r="BC7" s="135">
        <f>IF(M$2="x",(_xlfn.RANK.EQ(Tabel424[[#This Row],[Kolom9]],M$5:M$35)),0)</f>
        <v>0</v>
      </c>
      <c r="BD7" s="135">
        <f>Tabel424[[#This Row],[Kolom29119]]*BC$2</f>
        <v>0</v>
      </c>
      <c r="BE7" s="135">
        <f>IF(N$2="x",(_xlfn.RANK.EQ(Tabel424[[#This Row],[Kolom10]],N$5:N$35)),0)</f>
        <v>0</v>
      </c>
      <c r="BF7" s="135">
        <f>Tabel424[[#This Row],[Kolom29120]]*BE$2</f>
        <v>0</v>
      </c>
      <c r="BG7" s="135">
        <f>IF(O$2="x",(_xlfn.RANK.EQ(Tabel424[[#This Row],[Kolom11]],O$5:O$35)),0)</f>
        <v>0</v>
      </c>
      <c r="BH7" s="135">
        <f>Tabel424[[#This Row],[Kolom29121]]*BG$2</f>
        <v>0</v>
      </c>
      <c r="BI7" s="135">
        <f>IF(P$2="x",(_xlfn.RANK.EQ(Tabel424[[#This Row],[Kolom12]],P$5:P$35)),0)</f>
        <v>0</v>
      </c>
      <c r="BJ7" s="135">
        <f>Tabel424[[#This Row],[Kolom29122]]*BI$2</f>
        <v>0</v>
      </c>
      <c r="BK7" s="135">
        <f>IF(Q$2="x",(_xlfn.RANK.EQ(Tabel424[[#This Row],[Kolom13]],Q$5:Q$35)),0)</f>
        <v>0</v>
      </c>
      <c r="BL7" s="135">
        <f>Tabel424[[#This Row],[Kolom29123]]*BK$2</f>
        <v>0</v>
      </c>
      <c r="BM7" s="135">
        <f>IF(R$2="x",(_xlfn.RANK.EQ(Tabel424[[#This Row],[Kolom133]],R$5:R$35)),0)</f>
        <v>0</v>
      </c>
      <c r="BN7" s="135">
        <f>Tabel424[[#This Row],[Kolom29124]]*BM$2</f>
        <v>0</v>
      </c>
      <c r="BO7" s="135">
        <f>IF(S$2="x",(_xlfn.RANK.EQ(Tabel424[[#This Row],[Kolom132]],S$5:S$35)),0)</f>
        <v>0</v>
      </c>
      <c r="BP7" s="135">
        <f>Tabel424[[#This Row],[Kolom29125]]*BO$2</f>
        <v>0</v>
      </c>
      <c r="BQ7" s="135">
        <f>IF(T$2="x",(_xlfn.RANK.EQ(Tabel424[[#This Row],[Kolom14]],T$5:T$35)),0)</f>
        <v>8</v>
      </c>
      <c r="BR7" s="135">
        <f>Tabel424[[#This Row],[Kolom29126]]*BQ$2</f>
        <v>40</v>
      </c>
      <c r="BS7" s="135">
        <f>IF(U$2="x",(_xlfn.RANK.EQ(Tabel424[[#This Row],[Kolom16]],U$5:U$35)),0)</f>
        <v>0</v>
      </c>
      <c r="BT7" s="135">
        <f>Tabel424[[#This Row],[Kolom29127]]*BS$2</f>
        <v>0</v>
      </c>
      <c r="BU7" s="135">
        <f>IF(V$2="x",(_xlfn.RANK.EQ(Tabel424[[#This Row],[Kolom173]],V$5:V$35)),0)</f>
        <v>0</v>
      </c>
      <c r="BV7" s="135">
        <f>Tabel424[[#This Row],[Kolom29128]]*BU$2</f>
        <v>0</v>
      </c>
      <c r="BW7" s="135">
        <f>IF(W$2="x",(_xlfn.RANK.EQ(Tabel424[[#This Row],[Kolom172]],W$5:W$35)),0)</f>
        <v>14</v>
      </c>
      <c r="BX7" s="135">
        <f>Tabel424[[#This Row],[Kolom29129]]*BW$2</f>
        <v>14</v>
      </c>
      <c r="BY7" s="135">
        <f>IF(X$2="x",(_xlfn.RANK.EQ(Tabel424[[#This Row],[Kolom18]],X$5:X$35)),0)</f>
        <v>0</v>
      </c>
      <c r="BZ7" s="135">
        <f>Tabel424[[#This Row],[Kolom29130]]*BY$2</f>
        <v>0</v>
      </c>
      <c r="CA7" s="135">
        <f>IF(Y$2="x",(_xlfn.RANK.EQ(Tabel424[[#This Row],[Kolom19]],Y$5:Y$35)),0)</f>
        <v>11</v>
      </c>
      <c r="CB7" s="135">
        <f>Tabel424[[#This Row],[Kolom29131]]*CA$2</f>
        <v>11</v>
      </c>
      <c r="CC7" s="135">
        <f>IF(Z$2="x",(_xlfn.RANK.EQ(Tabel424[[#This Row],[Kolom20]],Z$5:Z$35)),0)</f>
        <v>0</v>
      </c>
      <c r="CD7" s="135">
        <f>Tabel424[[#This Row],[Kolom29132]]*CC$2</f>
        <v>0</v>
      </c>
      <c r="CE7" s="135">
        <f>IF(AA$2="x",(_xlfn.RANK.EQ(Tabel424[[#This Row],[Kolom21]],AA$5:AA$35)),0)</f>
        <v>0</v>
      </c>
      <c r="CF7" s="135">
        <f>Tabel424[[#This Row],[Kolom29133]]*CE$2</f>
        <v>0</v>
      </c>
      <c r="CG7" s="135">
        <f>IF(AB$2="x",(_xlfn.RANK.EQ(Tabel424[[#This Row],[Kolom22]],AB$5:AB$35)),0)</f>
        <v>0</v>
      </c>
      <c r="CH7" s="135">
        <f>Tabel424[[#This Row],[Kolom29134]]*CG$2</f>
        <v>0</v>
      </c>
      <c r="CI7" s="135">
        <f>IF(AC$2="x",(_xlfn.RANK.EQ(Tabel424[[#This Row],[Kolom223]],AC$5:AC$35)),0)</f>
        <v>0</v>
      </c>
      <c r="CJ7" s="135">
        <f>Tabel424[[#This Row],[Kolom29135]]*CI$2</f>
        <v>0</v>
      </c>
      <c r="CK7" s="135">
        <f>IF(AD$2="x",(_xlfn.RANK.EQ(Tabel424[[#This Row],[Kolom222]],AD$5:AD$35)),0)</f>
        <v>0</v>
      </c>
      <c r="CL7" s="135">
        <f>Tabel424[[#This Row],[Kolom29136]]*CK$2</f>
        <v>0</v>
      </c>
      <c r="CM7" s="135">
        <f t="shared" si="13"/>
        <v>4</v>
      </c>
      <c r="CN7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Row],[Kolom29130]]+CA7+Tabel424[[#This Row],[Kolom29132]]+Tabel424[[#This Row],[Kolom29133]]+Tabel424[[#This Row],[Kolom29134]]+Tabel424[[#This Row],[Kolom29135]]+Tabel424[[#This Row],[Kolom29136]])/Tabel424[[#This Row],[Kolom29137]]</f>
        <v>14</v>
      </c>
      <c r="CO7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Row],[Kolom291302]]+CB7+Tabel424[[#This Row],[Kolom291322]]+Tabel424[[#This Row],[Kolom291332]]+Tabel424[[#This Row],[Kolom291342]]+Tabel424[[#This Row],[Kolom291352]]+Tabel424[[#This Row],[Kolom291362]])/Tabel424[[#This Row],[Kolom29137]]</f>
        <v>45</v>
      </c>
      <c r="CP7" s="142">
        <f>_xlfn.RANK.EQ(Tabel424[[#This Row],[Kolom29138]],CN$5:CN$35,1)</f>
        <v>27</v>
      </c>
      <c r="CQ7" s="142">
        <f>_xlfn.RANK.EQ(Tabel424[[#This Row],[Kolom291382]],CO$5:CO$35,1)</f>
        <v>27</v>
      </c>
    </row>
    <row r="8" spans="1:95">
      <c r="B8" s="21" t="str">
        <f>'Symptomen (alle)'!A5</f>
        <v>Worms Internal/Camallanus/Capillaria/Nematode/other worms</v>
      </c>
      <c r="C8">
        <f>'Symptomen (alle)'!B5</f>
        <v>0</v>
      </c>
      <c r="D8" s="21">
        <f>IF(D$2="x",'Symptomen (alle)'!C5,0)</f>
        <v>0</v>
      </c>
      <c r="E8" s="21">
        <f>IF(E$2="x",'Symptomen (alle)'!D5,0)</f>
        <v>0</v>
      </c>
      <c r="F8" s="21">
        <f>IF(F$2="x",'Symptomen (alle)'!E5,0)</f>
        <v>0</v>
      </c>
      <c r="G8" s="21">
        <f>IF(G$2="x",'Symptomen (alle)'!F5,0)</f>
        <v>0</v>
      </c>
      <c r="H8" s="21">
        <f>IF(H$2="x",'Symptomen (alle)'!G5,0)</f>
        <v>0</v>
      </c>
      <c r="I8" s="21">
        <f>IF(I$2="x",'Symptomen (alle)'!H5,0)</f>
        <v>0</v>
      </c>
      <c r="J8" s="21">
        <f>IF(J$2="x",'Symptomen (alle)'!I5,0)</f>
        <v>0</v>
      </c>
      <c r="K8" s="21">
        <f>IF(K$2="x",'Symptomen (alle)'!J5,0)</f>
        <v>0</v>
      </c>
      <c r="L8" s="21">
        <f>IF(L$2="x",'Symptomen (alle)'!K5,0)</f>
        <v>0</v>
      </c>
      <c r="M8" s="21">
        <f>IF(M$2="x",'Symptomen (alle)'!L5,0)</f>
        <v>0</v>
      </c>
      <c r="N8" s="21">
        <f>IF(N$2="x",'Symptomen (alle)'!M5,0)</f>
        <v>0</v>
      </c>
      <c r="O8" s="21">
        <f>IF(O$2="x",'Symptomen (alle)'!N5,0)</f>
        <v>0</v>
      </c>
      <c r="P8" s="21">
        <f>IF(P$2="x",'Symptomen (alle)'!O5,0)</f>
        <v>0</v>
      </c>
      <c r="Q8" s="21">
        <f>IF(Q$2="x",'Symptomen (alle)'!P5,0)</f>
        <v>0</v>
      </c>
      <c r="R8" s="21">
        <f>IF(R$2="x",'Symptomen (alle)'!Q5,0)</f>
        <v>0</v>
      </c>
      <c r="S8" s="21">
        <f>IF(S$2="x",'Symptomen (alle)'!R5,0)</f>
        <v>0</v>
      </c>
      <c r="T8" s="21">
        <f>IF(T$2="x",'Symptomen (alle)'!S5,0)</f>
        <v>0</v>
      </c>
      <c r="U8" s="21">
        <f>IF(U$2="x",'Symptomen (alle)'!T5,0)</f>
        <v>0</v>
      </c>
      <c r="V8" s="21">
        <f>IF(V$2="x",'Symptomen (alle)'!U5,0)</f>
        <v>0</v>
      </c>
      <c r="W8" s="21">
        <f>IF(W$2="x",'Symptomen (alle)'!V5,0)</f>
        <v>0</v>
      </c>
      <c r="X8" s="21">
        <f>IF(X$2="x",'Symptomen (alle)'!W5,0)</f>
        <v>0</v>
      </c>
      <c r="Y8" s="21">
        <f>IF(Y$2="x",'Symptomen (alle)'!X5,0)</f>
        <v>0</v>
      </c>
      <c r="Z8" s="21">
        <f>IF(Z$2="x",'Symptomen (alle)'!Y5,0)</f>
        <v>0</v>
      </c>
      <c r="AA8" s="21">
        <f>IF(AA$2="x",'Symptomen (alle)'!Z5,0)</f>
        <v>0</v>
      </c>
      <c r="AB8" s="21">
        <f>IF(AB$2="x",'Symptomen (alle)'!AA5,0)</f>
        <v>0</v>
      </c>
      <c r="AC8" s="21">
        <f>IF(AC$2="x",'Symptomen (alle)'!AB5,0)</f>
        <v>0</v>
      </c>
      <c r="AD8" s="21">
        <f>IF(AD$2="x",'Symptomen (alle)'!AC5,0)</f>
        <v>0</v>
      </c>
      <c r="AE8" s="21">
        <f t="shared" si="11"/>
        <v>0</v>
      </c>
      <c r="AF8" s="21">
        <f>HLOOKUP($B$2,ZiekteFam!$B$1:$T$32,AG8,FALSE)</f>
        <v>3</v>
      </c>
      <c r="AG8" s="32">
        <f t="shared" si="12"/>
        <v>5</v>
      </c>
      <c r="AH8" s="32">
        <f>SUM('Symptomen (alle)'!D5:AC5)</f>
        <v>15</v>
      </c>
      <c r="AI8" s="22">
        <f>Tabel424[[#This Row],[Kolom25]]/Tabel424[[#This Row],[Kolom28]]</f>
        <v>0</v>
      </c>
      <c r="AJ8" s="22"/>
      <c r="AK8" s="22">
        <f>Tabel424[[#This Row],[Kolom29]]</f>
        <v>0</v>
      </c>
      <c r="AL8" s="36">
        <f>_xlfn.RANK.EQ(Tabel424[[#This Row],[Kolom29]],$AI$5:$AI$35)</f>
        <v>27</v>
      </c>
      <c r="AM8" s="135">
        <f>IF(E$2="x",(_xlfn.RANK.EQ(Tabel424[[#This Row],[Kolom3]],E$5:E$35)),0)</f>
        <v>0</v>
      </c>
      <c r="AN8" s="135">
        <f>Tabel424[[#This Row],[Kolom2911]]*AM$2</f>
        <v>0</v>
      </c>
      <c r="AO8" s="135">
        <f>IF(F$2="x",(_xlfn.RANK.EQ(Tabel424[[#This Row],[Kolom4]],F$5:F$35)),0)</f>
        <v>0</v>
      </c>
      <c r="AP8" s="135">
        <f>Tabel424[[#This Row],[Kolom29112]]*AO$2</f>
        <v>0</v>
      </c>
      <c r="AQ8" s="135">
        <f>IF(G$2="x",(_xlfn.RANK.EQ(Tabel424[[#This Row],[Kolom5]],G$5:G$35)),0)</f>
        <v>0</v>
      </c>
      <c r="AR8" s="135">
        <f>Tabel424[[#This Row],[Kolom29113]]*AQ$2</f>
        <v>0</v>
      </c>
      <c r="AS8" s="135">
        <f>IF(H$2="x",(_xlfn.RANK.EQ(Tabel424[[#This Row],[Kolom6]],H$5:H$35)),0)</f>
        <v>0</v>
      </c>
      <c r="AT8" s="135">
        <f>Tabel424[[#This Row],[Kolom29114]]*AS$2</f>
        <v>0</v>
      </c>
      <c r="AU8" s="135">
        <f>IF(I$2="x",(_xlfn.RANK.EQ(Tabel424[[#This Row],[Kolom62]],I$5:I$35)),0)</f>
        <v>0</v>
      </c>
      <c r="AV8" s="135">
        <f>Tabel424[[#This Row],[Kolom29115]]*AU$2</f>
        <v>0</v>
      </c>
      <c r="AW8" s="135">
        <f>IF(J$2="x",(_xlfn.RANK.EQ(Tabel424[[#This Row],[Kolom7]],J$5:J$35)),0)</f>
        <v>23</v>
      </c>
      <c r="AX8" s="135">
        <f>Tabel424[[#This Row],[Kolom29116]]*AW$2</f>
        <v>115</v>
      </c>
      <c r="AY8" s="135">
        <f>IF(K$2="x",(_xlfn.RANK.EQ(Tabel424[[#This Row],[Kolom72]],K$5:K$35)),0)</f>
        <v>0</v>
      </c>
      <c r="AZ8" s="135">
        <f>Tabel424[[#This Row],[Kolom29117]]*AY$2</f>
        <v>0</v>
      </c>
      <c r="BA8" s="135">
        <f>IF(L$2="x",(_xlfn.RANK.EQ(Tabel424[[#This Row],[Kolom8]],L$5:L$35)),0)</f>
        <v>0</v>
      </c>
      <c r="BB8" s="135">
        <f>Tabel424[[#This Row],[Kolom29118]]*BA$2</f>
        <v>0</v>
      </c>
      <c r="BC8" s="135">
        <f>IF(M$2="x",(_xlfn.RANK.EQ(Tabel424[[#This Row],[Kolom9]],M$5:M$35)),0)</f>
        <v>0</v>
      </c>
      <c r="BD8" s="135">
        <f>Tabel424[[#This Row],[Kolom29119]]*BC$2</f>
        <v>0</v>
      </c>
      <c r="BE8" s="135">
        <f>IF(N$2="x",(_xlfn.RANK.EQ(Tabel424[[#This Row],[Kolom10]],N$5:N$35)),0)</f>
        <v>0</v>
      </c>
      <c r="BF8" s="135">
        <f>Tabel424[[#This Row],[Kolom29120]]*BE$2</f>
        <v>0</v>
      </c>
      <c r="BG8" s="135">
        <f>IF(O$2="x",(_xlfn.RANK.EQ(Tabel424[[#This Row],[Kolom11]],O$5:O$35)),0)</f>
        <v>0</v>
      </c>
      <c r="BH8" s="135">
        <f>Tabel424[[#This Row],[Kolom29121]]*BG$2</f>
        <v>0</v>
      </c>
      <c r="BI8" s="135">
        <f>IF(P$2="x",(_xlfn.RANK.EQ(Tabel424[[#This Row],[Kolom12]],P$5:P$35)),0)</f>
        <v>0</v>
      </c>
      <c r="BJ8" s="135">
        <f>Tabel424[[#This Row],[Kolom29122]]*BI$2</f>
        <v>0</v>
      </c>
      <c r="BK8" s="135">
        <f>IF(Q$2="x",(_xlfn.RANK.EQ(Tabel424[[#This Row],[Kolom13]],Q$5:Q$35)),0)</f>
        <v>0</v>
      </c>
      <c r="BL8" s="135">
        <f>Tabel424[[#This Row],[Kolom29123]]*BK$2</f>
        <v>0</v>
      </c>
      <c r="BM8" s="135">
        <f>IF(R$2="x",(_xlfn.RANK.EQ(Tabel424[[#This Row],[Kolom133]],R$5:R$35)),0)</f>
        <v>0</v>
      </c>
      <c r="BN8" s="135">
        <f>Tabel424[[#This Row],[Kolom29124]]*BM$2</f>
        <v>0</v>
      </c>
      <c r="BO8" s="135">
        <f>IF(S$2="x",(_xlfn.RANK.EQ(Tabel424[[#This Row],[Kolom132]],S$5:S$35)),0)</f>
        <v>0</v>
      </c>
      <c r="BP8" s="135">
        <f>Tabel424[[#This Row],[Kolom29125]]*BO$2</f>
        <v>0</v>
      </c>
      <c r="BQ8" s="135">
        <f>IF(T$2="x",(_xlfn.RANK.EQ(Tabel424[[#This Row],[Kolom14]],T$5:T$35)),0)</f>
        <v>8</v>
      </c>
      <c r="BR8" s="135">
        <f>Tabel424[[#This Row],[Kolom29126]]*BQ$2</f>
        <v>40</v>
      </c>
      <c r="BS8" s="135">
        <f>IF(U$2="x",(_xlfn.RANK.EQ(Tabel424[[#This Row],[Kolom16]],U$5:U$35)),0)</f>
        <v>0</v>
      </c>
      <c r="BT8" s="135">
        <f>Tabel424[[#This Row],[Kolom29127]]*BS$2</f>
        <v>0</v>
      </c>
      <c r="BU8" s="135">
        <f>IF(V$2="x",(_xlfn.RANK.EQ(Tabel424[[#This Row],[Kolom173]],V$5:V$35)),0)</f>
        <v>0</v>
      </c>
      <c r="BV8" s="135">
        <f>Tabel424[[#This Row],[Kolom29128]]*BU$2</f>
        <v>0</v>
      </c>
      <c r="BW8" s="135">
        <f>IF(W$2="x",(_xlfn.RANK.EQ(Tabel424[[#This Row],[Kolom172]],W$5:W$35)),0)</f>
        <v>14</v>
      </c>
      <c r="BX8" s="135">
        <f>Tabel424[[#This Row],[Kolom29129]]*BW$2</f>
        <v>14</v>
      </c>
      <c r="BY8" s="135">
        <f>IF(X$2="x",(_xlfn.RANK.EQ(Tabel424[[#This Row],[Kolom18]],X$5:X$35)),0)</f>
        <v>0</v>
      </c>
      <c r="BZ8" s="135">
        <f>Tabel424[[#This Row],[Kolom29130]]*BY$2</f>
        <v>0</v>
      </c>
      <c r="CA8" s="135">
        <f>IF(Y$2="x",(_xlfn.RANK.EQ(Tabel424[[#This Row],[Kolom19]],Y$5:Y$35)),0)</f>
        <v>11</v>
      </c>
      <c r="CB8" s="135">
        <f>Tabel424[[#This Row],[Kolom29131]]*CA$2</f>
        <v>11</v>
      </c>
      <c r="CC8" s="135">
        <f>IF(Z$2="x",(_xlfn.RANK.EQ(Tabel424[[#This Row],[Kolom20]],Z$5:Z$35)),0)</f>
        <v>0</v>
      </c>
      <c r="CD8" s="135">
        <f>Tabel424[[#This Row],[Kolom29132]]*CC$2</f>
        <v>0</v>
      </c>
      <c r="CE8" s="135">
        <f>IF(AA$2="x",(_xlfn.RANK.EQ(Tabel424[[#This Row],[Kolom21]],AA$5:AA$35)),0)</f>
        <v>0</v>
      </c>
      <c r="CF8" s="135">
        <f>Tabel424[[#This Row],[Kolom29133]]*CE$2</f>
        <v>0</v>
      </c>
      <c r="CG8" s="135">
        <f>IF(AB$2="x",(_xlfn.RANK.EQ(Tabel424[[#This Row],[Kolom22]],AB$5:AB$35)),0)</f>
        <v>0</v>
      </c>
      <c r="CH8" s="135">
        <f>Tabel424[[#This Row],[Kolom29134]]*CG$2</f>
        <v>0</v>
      </c>
      <c r="CI8" s="135">
        <f>IF(AC$2="x",(_xlfn.RANK.EQ(Tabel424[[#This Row],[Kolom223]],AC$5:AC$35)),0)</f>
        <v>0</v>
      </c>
      <c r="CJ8" s="135">
        <f>Tabel424[[#This Row],[Kolom29135]]*CI$2</f>
        <v>0</v>
      </c>
      <c r="CK8" s="135">
        <f>IF(AD$2="x",(_xlfn.RANK.EQ(Tabel424[[#This Row],[Kolom222]],AD$5:AD$35)),0)</f>
        <v>0</v>
      </c>
      <c r="CL8" s="135">
        <f>Tabel424[[#This Row],[Kolom29136]]*CK$2</f>
        <v>0</v>
      </c>
      <c r="CM8" s="135">
        <f t="shared" si="13"/>
        <v>4</v>
      </c>
      <c r="CN8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Row],[Kolom29130]]+CA8+Tabel424[[#This Row],[Kolom29132]]+Tabel424[[#This Row],[Kolom29133]]+Tabel424[[#This Row],[Kolom29134]]+Tabel424[[#This Row],[Kolom29135]]+Tabel424[[#This Row],[Kolom29136]])/Tabel424[[#This Row],[Kolom29137]]</f>
        <v>14</v>
      </c>
      <c r="CO8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Row],[Kolom291302]]+CB8+Tabel424[[#This Row],[Kolom291322]]+Tabel424[[#This Row],[Kolom291332]]+Tabel424[[#This Row],[Kolom291342]]+Tabel424[[#This Row],[Kolom291352]]+Tabel424[[#This Row],[Kolom291362]])/Tabel424[[#This Row],[Kolom29137]]</f>
        <v>45</v>
      </c>
      <c r="CP8" s="142">
        <f>_xlfn.RANK.EQ(Tabel424[[#This Row],[Kolom29138]],CN$5:CN$35,1)</f>
        <v>27</v>
      </c>
      <c r="CQ8" s="142">
        <f>_xlfn.RANK.EQ(Tabel424[[#This Row],[Kolom291382]],CO$5:CO$35,1)</f>
        <v>27</v>
      </c>
    </row>
    <row r="9" spans="1:95">
      <c r="B9" s="21" t="str">
        <f>'Symptomen (alle)'!A6</f>
        <v>Swellings (Cancers, Trematodes, Nematodes, Sporozoa, etc.)</v>
      </c>
      <c r="C9" s="77">
        <f>'Symptomen (alle)'!B6</f>
        <v>0</v>
      </c>
      <c r="D9" s="21">
        <f>IF(D$2="x",'Symptomen (alle)'!C6,0)</f>
        <v>0</v>
      </c>
      <c r="E9" s="21">
        <f>IF(E$2="x",'Symptomen (alle)'!D6,0)</f>
        <v>0</v>
      </c>
      <c r="F9" s="21">
        <f>IF(F$2="x",'Symptomen (alle)'!E6,0)</f>
        <v>0</v>
      </c>
      <c r="G9" s="21">
        <f>IF(G$2="x",'Symptomen (alle)'!F6,0)</f>
        <v>0</v>
      </c>
      <c r="H9" s="21">
        <f>IF(H$2="x",'Symptomen (alle)'!G6,0)</f>
        <v>0</v>
      </c>
      <c r="I9" s="21">
        <f>IF(I$2="x",'Symptomen (alle)'!H6,0)</f>
        <v>0</v>
      </c>
      <c r="J9" s="21">
        <f>IF(J$2="x",'Symptomen (alle)'!I6,0)</f>
        <v>0</v>
      </c>
      <c r="K9" s="21">
        <f>IF(K$2="x",'Symptomen (alle)'!J6,0)</f>
        <v>0</v>
      </c>
      <c r="L9" s="21">
        <f>IF(L$2="x",'Symptomen (alle)'!K6,0)</f>
        <v>0</v>
      </c>
      <c r="M9" s="21">
        <f>IF(M$2="x",'Symptomen (alle)'!L6,0)</f>
        <v>0</v>
      </c>
      <c r="N9" s="21">
        <f>IF(N$2="x",'Symptomen (alle)'!M6,0)</f>
        <v>0</v>
      </c>
      <c r="O9" s="21">
        <f>IF(O$2="x",'Symptomen (alle)'!N6,0)</f>
        <v>0</v>
      </c>
      <c r="P9" s="21">
        <f>IF(P$2="x",'Symptomen (alle)'!O6,0)</f>
        <v>0</v>
      </c>
      <c r="Q9" s="21">
        <f>IF(Q$2="x",'Symptomen (alle)'!P6,0)</f>
        <v>0</v>
      </c>
      <c r="R9" s="21">
        <f>IF(R$2="x",'Symptomen (alle)'!Q6,0)</f>
        <v>0</v>
      </c>
      <c r="S9" s="21">
        <f>IF(S$2="x",'Symptomen (alle)'!R6,0)</f>
        <v>0</v>
      </c>
      <c r="T9" s="21">
        <f>IF(T$2="x",'Symptomen (alle)'!S6,0)</f>
        <v>0</v>
      </c>
      <c r="U9" s="21">
        <f>IF(U$2="x",'Symptomen (alle)'!T6,0)</f>
        <v>0</v>
      </c>
      <c r="V9" s="21">
        <f>IF(V$2="x",'Symptomen (alle)'!U6,0)</f>
        <v>0</v>
      </c>
      <c r="W9" s="21">
        <f>IF(W$2="x",'Symptomen (alle)'!V6,0)</f>
        <v>1</v>
      </c>
      <c r="X9" s="21">
        <f>IF(X$2="x",'Symptomen (alle)'!W6,0)</f>
        <v>0</v>
      </c>
      <c r="Y9" s="21">
        <f>IF(Y$2="x",'Symptomen (alle)'!X6,0)</f>
        <v>2</v>
      </c>
      <c r="Z9" s="21">
        <f>IF(Z$2="x",'Symptomen (alle)'!Y6,0)</f>
        <v>0</v>
      </c>
      <c r="AA9" s="21">
        <f>IF(AA$2="x",'Symptomen (alle)'!Z6,0)</f>
        <v>0</v>
      </c>
      <c r="AB9" s="21">
        <f>IF(AB$2="x",'Symptomen (alle)'!AA6,0)</f>
        <v>0</v>
      </c>
      <c r="AC9" s="21">
        <f>IF(AC$2="x",'Symptomen (alle)'!AB6,0)</f>
        <v>0</v>
      </c>
      <c r="AD9" s="21">
        <f>IF(AD$2="x",'Symptomen (alle)'!AC6,0)</f>
        <v>0</v>
      </c>
      <c r="AE9" s="21">
        <f t="shared" si="11"/>
        <v>3</v>
      </c>
      <c r="AF9" s="21">
        <f>HLOOKUP($B$2,ZiekteFam!$B$1:$T$32,AG9,FALSE)</f>
        <v>3</v>
      </c>
      <c r="AG9" s="32">
        <f t="shared" si="12"/>
        <v>6</v>
      </c>
      <c r="AH9" s="32">
        <f>SUM('Symptomen (alle)'!D6:AC6)</f>
        <v>25</v>
      </c>
      <c r="AI9" s="22">
        <f>Tabel424[[#This Row],[Kolom25]]/Tabel424[[#This Row],[Kolom28]]</f>
        <v>0.12</v>
      </c>
      <c r="AJ9" s="22"/>
      <c r="AK9" s="22">
        <f>Tabel424[[#This Row],[Kolom29]]</f>
        <v>0.12</v>
      </c>
      <c r="AL9" s="36">
        <f>_xlfn.RANK.EQ(Tabel424[[#This Row],[Kolom29]],$AI$5:$AI$35)</f>
        <v>16</v>
      </c>
      <c r="AM9" s="135">
        <f>IF(E$2="x",(_xlfn.RANK.EQ(Tabel424[[#This Row],[Kolom3]],E$5:E$35)),0)</f>
        <v>0</v>
      </c>
      <c r="AN9" s="135">
        <f>Tabel424[[#This Row],[Kolom2911]]*AM$2</f>
        <v>0</v>
      </c>
      <c r="AO9" s="135">
        <f>IF(F$2="x",(_xlfn.RANK.EQ(Tabel424[[#This Row],[Kolom4]],F$5:F$35)),0)</f>
        <v>0</v>
      </c>
      <c r="AP9" s="135">
        <f>Tabel424[[#This Row],[Kolom29112]]*AO$2</f>
        <v>0</v>
      </c>
      <c r="AQ9" s="135">
        <f>IF(G$2="x",(_xlfn.RANK.EQ(Tabel424[[#This Row],[Kolom5]],G$5:G$35)),0)</f>
        <v>0</v>
      </c>
      <c r="AR9" s="135">
        <f>Tabel424[[#This Row],[Kolom29113]]*AQ$2</f>
        <v>0</v>
      </c>
      <c r="AS9" s="135">
        <f>IF(H$2="x",(_xlfn.RANK.EQ(Tabel424[[#This Row],[Kolom6]],H$5:H$35)),0)</f>
        <v>0</v>
      </c>
      <c r="AT9" s="135">
        <f>Tabel424[[#This Row],[Kolom29114]]*AS$2</f>
        <v>0</v>
      </c>
      <c r="AU9" s="135">
        <f>IF(I$2="x",(_xlfn.RANK.EQ(Tabel424[[#This Row],[Kolom62]],I$5:I$35)),0)</f>
        <v>0</v>
      </c>
      <c r="AV9" s="135">
        <f>Tabel424[[#This Row],[Kolom29115]]*AU$2</f>
        <v>0</v>
      </c>
      <c r="AW9" s="135">
        <f>IF(J$2="x",(_xlfn.RANK.EQ(Tabel424[[#This Row],[Kolom7]],J$5:J$35)),0)</f>
        <v>23</v>
      </c>
      <c r="AX9" s="135">
        <f>Tabel424[[#This Row],[Kolom29116]]*AW$2</f>
        <v>115</v>
      </c>
      <c r="AY9" s="135">
        <f>IF(K$2="x",(_xlfn.RANK.EQ(Tabel424[[#This Row],[Kolom72]],K$5:K$35)),0)</f>
        <v>0</v>
      </c>
      <c r="AZ9" s="135">
        <f>Tabel424[[#This Row],[Kolom29117]]*AY$2</f>
        <v>0</v>
      </c>
      <c r="BA9" s="135">
        <f>IF(L$2="x",(_xlfn.RANK.EQ(Tabel424[[#This Row],[Kolom8]],L$5:L$35)),0)</f>
        <v>0</v>
      </c>
      <c r="BB9" s="135">
        <f>Tabel424[[#This Row],[Kolom29118]]*BA$2</f>
        <v>0</v>
      </c>
      <c r="BC9" s="135">
        <f>IF(M$2="x",(_xlfn.RANK.EQ(Tabel424[[#This Row],[Kolom9]],M$5:M$35)),0)</f>
        <v>0</v>
      </c>
      <c r="BD9" s="135">
        <f>Tabel424[[#This Row],[Kolom29119]]*BC$2</f>
        <v>0</v>
      </c>
      <c r="BE9" s="135">
        <f>IF(N$2="x",(_xlfn.RANK.EQ(Tabel424[[#This Row],[Kolom10]],N$5:N$35)),0)</f>
        <v>0</v>
      </c>
      <c r="BF9" s="135">
        <f>Tabel424[[#This Row],[Kolom29120]]*BE$2</f>
        <v>0</v>
      </c>
      <c r="BG9" s="135">
        <f>IF(O$2="x",(_xlfn.RANK.EQ(Tabel424[[#This Row],[Kolom11]],O$5:O$35)),0)</f>
        <v>0</v>
      </c>
      <c r="BH9" s="135">
        <f>Tabel424[[#This Row],[Kolom29121]]*BG$2</f>
        <v>0</v>
      </c>
      <c r="BI9" s="135">
        <f>IF(P$2="x",(_xlfn.RANK.EQ(Tabel424[[#This Row],[Kolom12]],P$5:P$35)),0)</f>
        <v>0</v>
      </c>
      <c r="BJ9" s="135">
        <f>Tabel424[[#This Row],[Kolom29122]]*BI$2</f>
        <v>0</v>
      </c>
      <c r="BK9" s="135">
        <f>IF(Q$2="x",(_xlfn.RANK.EQ(Tabel424[[#This Row],[Kolom13]],Q$5:Q$35)),0)</f>
        <v>0</v>
      </c>
      <c r="BL9" s="135">
        <f>Tabel424[[#This Row],[Kolom29123]]*BK$2</f>
        <v>0</v>
      </c>
      <c r="BM9" s="135">
        <f>IF(R$2="x",(_xlfn.RANK.EQ(Tabel424[[#This Row],[Kolom133]],R$5:R$35)),0)</f>
        <v>0</v>
      </c>
      <c r="BN9" s="135">
        <f>Tabel424[[#This Row],[Kolom29124]]*BM$2</f>
        <v>0</v>
      </c>
      <c r="BO9" s="135">
        <f>IF(S$2="x",(_xlfn.RANK.EQ(Tabel424[[#This Row],[Kolom132]],S$5:S$35)),0)</f>
        <v>0</v>
      </c>
      <c r="BP9" s="135">
        <f>Tabel424[[#This Row],[Kolom29125]]*BO$2</f>
        <v>0</v>
      </c>
      <c r="BQ9" s="135">
        <f>IF(T$2="x",(_xlfn.RANK.EQ(Tabel424[[#This Row],[Kolom14]],T$5:T$35)),0)</f>
        <v>8</v>
      </c>
      <c r="BR9" s="135">
        <f>Tabel424[[#This Row],[Kolom29126]]*BQ$2</f>
        <v>40</v>
      </c>
      <c r="BS9" s="135">
        <f>IF(U$2="x",(_xlfn.RANK.EQ(Tabel424[[#This Row],[Kolom16]],U$5:U$35)),0)</f>
        <v>0</v>
      </c>
      <c r="BT9" s="135">
        <f>Tabel424[[#This Row],[Kolom29127]]*BS$2</f>
        <v>0</v>
      </c>
      <c r="BU9" s="135">
        <f>IF(V$2="x",(_xlfn.RANK.EQ(Tabel424[[#This Row],[Kolom173]],V$5:V$35)),0)</f>
        <v>0</v>
      </c>
      <c r="BV9" s="135">
        <f>Tabel424[[#This Row],[Kolom29128]]*BU$2</f>
        <v>0</v>
      </c>
      <c r="BW9" s="135">
        <f>IF(W$2="x",(_xlfn.RANK.EQ(Tabel424[[#This Row],[Kolom172]],W$5:W$35)),0)</f>
        <v>10</v>
      </c>
      <c r="BX9" s="135">
        <f>Tabel424[[#This Row],[Kolom29129]]*BW$2</f>
        <v>10</v>
      </c>
      <c r="BY9" s="135">
        <f>IF(X$2="x",(_xlfn.RANK.EQ(Tabel424[[#This Row],[Kolom18]],X$5:X$35)),0)</f>
        <v>0</v>
      </c>
      <c r="BZ9" s="135">
        <f>Tabel424[[#This Row],[Kolom29130]]*BY$2</f>
        <v>0</v>
      </c>
      <c r="CA9" s="135">
        <f>IF(Y$2="x",(_xlfn.RANK.EQ(Tabel424[[#This Row],[Kolom19]],Y$5:Y$35)),0)</f>
        <v>3</v>
      </c>
      <c r="CB9" s="135">
        <f>Tabel424[[#This Row],[Kolom29131]]*CA$2</f>
        <v>3</v>
      </c>
      <c r="CC9" s="135">
        <f>IF(Z$2="x",(_xlfn.RANK.EQ(Tabel424[[#This Row],[Kolom20]],Z$5:Z$35)),0)</f>
        <v>0</v>
      </c>
      <c r="CD9" s="135">
        <f>Tabel424[[#This Row],[Kolom29132]]*CC$2</f>
        <v>0</v>
      </c>
      <c r="CE9" s="135">
        <f>IF(AA$2="x",(_xlfn.RANK.EQ(Tabel424[[#This Row],[Kolom21]],AA$5:AA$35)),0)</f>
        <v>0</v>
      </c>
      <c r="CF9" s="135">
        <f>Tabel424[[#This Row],[Kolom29133]]*CE$2</f>
        <v>0</v>
      </c>
      <c r="CG9" s="135">
        <f>IF(AB$2="x",(_xlfn.RANK.EQ(Tabel424[[#This Row],[Kolom22]],AB$5:AB$35)),0)</f>
        <v>0</v>
      </c>
      <c r="CH9" s="135">
        <f>Tabel424[[#This Row],[Kolom29134]]*CG$2</f>
        <v>0</v>
      </c>
      <c r="CI9" s="135">
        <f>IF(AC$2="x",(_xlfn.RANK.EQ(Tabel424[[#This Row],[Kolom223]],AC$5:AC$35)),0)</f>
        <v>0</v>
      </c>
      <c r="CJ9" s="135">
        <f>Tabel424[[#This Row],[Kolom29135]]*CI$2</f>
        <v>0</v>
      </c>
      <c r="CK9" s="135">
        <f>IF(AD$2="x",(_xlfn.RANK.EQ(Tabel424[[#This Row],[Kolom222]],AD$5:AD$35)),0)</f>
        <v>0</v>
      </c>
      <c r="CL9" s="135">
        <f>Tabel424[[#This Row],[Kolom29136]]*CK$2</f>
        <v>0</v>
      </c>
      <c r="CM9" s="135">
        <f t="shared" si="13"/>
        <v>4</v>
      </c>
      <c r="CN9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Row],[Kolom29130]]+CA9+Tabel424[[#This Row],[Kolom29132]]+Tabel424[[#This Row],[Kolom29133]]+Tabel424[[#This Row],[Kolom29134]]+Tabel424[[#This Row],[Kolom29135]]+Tabel424[[#This Row],[Kolom29136]])/Tabel424[[#This Row],[Kolom29137]]</f>
        <v>11</v>
      </c>
      <c r="CO9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Row],[Kolom291302]]+CB9+Tabel424[[#This Row],[Kolom291322]]+Tabel424[[#This Row],[Kolom291332]]+Tabel424[[#This Row],[Kolom291342]]+Tabel424[[#This Row],[Kolom291352]]+Tabel424[[#This Row],[Kolom291362]])/Tabel424[[#This Row],[Kolom29137]]</f>
        <v>42</v>
      </c>
      <c r="CP9" s="142">
        <f>_xlfn.RANK.EQ(Tabel424[[#This Row],[Kolom29138]],CN$5:CN$35,1)</f>
        <v>22</v>
      </c>
      <c r="CQ9" s="142">
        <f>_xlfn.RANK.EQ(Tabel424[[#This Row],[Kolom291382]],CO$5:CO$35,1)</f>
        <v>26</v>
      </c>
    </row>
    <row r="10" spans="1:95">
      <c r="B10" s="21" t="str">
        <f>'Symptomen (alle)'!A7</f>
        <v>Skin fluke (i.e. Gyrodactylus)</v>
      </c>
      <c r="C10" s="21">
        <f>'Symptomen (alle)'!B7</f>
        <v>0</v>
      </c>
      <c r="D10" s="21">
        <f>IF(D$2="x",'Symptomen (alle)'!C7,0)</f>
        <v>0</v>
      </c>
      <c r="E10" s="21">
        <f>IF(E$2="x",'Symptomen (alle)'!D7,0)</f>
        <v>0</v>
      </c>
      <c r="F10" s="21">
        <f>IF(F$2="x",'Symptomen (alle)'!E7,0)</f>
        <v>0</v>
      </c>
      <c r="G10" s="21">
        <f>IF(G$2="x",'Symptomen (alle)'!F7,0)</f>
        <v>0</v>
      </c>
      <c r="H10" s="21">
        <f>IF(H$2="x",'Symptomen (alle)'!G7,0)</f>
        <v>0</v>
      </c>
      <c r="I10" s="21">
        <f>IF(I$2="x",'Symptomen (alle)'!H7,0)</f>
        <v>0</v>
      </c>
      <c r="J10" s="21">
        <f>IF(J$2="x",'Symptomen (alle)'!I7,0)</f>
        <v>2</v>
      </c>
      <c r="K10" s="21">
        <f>IF(K$2="x",'Symptomen (alle)'!J7,0)</f>
        <v>0</v>
      </c>
      <c r="L10" s="21">
        <f>IF(L$2="x",'Symptomen (alle)'!K7,0)</f>
        <v>0</v>
      </c>
      <c r="M10" s="21">
        <f>IF(M$2="x",'Symptomen (alle)'!L7,0)</f>
        <v>0</v>
      </c>
      <c r="N10" s="21">
        <f>IF(N$2="x",'Symptomen (alle)'!M7,0)</f>
        <v>0</v>
      </c>
      <c r="O10" s="21">
        <f>IF(O$2="x",'Symptomen (alle)'!N7,0)</f>
        <v>0</v>
      </c>
      <c r="P10" s="21">
        <f>IF(P$2="x",'Symptomen (alle)'!O7,0)</f>
        <v>0</v>
      </c>
      <c r="Q10" s="21">
        <f>IF(Q$2="x",'Symptomen (alle)'!P7,0)</f>
        <v>0</v>
      </c>
      <c r="R10" s="21">
        <f>IF(R$2="x",'Symptomen (alle)'!Q7,0)</f>
        <v>0</v>
      </c>
      <c r="S10" s="21">
        <f>IF(S$2="x",'Symptomen (alle)'!R7,0)</f>
        <v>0</v>
      </c>
      <c r="T10" s="21">
        <f>IF(T$2="x",'Symptomen (alle)'!S7,0)</f>
        <v>2</v>
      </c>
      <c r="U10" s="21">
        <f>IF(U$2="x",'Symptomen (alle)'!T7,0)</f>
        <v>0</v>
      </c>
      <c r="V10" s="21">
        <f>IF(V$2="x",'Symptomen (alle)'!U7,0)</f>
        <v>0</v>
      </c>
      <c r="W10" s="21">
        <f>IF(W$2="x",'Symptomen (alle)'!V7,0)</f>
        <v>3</v>
      </c>
      <c r="X10" s="21">
        <f>IF(X$2="x",'Symptomen (alle)'!W7,0)</f>
        <v>0</v>
      </c>
      <c r="Y10" s="21">
        <f>IF(Y$2="x",'Symptomen (alle)'!X7,0)</f>
        <v>0</v>
      </c>
      <c r="Z10" s="21">
        <f>IF(Z$2="x",'Symptomen (alle)'!Y7,0)</f>
        <v>0</v>
      </c>
      <c r="AA10" s="21">
        <f>IF(AA$2="x",'Symptomen (alle)'!Z7,0)</f>
        <v>0</v>
      </c>
      <c r="AB10" s="21">
        <f>IF(AB$2="x",'Symptomen (alle)'!AA7,0)</f>
        <v>0</v>
      </c>
      <c r="AC10" s="21">
        <f>IF(AC$2="x",'Symptomen (alle)'!AB7,0)</f>
        <v>0</v>
      </c>
      <c r="AD10" s="21">
        <f>IF(AD$2="x",'Symptomen (alle)'!AC7,0)</f>
        <v>0</v>
      </c>
      <c r="AE10" s="21">
        <f t="shared" si="11"/>
        <v>7</v>
      </c>
      <c r="AF10" s="21">
        <f>HLOOKUP($B$2,ZiekteFam!$B$1:$T$32,AG10,FALSE)</f>
        <v>0</v>
      </c>
      <c r="AG10" s="32">
        <f t="shared" si="12"/>
        <v>7</v>
      </c>
      <c r="AH10" s="32">
        <f>SUM('Symptomen (alle)'!D7:AC7)</f>
        <v>48</v>
      </c>
      <c r="AI10" s="22">
        <f>Tabel424[[#This Row],[Kolom25]]/Tabel424[[#This Row],[Kolom28]]</f>
        <v>0.14583333333333334</v>
      </c>
      <c r="AJ10" s="22"/>
      <c r="AK10" s="22">
        <f>Tabel424[[#This Row],[Kolom29]]</f>
        <v>0.14583333333333334</v>
      </c>
      <c r="AL10" s="36">
        <f>_xlfn.RANK.EQ(Tabel424[[#This Row],[Kolom29]],$AI$5:$AI$35)</f>
        <v>12</v>
      </c>
      <c r="AM10" s="135">
        <f>IF(E$2="x",(_xlfn.RANK.EQ(Tabel424[[#This Row],[Kolom3]],E$5:E$35)),0)</f>
        <v>0</v>
      </c>
      <c r="AN10" s="135">
        <f>Tabel424[[#This Row],[Kolom2911]]*AM$2</f>
        <v>0</v>
      </c>
      <c r="AO10" s="135">
        <f>IF(F$2="x",(_xlfn.RANK.EQ(Tabel424[[#This Row],[Kolom4]],F$5:F$35)),0)</f>
        <v>0</v>
      </c>
      <c r="AP10" s="135">
        <f>Tabel424[[#This Row],[Kolom29112]]*AO$2</f>
        <v>0</v>
      </c>
      <c r="AQ10" s="135">
        <f>IF(G$2="x",(_xlfn.RANK.EQ(Tabel424[[#This Row],[Kolom5]],G$5:G$35)),0)</f>
        <v>0</v>
      </c>
      <c r="AR10" s="135">
        <f>Tabel424[[#This Row],[Kolom29113]]*AQ$2</f>
        <v>0</v>
      </c>
      <c r="AS10" s="135">
        <f>IF(H$2="x",(_xlfn.RANK.EQ(Tabel424[[#This Row],[Kolom6]],H$5:H$35)),0)</f>
        <v>0</v>
      </c>
      <c r="AT10" s="135">
        <f>Tabel424[[#This Row],[Kolom29114]]*AS$2</f>
        <v>0</v>
      </c>
      <c r="AU10" s="135">
        <f>IF(I$2="x",(_xlfn.RANK.EQ(Tabel424[[#This Row],[Kolom62]],I$5:I$35)),0)</f>
        <v>0</v>
      </c>
      <c r="AV10" s="135">
        <f>Tabel424[[#This Row],[Kolom29115]]*AU$2</f>
        <v>0</v>
      </c>
      <c r="AW10" s="135">
        <f>IF(J$2="x",(_xlfn.RANK.EQ(Tabel424[[#This Row],[Kolom7]],J$5:J$35)),0)</f>
        <v>7</v>
      </c>
      <c r="AX10" s="135">
        <f>Tabel424[[#This Row],[Kolom29116]]*AW$2</f>
        <v>35</v>
      </c>
      <c r="AY10" s="135">
        <f>IF(K$2="x",(_xlfn.RANK.EQ(Tabel424[[#This Row],[Kolom72]],K$5:K$35)),0)</f>
        <v>0</v>
      </c>
      <c r="AZ10" s="135">
        <f>Tabel424[[#This Row],[Kolom29117]]*AY$2</f>
        <v>0</v>
      </c>
      <c r="BA10" s="135">
        <f>IF(L$2="x",(_xlfn.RANK.EQ(Tabel424[[#This Row],[Kolom8]],L$5:L$35)),0)</f>
        <v>0</v>
      </c>
      <c r="BB10" s="135">
        <f>Tabel424[[#This Row],[Kolom29118]]*BA$2</f>
        <v>0</v>
      </c>
      <c r="BC10" s="135">
        <f>IF(M$2="x",(_xlfn.RANK.EQ(Tabel424[[#This Row],[Kolom9]],M$5:M$35)),0)</f>
        <v>0</v>
      </c>
      <c r="BD10" s="135">
        <f>Tabel424[[#This Row],[Kolom29119]]*BC$2</f>
        <v>0</v>
      </c>
      <c r="BE10" s="135">
        <f>IF(N$2="x",(_xlfn.RANK.EQ(Tabel424[[#This Row],[Kolom10]],N$5:N$35)),0)</f>
        <v>0</v>
      </c>
      <c r="BF10" s="135">
        <f>Tabel424[[#This Row],[Kolom29120]]*BE$2</f>
        <v>0</v>
      </c>
      <c r="BG10" s="135">
        <f>IF(O$2="x",(_xlfn.RANK.EQ(Tabel424[[#This Row],[Kolom11]],O$5:O$35)),0)</f>
        <v>0</v>
      </c>
      <c r="BH10" s="135">
        <f>Tabel424[[#This Row],[Kolom29121]]*BG$2</f>
        <v>0</v>
      </c>
      <c r="BI10" s="135">
        <f>IF(P$2="x",(_xlfn.RANK.EQ(Tabel424[[#This Row],[Kolom12]],P$5:P$35)),0)</f>
        <v>0</v>
      </c>
      <c r="BJ10" s="135">
        <f>Tabel424[[#This Row],[Kolom29122]]*BI$2</f>
        <v>0</v>
      </c>
      <c r="BK10" s="135">
        <f>IF(Q$2="x",(_xlfn.RANK.EQ(Tabel424[[#This Row],[Kolom13]],Q$5:Q$35)),0)</f>
        <v>0</v>
      </c>
      <c r="BL10" s="135">
        <f>Tabel424[[#This Row],[Kolom29123]]*BK$2</f>
        <v>0</v>
      </c>
      <c r="BM10" s="135">
        <f>IF(R$2="x",(_xlfn.RANK.EQ(Tabel424[[#This Row],[Kolom133]],R$5:R$35)),0)</f>
        <v>0</v>
      </c>
      <c r="BN10" s="135">
        <f>Tabel424[[#This Row],[Kolom29124]]*BM$2</f>
        <v>0</v>
      </c>
      <c r="BO10" s="135">
        <f>IF(S$2="x",(_xlfn.RANK.EQ(Tabel424[[#This Row],[Kolom132]],S$5:S$35)),0)</f>
        <v>0</v>
      </c>
      <c r="BP10" s="135">
        <f>Tabel424[[#This Row],[Kolom29125]]*BO$2</f>
        <v>0</v>
      </c>
      <c r="BQ10" s="135">
        <f>IF(T$2="x",(_xlfn.RANK.EQ(Tabel424[[#This Row],[Kolom14]],T$5:T$35)),0)</f>
        <v>2</v>
      </c>
      <c r="BR10" s="135">
        <f>Tabel424[[#This Row],[Kolom29126]]*BQ$2</f>
        <v>10</v>
      </c>
      <c r="BS10" s="135">
        <f>IF(U$2="x",(_xlfn.RANK.EQ(Tabel424[[#This Row],[Kolom16]],U$5:U$35)),0)</f>
        <v>0</v>
      </c>
      <c r="BT10" s="135">
        <f>Tabel424[[#This Row],[Kolom29127]]*BS$2</f>
        <v>0</v>
      </c>
      <c r="BU10" s="135">
        <f>IF(V$2="x",(_xlfn.RANK.EQ(Tabel424[[#This Row],[Kolom173]],V$5:V$35)),0)</f>
        <v>0</v>
      </c>
      <c r="BV10" s="135">
        <f>Tabel424[[#This Row],[Kolom29128]]*BU$2</f>
        <v>0</v>
      </c>
      <c r="BW10" s="135">
        <f>IF(W$2="x",(_xlfn.RANK.EQ(Tabel424[[#This Row],[Kolom172]],W$5:W$35)),0)</f>
        <v>1</v>
      </c>
      <c r="BX10" s="135">
        <f>Tabel424[[#This Row],[Kolom29129]]*BW$2</f>
        <v>1</v>
      </c>
      <c r="BY10" s="135">
        <f>IF(X$2="x",(_xlfn.RANK.EQ(Tabel424[[#This Row],[Kolom18]],X$5:X$35)),0)</f>
        <v>0</v>
      </c>
      <c r="BZ10" s="135">
        <f>Tabel424[[#This Row],[Kolom29130]]*BY$2</f>
        <v>0</v>
      </c>
      <c r="CA10" s="135">
        <f>IF(Y$2="x",(_xlfn.RANK.EQ(Tabel424[[#This Row],[Kolom19]],Y$5:Y$35)),0)</f>
        <v>11</v>
      </c>
      <c r="CB10" s="135">
        <f>Tabel424[[#This Row],[Kolom29131]]*CA$2</f>
        <v>11</v>
      </c>
      <c r="CC10" s="135">
        <f>IF(Z$2="x",(_xlfn.RANK.EQ(Tabel424[[#This Row],[Kolom20]],Z$5:Z$35)),0)</f>
        <v>0</v>
      </c>
      <c r="CD10" s="135">
        <f>Tabel424[[#This Row],[Kolom29132]]*CC$2</f>
        <v>0</v>
      </c>
      <c r="CE10" s="135">
        <f>IF(AA$2="x",(_xlfn.RANK.EQ(Tabel424[[#This Row],[Kolom21]],AA$5:AA$35)),0)</f>
        <v>0</v>
      </c>
      <c r="CF10" s="135">
        <f>Tabel424[[#This Row],[Kolom29133]]*CE$2</f>
        <v>0</v>
      </c>
      <c r="CG10" s="135">
        <f>IF(AB$2="x",(_xlfn.RANK.EQ(Tabel424[[#This Row],[Kolom22]],AB$5:AB$35)),0)</f>
        <v>0</v>
      </c>
      <c r="CH10" s="135">
        <f>Tabel424[[#This Row],[Kolom29134]]*CG$2</f>
        <v>0</v>
      </c>
      <c r="CI10" s="135">
        <f>IF(AC$2="x",(_xlfn.RANK.EQ(Tabel424[[#This Row],[Kolom223]],AC$5:AC$35)),0)</f>
        <v>0</v>
      </c>
      <c r="CJ10" s="135">
        <f>Tabel424[[#This Row],[Kolom29135]]*CI$2</f>
        <v>0</v>
      </c>
      <c r="CK10" s="135">
        <f>IF(AD$2="x",(_xlfn.RANK.EQ(Tabel424[[#This Row],[Kolom222]],AD$5:AD$35)),0)</f>
        <v>0</v>
      </c>
      <c r="CL10" s="135">
        <f>Tabel424[[#This Row],[Kolom29136]]*CK$2</f>
        <v>0</v>
      </c>
      <c r="CM10" s="135">
        <f t="shared" si="13"/>
        <v>4</v>
      </c>
      <c r="CN10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Row],[Kolom29130]]+CA10+Tabel424[[#This Row],[Kolom29132]]+Tabel424[[#This Row],[Kolom29133]]+Tabel424[[#This Row],[Kolom29134]]+Tabel424[[#This Row],[Kolom29135]]+Tabel424[[#This Row],[Kolom29136]])/Tabel424[[#This Row],[Kolom29137]]</f>
        <v>5.25</v>
      </c>
      <c r="CO10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Row],[Kolom291302]]+CB10+Tabel424[[#This Row],[Kolom291322]]+Tabel424[[#This Row],[Kolom291332]]+Tabel424[[#This Row],[Kolom291342]]+Tabel424[[#This Row],[Kolom291352]]+Tabel424[[#This Row],[Kolom291362]])/Tabel424[[#This Row],[Kolom29137]]</f>
        <v>14.25</v>
      </c>
      <c r="CP10" s="142">
        <f>_xlfn.RANK.EQ(Tabel424[[#This Row],[Kolom29138]],CN$5:CN$35,1)</f>
        <v>3</v>
      </c>
      <c r="CQ10" s="142">
        <f>_xlfn.RANK.EQ(Tabel424[[#This Row],[Kolom291382]],CO$5:CO$35,1)</f>
        <v>3</v>
      </c>
    </row>
    <row r="11" spans="1:95">
      <c r="B11" s="21" t="str">
        <f>'Symptomen (alle)'!A8</f>
        <v>Gill fluke (i.e. Dactylogyrus)</v>
      </c>
      <c r="C11" s="21">
        <f>'Symptomen (alle)'!B8</f>
        <v>0</v>
      </c>
      <c r="D11" s="21">
        <f>IF(D$2="x",'Symptomen (alle)'!C8,0)</f>
        <v>0</v>
      </c>
      <c r="E11" s="21">
        <f>IF(E$2="x",'Symptomen (alle)'!D8,0)</f>
        <v>0</v>
      </c>
      <c r="F11" s="21">
        <f>IF(F$2="x",'Symptomen (alle)'!E8,0)</f>
        <v>0</v>
      </c>
      <c r="G11" s="21">
        <f>IF(G$2="x",'Symptomen (alle)'!F8,0)</f>
        <v>0</v>
      </c>
      <c r="H11" s="21">
        <f>IF(H$2="x",'Symptomen (alle)'!G8,0)</f>
        <v>0</v>
      </c>
      <c r="I11" s="21">
        <f>IF(I$2="x",'Symptomen (alle)'!H8,0)</f>
        <v>0</v>
      </c>
      <c r="J11" s="21">
        <f>IF(J$2="x",'Symptomen (alle)'!I8,0)</f>
        <v>0</v>
      </c>
      <c r="K11" s="21">
        <f>IF(K$2="x",'Symptomen (alle)'!J8,0)</f>
        <v>0</v>
      </c>
      <c r="L11" s="21">
        <f>IF(L$2="x",'Symptomen (alle)'!K8,0)</f>
        <v>0</v>
      </c>
      <c r="M11" s="21">
        <f>IF(M$2="x",'Symptomen (alle)'!L8,0)</f>
        <v>0</v>
      </c>
      <c r="N11" s="21">
        <f>IF(N$2="x",'Symptomen (alle)'!M8,0)</f>
        <v>0</v>
      </c>
      <c r="O11" s="21">
        <f>IF(O$2="x",'Symptomen (alle)'!N8,0)</f>
        <v>0</v>
      </c>
      <c r="P11" s="21">
        <f>IF(P$2="x",'Symptomen (alle)'!O8,0)</f>
        <v>0</v>
      </c>
      <c r="Q11" s="21">
        <f>IF(Q$2="x",'Symptomen (alle)'!P8,0)</f>
        <v>0</v>
      </c>
      <c r="R11" s="21">
        <f>IF(R$2="x",'Symptomen (alle)'!Q8,0)</f>
        <v>0</v>
      </c>
      <c r="S11" s="21">
        <f>IF(S$2="x",'Symptomen (alle)'!R8,0)</f>
        <v>0</v>
      </c>
      <c r="T11" s="21">
        <f>IF(T$2="x",'Symptomen (alle)'!S8,0)</f>
        <v>0</v>
      </c>
      <c r="U11" s="21">
        <f>IF(U$2="x",'Symptomen (alle)'!T8,0)</f>
        <v>0</v>
      </c>
      <c r="V11" s="21">
        <f>IF(V$2="x",'Symptomen (alle)'!U8,0)</f>
        <v>0</v>
      </c>
      <c r="W11" s="21">
        <f>IF(W$2="x",'Symptomen (alle)'!V8,0)</f>
        <v>3</v>
      </c>
      <c r="X11" s="21">
        <f>IF(X$2="x",'Symptomen (alle)'!W8,0)</f>
        <v>0</v>
      </c>
      <c r="Y11" s="21">
        <f>IF(Y$2="x",'Symptomen (alle)'!X8,0)</f>
        <v>0</v>
      </c>
      <c r="Z11" s="21">
        <f>IF(Z$2="x",'Symptomen (alle)'!Y8,0)</f>
        <v>0</v>
      </c>
      <c r="AA11" s="21">
        <f>IF(AA$2="x",'Symptomen (alle)'!Z8,0)</f>
        <v>0</v>
      </c>
      <c r="AB11" s="21">
        <f>IF(AB$2="x",'Symptomen (alle)'!AA8,0)</f>
        <v>0</v>
      </c>
      <c r="AC11" s="21">
        <f>IF(AC$2="x",'Symptomen (alle)'!AB8,0)</f>
        <v>0</v>
      </c>
      <c r="AD11" s="21">
        <f>IF(AD$2="x",'Symptomen (alle)'!AC8,0)</f>
        <v>0</v>
      </c>
      <c r="AE11" s="21">
        <f t="shared" si="11"/>
        <v>3</v>
      </c>
      <c r="AF11" s="21">
        <f>HLOOKUP($B$2,ZiekteFam!$B$1:$T$32,AG11,FALSE)</f>
        <v>0</v>
      </c>
      <c r="AG11" s="32">
        <f t="shared" si="12"/>
        <v>8</v>
      </c>
      <c r="AH11" s="32">
        <f>SUM('Symptomen (alle)'!D8:AC8)</f>
        <v>33</v>
      </c>
      <c r="AI11" s="22">
        <f>Tabel424[[#This Row],[Kolom25]]/Tabel424[[#This Row],[Kolom28]]</f>
        <v>9.0909090909090912E-2</v>
      </c>
      <c r="AJ11" s="22"/>
      <c r="AK11" s="22">
        <f>Tabel424[[#This Row],[Kolom29]]</f>
        <v>9.0909090909090912E-2</v>
      </c>
      <c r="AL11" s="36">
        <f>_xlfn.RANK.EQ(Tabel424[[#This Row],[Kolom29]],$AI$5:$AI$35)</f>
        <v>18</v>
      </c>
      <c r="AM11" s="135">
        <f>IF(E$2="x",(_xlfn.RANK.EQ(Tabel424[[#This Row],[Kolom3]],E$5:E$35)),0)</f>
        <v>0</v>
      </c>
      <c r="AN11" s="135">
        <f>Tabel424[[#This Row],[Kolom2911]]*AM$2</f>
        <v>0</v>
      </c>
      <c r="AO11" s="135">
        <f>IF(F$2="x",(_xlfn.RANK.EQ(Tabel424[[#This Row],[Kolom4]],F$5:F$35)),0)</f>
        <v>0</v>
      </c>
      <c r="AP11" s="135">
        <f>Tabel424[[#This Row],[Kolom29112]]*AO$2</f>
        <v>0</v>
      </c>
      <c r="AQ11" s="135">
        <f>IF(G$2="x",(_xlfn.RANK.EQ(Tabel424[[#This Row],[Kolom5]],G$5:G$35)),0)</f>
        <v>0</v>
      </c>
      <c r="AR11" s="135">
        <f>Tabel424[[#This Row],[Kolom29113]]*AQ$2</f>
        <v>0</v>
      </c>
      <c r="AS11" s="135">
        <f>IF(H$2="x",(_xlfn.RANK.EQ(Tabel424[[#This Row],[Kolom6]],H$5:H$35)),0)</f>
        <v>0</v>
      </c>
      <c r="AT11" s="135">
        <f>Tabel424[[#This Row],[Kolom29114]]*AS$2</f>
        <v>0</v>
      </c>
      <c r="AU11" s="135">
        <f>IF(I$2="x",(_xlfn.RANK.EQ(Tabel424[[#This Row],[Kolom62]],I$5:I$35)),0)</f>
        <v>0</v>
      </c>
      <c r="AV11" s="135">
        <f>Tabel424[[#This Row],[Kolom29115]]*AU$2</f>
        <v>0</v>
      </c>
      <c r="AW11" s="135">
        <f>IF(J$2="x",(_xlfn.RANK.EQ(Tabel424[[#This Row],[Kolom7]],J$5:J$35)),0)</f>
        <v>23</v>
      </c>
      <c r="AX11" s="135">
        <f>Tabel424[[#This Row],[Kolom29116]]*AW$2</f>
        <v>115</v>
      </c>
      <c r="AY11" s="135">
        <f>IF(K$2="x",(_xlfn.RANK.EQ(Tabel424[[#This Row],[Kolom72]],K$5:K$35)),0)</f>
        <v>0</v>
      </c>
      <c r="AZ11" s="135">
        <f>Tabel424[[#This Row],[Kolom29117]]*AY$2</f>
        <v>0</v>
      </c>
      <c r="BA11" s="135">
        <f>IF(L$2="x",(_xlfn.RANK.EQ(Tabel424[[#This Row],[Kolom8]],L$5:L$35)),0)</f>
        <v>0</v>
      </c>
      <c r="BB11" s="135">
        <f>Tabel424[[#This Row],[Kolom29118]]*BA$2</f>
        <v>0</v>
      </c>
      <c r="BC11" s="135">
        <f>IF(M$2="x",(_xlfn.RANK.EQ(Tabel424[[#This Row],[Kolom9]],M$5:M$35)),0)</f>
        <v>0</v>
      </c>
      <c r="BD11" s="135">
        <f>Tabel424[[#This Row],[Kolom29119]]*BC$2</f>
        <v>0</v>
      </c>
      <c r="BE11" s="135">
        <f>IF(N$2="x",(_xlfn.RANK.EQ(Tabel424[[#This Row],[Kolom10]],N$5:N$35)),0)</f>
        <v>0</v>
      </c>
      <c r="BF11" s="135">
        <f>Tabel424[[#This Row],[Kolom29120]]*BE$2</f>
        <v>0</v>
      </c>
      <c r="BG11" s="135">
        <f>IF(O$2="x",(_xlfn.RANK.EQ(Tabel424[[#This Row],[Kolom11]],O$5:O$35)),0)</f>
        <v>0</v>
      </c>
      <c r="BH11" s="135">
        <f>Tabel424[[#This Row],[Kolom29121]]*BG$2</f>
        <v>0</v>
      </c>
      <c r="BI11" s="135">
        <f>IF(P$2="x",(_xlfn.RANK.EQ(Tabel424[[#This Row],[Kolom12]],P$5:P$35)),0)</f>
        <v>0</v>
      </c>
      <c r="BJ11" s="135">
        <f>Tabel424[[#This Row],[Kolom29122]]*BI$2</f>
        <v>0</v>
      </c>
      <c r="BK11" s="135">
        <f>IF(Q$2="x",(_xlfn.RANK.EQ(Tabel424[[#This Row],[Kolom13]],Q$5:Q$35)),0)</f>
        <v>0</v>
      </c>
      <c r="BL11" s="135">
        <f>Tabel424[[#This Row],[Kolom29123]]*BK$2</f>
        <v>0</v>
      </c>
      <c r="BM11" s="135">
        <f>IF(R$2="x",(_xlfn.RANK.EQ(Tabel424[[#This Row],[Kolom133]],R$5:R$35)),0)</f>
        <v>0</v>
      </c>
      <c r="BN11" s="135">
        <f>Tabel424[[#This Row],[Kolom29124]]*BM$2</f>
        <v>0</v>
      </c>
      <c r="BO11" s="135">
        <f>IF(S$2="x",(_xlfn.RANK.EQ(Tabel424[[#This Row],[Kolom132]],S$5:S$35)),0)</f>
        <v>0</v>
      </c>
      <c r="BP11" s="135">
        <f>Tabel424[[#This Row],[Kolom29125]]*BO$2</f>
        <v>0</v>
      </c>
      <c r="BQ11" s="135">
        <f>IF(T$2="x",(_xlfn.RANK.EQ(Tabel424[[#This Row],[Kolom14]],T$5:T$35)),0)</f>
        <v>8</v>
      </c>
      <c r="BR11" s="135">
        <f>Tabel424[[#This Row],[Kolom29126]]*BQ$2</f>
        <v>40</v>
      </c>
      <c r="BS11" s="135">
        <f>IF(U$2="x",(_xlfn.RANK.EQ(Tabel424[[#This Row],[Kolom16]],U$5:U$35)),0)</f>
        <v>0</v>
      </c>
      <c r="BT11" s="135">
        <f>Tabel424[[#This Row],[Kolom29127]]*BS$2</f>
        <v>0</v>
      </c>
      <c r="BU11" s="135">
        <f>IF(V$2="x",(_xlfn.RANK.EQ(Tabel424[[#This Row],[Kolom173]],V$5:V$35)),0)</f>
        <v>0</v>
      </c>
      <c r="BV11" s="135">
        <f>Tabel424[[#This Row],[Kolom29128]]*BU$2</f>
        <v>0</v>
      </c>
      <c r="BW11" s="135">
        <f>IF(W$2="x",(_xlfn.RANK.EQ(Tabel424[[#This Row],[Kolom172]],W$5:W$35)),0)</f>
        <v>1</v>
      </c>
      <c r="BX11" s="135">
        <f>Tabel424[[#This Row],[Kolom29129]]*BW$2</f>
        <v>1</v>
      </c>
      <c r="BY11" s="135">
        <f>IF(X$2="x",(_xlfn.RANK.EQ(Tabel424[[#This Row],[Kolom18]],X$5:X$35)),0)</f>
        <v>0</v>
      </c>
      <c r="BZ11" s="135">
        <f>Tabel424[[#This Row],[Kolom29130]]*BY$2</f>
        <v>0</v>
      </c>
      <c r="CA11" s="135">
        <f>IF(Y$2="x",(_xlfn.RANK.EQ(Tabel424[[#This Row],[Kolom19]],Y$5:Y$35)),0)</f>
        <v>11</v>
      </c>
      <c r="CB11" s="135">
        <f>Tabel424[[#This Row],[Kolom29131]]*CA$2</f>
        <v>11</v>
      </c>
      <c r="CC11" s="135">
        <f>IF(Z$2="x",(_xlfn.RANK.EQ(Tabel424[[#This Row],[Kolom20]],Z$5:Z$35)),0)</f>
        <v>0</v>
      </c>
      <c r="CD11" s="135">
        <f>Tabel424[[#This Row],[Kolom29132]]*CC$2</f>
        <v>0</v>
      </c>
      <c r="CE11" s="135">
        <f>IF(AA$2="x",(_xlfn.RANK.EQ(Tabel424[[#This Row],[Kolom21]],AA$5:AA$35)),0)</f>
        <v>0</v>
      </c>
      <c r="CF11" s="135">
        <f>Tabel424[[#This Row],[Kolom29133]]*CE$2</f>
        <v>0</v>
      </c>
      <c r="CG11" s="135">
        <f>IF(AB$2="x",(_xlfn.RANK.EQ(Tabel424[[#This Row],[Kolom22]],AB$5:AB$35)),0)</f>
        <v>0</v>
      </c>
      <c r="CH11" s="135">
        <f>Tabel424[[#This Row],[Kolom29134]]*CG$2</f>
        <v>0</v>
      </c>
      <c r="CI11" s="135">
        <f>IF(AC$2="x",(_xlfn.RANK.EQ(Tabel424[[#This Row],[Kolom223]],AC$5:AC$35)),0)</f>
        <v>0</v>
      </c>
      <c r="CJ11" s="135">
        <f>Tabel424[[#This Row],[Kolom29135]]*CI$2</f>
        <v>0</v>
      </c>
      <c r="CK11" s="135">
        <f>IF(AD$2="x",(_xlfn.RANK.EQ(Tabel424[[#This Row],[Kolom222]],AD$5:AD$35)),0)</f>
        <v>0</v>
      </c>
      <c r="CL11" s="135">
        <f>Tabel424[[#This Row],[Kolom29136]]*CK$2</f>
        <v>0</v>
      </c>
      <c r="CM11" s="135">
        <f t="shared" si="13"/>
        <v>4</v>
      </c>
      <c r="CN11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Row],[Kolom29130]]+CA11+Tabel424[[#This Row],[Kolom29132]]+Tabel424[[#This Row],[Kolom29133]]+Tabel424[[#This Row],[Kolom29134]]+Tabel424[[#This Row],[Kolom29135]]+Tabel424[[#This Row],[Kolom29136]])/Tabel424[[#This Row],[Kolom29137]]</f>
        <v>10.75</v>
      </c>
      <c r="CO11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Row],[Kolom291302]]+CB11+Tabel424[[#This Row],[Kolom291322]]+Tabel424[[#This Row],[Kolom291332]]+Tabel424[[#This Row],[Kolom291342]]+Tabel424[[#This Row],[Kolom291352]]+Tabel424[[#This Row],[Kolom291362]])/Tabel424[[#This Row],[Kolom29137]]</f>
        <v>41.75</v>
      </c>
      <c r="CP11" s="142">
        <f>_xlfn.RANK.EQ(Tabel424[[#This Row],[Kolom29138]],CN$5:CN$35,1)</f>
        <v>19</v>
      </c>
      <c r="CQ11" s="142">
        <f>_xlfn.RANK.EQ(Tabel424[[#This Row],[Kolom291382]],CO$5:CO$35,1)</f>
        <v>25</v>
      </c>
    </row>
    <row r="12" spans="1:95">
      <c r="B12" s="21" t="str">
        <f>'Symptomen (alle)'!A9</f>
        <v>ICH/White spot disease_x000D_(Ichthyophthirius)</v>
      </c>
      <c r="C12" s="21">
        <f>'Symptomen (alle)'!B9</f>
        <v>1</v>
      </c>
      <c r="D12" s="21" t="str">
        <f>IF(D$2="x",'Symptomen (alle)'!C9,0)</f>
        <v>x</v>
      </c>
      <c r="E12" s="21">
        <f>IF(E$2="x",'Symptomen (alle)'!D9,0)</f>
        <v>0</v>
      </c>
      <c r="F12" s="21">
        <f>IF(F$2="x",'Symptomen (alle)'!E9,0)</f>
        <v>0</v>
      </c>
      <c r="G12" s="21">
        <f>IF(G$2="x",'Symptomen (alle)'!F9,0)</f>
        <v>0</v>
      </c>
      <c r="H12" s="21">
        <f>IF(H$2="x",'Symptomen (alle)'!G9,0)</f>
        <v>0</v>
      </c>
      <c r="I12" s="21">
        <f>IF(I$2="x",'Symptomen (alle)'!H9,0)</f>
        <v>0</v>
      </c>
      <c r="J12" s="21">
        <f>IF(J$2="x",'Symptomen (alle)'!I9,0)</f>
        <v>2</v>
      </c>
      <c r="K12" s="21">
        <f>IF(K$2="x",'Symptomen (alle)'!J9,0)</f>
        <v>0</v>
      </c>
      <c r="L12" s="21">
        <f>IF(L$2="x",'Symptomen (alle)'!K9,0)</f>
        <v>0</v>
      </c>
      <c r="M12" s="21">
        <f>IF(M$2="x",'Symptomen (alle)'!L9,0)</f>
        <v>0</v>
      </c>
      <c r="N12" s="21">
        <f>IF(N$2="x",'Symptomen (alle)'!M9,0)</f>
        <v>0</v>
      </c>
      <c r="O12" s="21">
        <f>IF(O$2="x",'Symptomen (alle)'!N9,0)</f>
        <v>0</v>
      </c>
      <c r="P12" s="21">
        <f>IF(P$2="x",'Symptomen (alle)'!O9,0)</f>
        <v>0</v>
      </c>
      <c r="Q12" s="21">
        <f>IF(Q$2="x",'Symptomen (alle)'!P9,0)</f>
        <v>0</v>
      </c>
      <c r="R12" s="21">
        <f>IF(R$2="x",'Symptomen (alle)'!Q9,0)</f>
        <v>0</v>
      </c>
      <c r="S12" s="21">
        <f>IF(S$2="x",'Symptomen (alle)'!R9,0)</f>
        <v>0</v>
      </c>
      <c r="T12" s="21">
        <f>IF(T$2="x",'Symptomen (alle)'!S9,0)</f>
        <v>2</v>
      </c>
      <c r="U12" s="21">
        <f>IF(U$2="x",'Symptomen (alle)'!T9,0)</f>
        <v>0</v>
      </c>
      <c r="V12" s="21">
        <f>IF(V$2="x",'Symptomen (alle)'!U9,0)</f>
        <v>0</v>
      </c>
      <c r="W12" s="21">
        <f>IF(W$2="x",'Symptomen (alle)'!V9,0)</f>
        <v>2</v>
      </c>
      <c r="X12" s="21">
        <f>IF(X$2="x",'Symptomen (alle)'!W9,0)</f>
        <v>0</v>
      </c>
      <c r="Y12" s="21">
        <f>IF(Y$2="x",'Symptomen (alle)'!X9,0)</f>
        <v>0</v>
      </c>
      <c r="Z12" s="21">
        <f>IF(Z$2="x",'Symptomen (alle)'!Y9,0)</f>
        <v>0</v>
      </c>
      <c r="AA12" s="21">
        <f>IF(AA$2="x",'Symptomen (alle)'!Z9,0)</f>
        <v>0</v>
      </c>
      <c r="AB12" s="21">
        <f>IF(AB$2="x",'Symptomen (alle)'!AA9,0)</f>
        <v>0</v>
      </c>
      <c r="AC12" s="21">
        <f>IF(AC$2="x",'Symptomen (alle)'!AB9,0)</f>
        <v>0</v>
      </c>
      <c r="AD12" s="21">
        <f>IF(AD$2="x",'Symptomen (alle)'!AC9,0)</f>
        <v>0</v>
      </c>
      <c r="AE12" s="21">
        <f t="shared" si="11"/>
        <v>6</v>
      </c>
      <c r="AF12" s="21">
        <f>HLOOKUP($B$2,ZiekteFam!$B$1:$T$32,AG12,FALSE)</f>
        <v>10</v>
      </c>
      <c r="AG12" s="32">
        <f t="shared" si="12"/>
        <v>9</v>
      </c>
      <c r="AH12" s="32">
        <f>SUM('Symptomen (alle)'!D9:AC9)</f>
        <v>43</v>
      </c>
      <c r="AI12" s="22">
        <f>Tabel424[[#This Row],[Kolom25]]/Tabel424[[#This Row],[Kolom28]]</f>
        <v>0.13953488372093023</v>
      </c>
      <c r="AJ12" s="22"/>
      <c r="AK12" s="22">
        <f>Tabel424[[#This Row],[Kolom29]]</f>
        <v>0.13953488372093023</v>
      </c>
      <c r="AL12" s="36">
        <f>_xlfn.RANK.EQ(Tabel424[[#This Row],[Kolom29]],$AI$5:$AI$35)</f>
        <v>13</v>
      </c>
      <c r="AM12" s="135">
        <f>IF(E$2="x",(_xlfn.RANK.EQ(Tabel424[[#This Row],[Kolom3]],E$5:E$35)),0)</f>
        <v>0</v>
      </c>
      <c r="AN12" s="135">
        <f>Tabel424[[#This Row],[Kolom2911]]*AM$2</f>
        <v>0</v>
      </c>
      <c r="AO12" s="135">
        <f>IF(F$2="x",(_xlfn.RANK.EQ(Tabel424[[#This Row],[Kolom4]],F$5:F$35)),0)</f>
        <v>0</v>
      </c>
      <c r="AP12" s="135">
        <f>Tabel424[[#This Row],[Kolom29112]]*AO$2</f>
        <v>0</v>
      </c>
      <c r="AQ12" s="135">
        <f>IF(G$2="x",(_xlfn.RANK.EQ(Tabel424[[#This Row],[Kolom5]],G$5:G$35)),0)</f>
        <v>0</v>
      </c>
      <c r="AR12" s="135">
        <f>Tabel424[[#This Row],[Kolom29113]]*AQ$2</f>
        <v>0</v>
      </c>
      <c r="AS12" s="135">
        <f>IF(H$2="x",(_xlfn.RANK.EQ(Tabel424[[#This Row],[Kolom6]],H$5:H$35)),0)</f>
        <v>0</v>
      </c>
      <c r="AT12" s="135">
        <f>Tabel424[[#This Row],[Kolom29114]]*AS$2</f>
        <v>0</v>
      </c>
      <c r="AU12" s="135">
        <f>IF(I$2="x",(_xlfn.RANK.EQ(Tabel424[[#This Row],[Kolom62]],I$5:I$35)),0)</f>
        <v>0</v>
      </c>
      <c r="AV12" s="135">
        <f>Tabel424[[#This Row],[Kolom29115]]*AU$2</f>
        <v>0</v>
      </c>
      <c r="AW12" s="135">
        <f>IF(J$2="x",(_xlfn.RANK.EQ(Tabel424[[#This Row],[Kolom7]],J$5:J$35)),0)</f>
        <v>7</v>
      </c>
      <c r="AX12" s="135">
        <f>Tabel424[[#This Row],[Kolom29116]]*AW$2</f>
        <v>35</v>
      </c>
      <c r="AY12" s="135">
        <f>IF(K$2="x",(_xlfn.RANK.EQ(Tabel424[[#This Row],[Kolom72]],K$5:K$35)),0)</f>
        <v>0</v>
      </c>
      <c r="AZ12" s="135">
        <f>Tabel424[[#This Row],[Kolom29117]]*AY$2</f>
        <v>0</v>
      </c>
      <c r="BA12" s="135">
        <f>IF(L$2="x",(_xlfn.RANK.EQ(Tabel424[[#This Row],[Kolom8]],L$5:L$35)),0)</f>
        <v>0</v>
      </c>
      <c r="BB12" s="135">
        <f>Tabel424[[#This Row],[Kolom29118]]*BA$2</f>
        <v>0</v>
      </c>
      <c r="BC12" s="135">
        <f>IF(M$2="x",(_xlfn.RANK.EQ(Tabel424[[#This Row],[Kolom9]],M$5:M$35)),0)</f>
        <v>0</v>
      </c>
      <c r="BD12" s="135">
        <f>Tabel424[[#This Row],[Kolom29119]]*BC$2</f>
        <v>0</v>
      </c>
      <c r="BE12" s="135">
        <f>IF(N$2="x",(_xlfn.RANK.EQ(Tabel424[[#This Row],[Kolom10]],N$5:N$35)),0)</f>
        <v>0</v>
      </c>
      <c r="BF12" s="135">
        <f>Tabel424[[#This Row],[Kolom29120]]*BE$2</f>
        <v>0</v>
      </c>
      <c r="BG12" s="135">
        <f>IF(O$2="x",(_xlfn.RANK.EQ(Tabel424[[#This Row],[Kolom11]],O$5:O$35)),0)</f>
        <v>0</v>
      </c>
      <c r="BH12" s="135">
        <f>Tabel424[[#This Row],[Kolom29121]]*BG$2</f>
        <v>0</v>
      </c>
      <c r="BI12" s="135">
        <f>IF(P$2="x",(_xlfn.RANK.EQ(Tabel424[[#This Row],[Kolom12]],P$5:P$35)),0)</f>
        <v>0</v>
      </c>
      <c r="BJ12" s="135">
        <f>Tabel424[[#This Row],[Kolom29122]]*BI$2</f>
        <v>0</v>
      </c>
      <c r="BK12" s="135">
        <f>IF(Q$2="x",(_xlfn.RANK.EQ(Tabel424[[#This Row],[Kolom13]],Q$5:Q$35)),0)</f>
        <v>0</v>
      </c>
      <c r="BL12" s="135">
        <f>Tabel424[[#This Row],[Kolom29123]]*BK$2</f>
        <v>0</v>
      </c>
      <c r="BM12" s="135">
        <f>IF(R$2="x",(_xlfn.RANK.EQ(Tabel424[[#This Row],[Kolom133]],R$5:R$35)),0)</f>
        <v>0</v>
      </c>
      <c r="BN12" s="135">
        <f>Tabel424[[#This Row],[Kolom29124]]*BM$2</f>
        <v>0</v>
      </c>
      <c r="BO12" s="135">
        <f>IF(S$2="x",(_xlfn.RANK.EQ(Tabel424[[#This Row],[Kolom132]],S$5:S$35)),0)</f>
        <v>0</v>
      </c>
      <c r="BP12" s="135">
        <f>Tabel424[[#This Row],[Kolom29125]]*BO$2</f>
        <v>0</v>
      </c>
      <c r="BQ12" s="135">
        <f>IF(T$2="x",(_xlfn.RANK.EQ(Tabel424[[#This Row],[Kolom14]],T$5:T$35)),0)</f>
        <v>2</v>
      </c>
      <c r="BR12" s="135">
        <f>Tabel424[[#This Row],[Kolom29126]]*BQ$2</f>
        <v>10</v>
      </c>
      <c r="BS12" s="135">
        <f>IF(U$2="x",(_xlfn.RANK.EQ(Tabel424[[#This Row],[Kolom16]],U$5:U$35)),0)</f>
        <v>0</v>
      </c>
      <c r="BT12" s="135">
        <f>Tabel424[[#This Row],[Kolom29127]]*BS$2</f>
        <v>0</v>
      </c>
      <c r="BU12" s="135">
        <f>IF(V$2="x",(_xlfn.RANK.EQ(Tabel424[[#This Row],[Kolom173]],V$5:V$35)),0)</f>
        <v>0</v>
      </c>
      <c r="BV12" s="135">
        <f>Tabel424[[#This Row],[Kolom29128]]*BU$2</f>
        <v>0</v>
      </c>
      <c r="BW12" s="135">
        <f>IF(W$2="x",(_xlfn.RANK.EQ(Tabel424[[#This Row],[Kolom172]],W$5:W$35)),0)</f>
        <v>6</v>
      </c>
      <c r="BX12" s="135">
        <f>Tabel424[[#This Row],[Kolom29129]]*BW$2</f>
        <v>6</v>
      </c>
      <c r="BY12" s="135">
        <f>IF(X$2="x",(_xlfn.RANK.EQ(Tabel424[[#This Row],[Kolom18]],X$5:X$35)),0)</f>
        <v>0</v>
      </c>
      <c r="BZ12" s="135">
        <f>Tabel424[[#This Row],[Kolom29130]]*BY$2</f>
        <v>0</v>
      </c>
      <c r="CA12" s="135">
        <f>IF(Y$2="x",(_xlfn.RANK.EQ(Tabel424[[#This Row],[Kolom19]],Y$5:Y$35)),0)</f>
        <v>11</v>
      </c>
      <c r="CB12" s="135">
        <f>Tabel424[[#This Row],[Kolom29131]]*CA$2</f>
        <v>11</v>
      </c>
      <c r="CC12" s="135">
        <f>IF(Z$2="x",(_xlfn.RANK.EQ(Tabel424[[#This Row],[Kolom20]],Z$5:Z$35)),0)</f>
        <v>0</v>
      </c>
      <c r="CD12" s="135">
        <f>Tabel424[[#This Row],[Kolom29132]]*CC$2</f>
        <v>0</v>
      </c>
      <c r="CE12" s="135">
        <f>IF(AA$2="x",(_xlfn.RANK.EQ(Tabel424[[#This Row],[Kolom21]],AA$5:AA$35)),0)</f>
        <v>0</v>
      </c>
      <c r="CF12" s="135">
        <f>Tabel424[[#This Row],[Kolom29133]]*CE$2</f>
        <v>0</v>
      </c>
      <c r="CG12" s="135">
        <f>IF(AB$2="x",(_xlfn.RANK.EQ(Tabel424[[#This Row],[Kolom22]],AB$5:AB$35)),0)</f>
        <v>0</v>
      </c>
      <c r="CH12" s="135">
        <f>Tabel424[[#This Row],[Kolom29134]]*CG$2</f>
        <v>0</v>
      </c>
      <c r="CI12" s="135">
        <f>IF(AC$2="x",(_xlfn.RANK.EQ(Tabel424[[#This Row],[Kolom223]],AC$5:AC$35)),0)</f>
        <v>0</v>
      </c>
      <c r="CJ12" s="135">
        <f>Tabel424[[#This Row],[Kolom29135]]*CI$2</f>
        <v>0</v>
      </c>
      <c r="CK12" s="135">
        <f>IF(AD$2="x",(_xlfn.RANK.EQ(Tabel424[[#This Row],[Kolom222]],AD$5:AD$35)),0)</f>
        <v>0</v>
      </c>
      <c r="CL12" s="135">
        <f>Tabel424[[#This Row],[Kolom29136]]*CK$2</f>
        <v>0</v>
      </c>
      <c r="CM12" s="135">
        <f t="shared" si="13"/>
        <v>4</v>
      </c>
      <c r="CN12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Row],[Kolom29130]]+CA12+Tabel424[[#This Row],[Kolom29132]]+Tabel424[[#This Row],[Kolom29133]]+Tabel424[[#This Row],[Kolom29134]]+Tabel424[[#This Row],[Kolom29135]]+Tabel424[[#This Row],[Kolom29136]])/Tabel424[[#This Row],[Kolom29137]]</f>
        <v>6.5</v>
      </c>
      <c r="CO12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Row],[Kolom291302]]+CB12+Tabel424[[#This Row],[Kolom291322]]+Tabel424[[#This Row],[Kolom291332]]+Tabel424[[#This Row],[Kolom291342]]+Tabel424[[#This Row],[Kolom291352]]+Tabel424[[#This Row],[Kolom291362]])/Tabel424[[#This Row],[Kolom29137]]</f>
        <v>15.5</v>
      </c>
      <c r="CP12" s="142">
        <f>_xlfn.RANK.EQ(Tabel424[[#This Row],[Kolom29138]],CN$5:CN$35,1)</f>
        <v>5</v>
      </c>
      <c r="CQ12" s="142">
        <f>_xlfn.RANK.EQ(Tabel424[[#This Row],[Kolom291382]],CO$5:CO$35,1)</f>
        <v>5</v>
      </c>
    </row>
    <row r="13" spans="1:95">
      <c r="B13" s="21" t="str">
        <f>'Symptomen (alle)'!A10</f>
        <v>Oodinium/Velvet disease</v>
      </c>
      <c r="C13">
        <f>'Symptomen (alle)'!B10</f>
        <v>1</v>
      </c>
      <c r="D13" s="21" t="str">
        <f>IF(D$2="x",'Symptomen (alle)'!C10,0)</f>
        <v>x</v>
      </c>
      <c r="E13" s="21">
        <f>IF(E$2="x",'Symptomen (alle)'!D10,0)</f>
        <v>0</v>
      </c>
      <c r="F13" s="21">
        <f>IF(F$2="x",'Symptomen (alle)'!E10,0)</f>
        <v>0</v>
      </c>
      <c r="G13" s="21">
        <f>IF(G$2="x",'Symptomen (alle)'!F10,0)</f>
        <v>0</v>
      </c>
      <c r="H13" s="21">
        <f>IF(H$2="x",'Symptomen (alle)'!G10,0)</f>
        <v>0</v>
      </c>
      <c r="I13" s="21">
        <f>IF(I$2="x",'Symptomen (alle)'!H10,0)</f>
        <v>0</v>
      </c>
      <c r="J13" s="21">
        <f>IF(J$2="x",'Symptomen (alle)'!I10,0)</f>
        <v>2</v>
      </c>
      <c r="K13" s="21">
        <f>IF(K$2="x",'Symptomen (alle)'!J10,0)</f>
        <v>0</v>
      </c>
      <c r="L13" s="21">
        <f>IF(L$2="x",'Symptomen (alle)'!K10,0)</f>
        <v>0</v>
      </c>
      <c r="M13" s="21">
        <f>IF(M$2="x",'Symptomen (alle)'!L10,0)</f>
        <v>0</v>
      </c>
      <c r="N13" s="21">
        <f>IF(N$2="x",'Symptomen (alle)'!M10,0)</f>
        <v>0</v>
      </c>
      <c r="O13" s="21">
        <f>IF(O$2="x",'Symptomen (alle)'!N10,0)</f>
        <v>0</v>
      </c>
      <c r="P13" s="21">
        <f>IF(P$2="x",'Symptomen (alle)'!O10,0)</f>
        <v>0</v>
      </c>
      <c r="Q13" s="21">
        <f>IF(Q$2="x",'Symptomen (alle)'!P10,0)</f>
        <v>0</v>
      </c>
      <c r="R13" s="21">
        <f>IF(R$2="x",'Symptomen (alle)'!Q10,0)</f>
        <v>0</v>
      </c>
      <c r="S13" s="21">
        <f>IF(S$2="x",'Symptomen (alle)'!R10,0)</f>
        <v>0</v>
      </c>
      <c r="T13" s="21">
        <f>IF(T$2="x",'Symptomen (alle)'!S10,0)</f>
        <v>10</v>
      </c>
      <c r="U13" s="21">
        <f>IF(U$2="x",'Symptomen (alle)'!T10,0)</f>
        <v>0</v>
      </c>
      <c r="V13" s="21">
        <f>IF(V$2="x",'Symptomen (alle)'!U10,0)</f>
        <v>0</v>
      </c>
      <c r="W13" s="21">
        <f>IF(W$2="x",'Symptomen (alle)'!V10,0)</f>
        <v>3</v>
      </c>
      <c r="X13" s="21">
        <f>IF(X$2="x",'Symptomen (alle)'!W10,0)</f>
        <v>0</v>
      </c>
      <c r="Y13" s="21">
        <f>IF(Y$2="x",'Symptomen (alle)'!X10,0)</f>
        <v>2</v>
      </c>
      <c r="Z13" s="21">
        <f>IF(Z$2="x",'Symptomen (alle)'!Y10,0)</f>
        <v>0</v>
      </c>
      <c r="AA13" s="21">
        <f>IF(AA$2="x",'Symptomen (alle)'!Z10,0)</f>
        <v>0</v>
      </c>
      <c r="AB13" s="21">
        <f>IF(AB$2="x",'Symptomen (alle)'!AA10,0)</f>
        <v>0</v>
      </c>
      <c r="AC13" s="21">
        <f>IF(AC$2="x",'Symptomen (alle)'!AB10,0)</f>
        <v>0</v>
      </c>
      <c r="AD13" s="21">
        <f>IF(AD$2="x",'Symptomen (alle)'!AC10,0)</f>
        <v>0</v>
      </c>
      <c r="AE13" s="21">
        <f t="shared" si="11"/>
        <v>17</v>
      </c>
      <c r="AF13" s="21">
        <f>HLOOKUP($B$2,ZiekteFam!$B$1:$T$32,AG13,FALSE)</f>
        <v>3</v>
      </c>
      <c r="AG13" s="32">
        <f t="shared" si="12"/>
        <v>10</v>
      </c>
      <c r="AH13" s="32">
        <f>SUM('Symptomen (alle)'!D10:AC10)</f>
        <v>41</v>
      </c>
      <c r="AI13" s="22">
        <f>Tabel424[[#This Row],[Kolom25]]/Tabel424[[#This Row],[Kolom28]]</f>
        <v>0.41463414634146339</v>
      </c>
      <c r="AJ13" s="22"/>
      <c r="AK13" s="22">
        <f>Tabel424[[#This Row],[Kolom29]]</f>
        <v>0.41463414634146339</v>
      </c>
      <c r="AL13" s="36">
        <f>_xlfn.RANK.EQ(Tabel424[[#This Row],[Kolom29]],$AI$5:$AI$35)</f>
        <v>2</v>
      </c>
      <c r="AM13" s="135">
        <f>IF(E$2="x",(_xlfn.RANK.EQ(Tabel424[[#This Row],[Kolom3]],E$5:E$35)),0)</f>
        <v>0</v>
      </c>
      <c r="AN13" s="135">
        <f>Tabel424[[#This Row],[Kolom2911]]*AM$2</f>
        <v>0</v>
      </c>
      <c r="AO13" s="135">
        <f>IF(F$2="x",(_xlfn.RANK.EQ(Tabel424[[#This Row],[Kolom4]],F$5:F$35)),0)</f>
        <v>0</v>
      </c>
      <c r="AP13" s="135">
        <f>Tabel424[[#This Row],[Kolom29112]]*AO$2</f>
        <v>0</v>
      </c>
      <c r="AQ13" s="135">
        <f>IF(G$2="x",(_xlfn.RANK.EQ(Tabel424[[#This Row],[Kolom5]],G$5:G$35)),0)</f>
        <v>0</v>
      </c>
      <c r="AR13" s="135">
        <f>Tabel424[[#This Row],[Kolom29113]]*AQ$2</f>
        <v>0</v>
      </c>
      <c r="AS13" s="135">
        <f>IF(H$2="x",(_xlfn.RANK.EQ(Tabel424[[#This Row],[Kolom6]],H$5:H$35)),0)</f>
        <v>0</v>
      </c>
      <c r="AT13" s="135">
        <f>Tabel424[[#This Row],[Kolom29114]]*AS$2</f>
        <v>0</v>
      </c>
      <c r="AU13" s="135">
        <f>IF(I$2="x",(_xlfn.RANK.EQ(Tabel424[[#This Row],[Kolom62]],I$5:I$35)),0)</f>
        <v>0</v>
      </c>
      <c r="AV13" s="135">
        <f>Tabel424[[#This Row],[Kolom29115]]*AU$2</f>
        <v>0</v>
      </c>
      <c r="AW13" s="135">
        <f>IF(J$2="x",(_xlfn.RANK.EQ(Tabel424[[#This Row],[Kolom7]],J$5:J$35)),0)</f>
        <v>7</v>
      </c>
      <c r="AX13" s="135">
        <f>Tabel424[[#This Row],[Kolom29116]]*AW$2</f>
        <v>35</v>
      </c>
      <c r="AY13" s="135">
        <f>IF(K$2="x",(_xlfn.RANK.EQ(Tabel424[[#This Row],[Kolom72]],K$5:K$35)),0)</f>
        <v>0</v>
      </c>
      <c r="AZ13" s="135">
        <f>Tabel424[[#This Row],[Kolom29117]]*AY$2</f>
        <v>0</v>
      </c>
      <c r="BA13" s="135">
        <f>IF(L$2="x",(_xlfn.RANK.EQ(Tabel424[[#This Row],[Kolom8]],L$5:L$35)),0)</f>
        <v>0</v>
      </c>
      <c r="BB13" s="135">
        <f>Tabel424[[#This Row],[Kolom29118]]*BA$2</f>
        <v>0</v>
      </c>
      <c r="BC13" s="135">
        <f>IF(M$2="x",(_xlfn.RANK.EQ(Tabel424[[#This Row],[Kolom9]],M$5:M$35)),0)</f>
        <v>0</v>
      </c>
      <c r="BD13" s="135">
        <f>Tabel424[[#This Row],[Kolom29119]]*BC$2</f>
        <v>0</v>
      </c>
      <c r="BE13" s="135">
        <f>IF(N$2="x",(_xlfn.RANK.EQ(Tabel424[[#This Row],[Kolom10]],N$5:N$35)),0)</f>
        <v>0</v>
      </c>
      <c r="BF13" s="135">
        <f>Tabel424[[#This Row],[Kolom29120]]*BE$2</f>
        <v>0</v>
      </c>
      <c r="BG13" s="135">
        <f>IF(O$2="x",(_xlfn.RANK.EQ(Tabel424[[#This Row],[Kolom11]],O$5:O$35)),0)</f>
        <v>0</v>
      </c>
      <c r="BH13" s="135">
        <f>Tabel424[[#This Row],[Kolom29121]]*BG$2</f>
        <v>0</v>
      </c>
      <c r="BI13" s="135">
        <f>IF(P$2="x",(_xlfn.RANK.EQ(Tabel424[[#This Row],[Kolom12]],P$5:P$35)),0)</f>
        <v>0</v>
      </c>
      <c r="BJ13" s="135">
        <f>Tabel424[[#This Row],[Kolom29122]]*BI$2</f>
        <v>0</v>
      </c>
      <c r="BK13" s="135">
        <f>IF(Q$2="x",(_xlfn.RANK.EQ(Tabel424[[#This Row],[Kolom13]],Q$5:Q$35)),0)</f>
        <v>0</v>
      </c>
      <c r="BL13" s="135">
        <f>Tabel424[[#This Row],[Kolom29123]]*BK$2</f>
        <v>0</v>
      </c>
      <c r="BM13" s="135">
        <f>IF(R$2="x",(_xlfn.RANK.EQ(Tabel424[[#This Row],[Kolom133]],R$5:R$35)),0)</f>
        <v>0</v>
      </c>
      <c r="BN13" s="135">
        <f>Tabel424[[#This Row],[Kolom29124]]*BM$2</f>
        <v>0</v>
      </c>
      <c r="BO13" s="135">
        <f>IF(S$2="x",(_xlfn.RANK.EQ(Tabel424[[#This Row],[Kolom132]],S$5:S$35)),0)</f>
        <v>0</v>
      </c>
      <c r="BP13" s="135">
        <f>Tabel424[[#This Row],[Kolom29125]]*BO$2</f>
        <v>0</v>
      </c>
      <c r="BQ13" s="135">
        <f>IF(T$2="x",(_xlfn.RANK.EQ(Tabel424[[#This Row],[Kolom14]],T$5:T$35)),0)</f>
        <v>1</v>
      </c>
      <c r="BR13" s="135">
        <f>Tabel424[[#This Row],[Kolom29126]]*BQ$2</f>
        <v>5</v>
      </c>
      <c r="BS13" s="135">
        <f>IF(U$2="x",(_xlfn.RANK.EQ(Tabel424[[#This Row],[Kolom16]],U$5:U$35)),0)</f>
        <v>0</v>
      </c>
      <c r="BT13" s="135">
        <f>Tabel424[[#This Row],[Kolom29127]]*BS$2</f>
        <v>0</v>
      </c>
      <c r="BU13" s="135">
        <f>IF(V$2="x",(_xlfn.RANK.EQ(Tabel424[[#This Row],[Kolom173]],V$5:V$35)),0)</f>
        <v>0</v>
      </c>
      <c r="BV13" s="135">
        <f>Tabel424[[#This Row],[Kolom29128]]*BU$2</f>
        <v>0</v>
      </c>
      <c r="BW13" s="135">
        <f>IF(W$2="x",(_xlfn.RANK.EQ(Tabel424[[#This Row],[Kolom172]],W$5:W$35)),0)</f>
        <v>1</v>
      </c>
      <c r="BX13" s="135">
        <f>Tabel424[[#This Row],[Kolom29129]]*BW$2</f>
        <v>1</v>
      </c>
      <c r="BY13" s="135">
        <f>IF(X$2="x",(_xlfn.RANK.EQ(Tabel424[[#This Row],[Kolom18]],X$5:X$35)),0)</f>
        <v>0</v>
      </c>
      <c r="BZ13" s="135">
        <f>Tabel424[[#This Row],[Kolom29130]]*BY$2</f>
        <v>0</v>
      </c>
      <c r="CA13" s="135">
        <f>IF(Y$2="x",(_xlfn.RANK.EQ(Tabel424[[#This Row],[Kolom19]],Y$5:Y$35)),0)</f>
        <v>3</v>
      </c>
      <c r="CB13" s="135">
        <f>Tabel424[[#This Row],[Kolom29131]]*CA$2</f>
        <v>3</v>
      </c>
      <c r="CC13" s="135">
        <f>IF(Z$2="x",(_xlfn.RANK.EQ(Tabel424[[#This Row],[Kolom20]],Z$5:Z$35)),0)</f>
        <v>0</v>
      </c>
      <c r="CD13" s="135">
        <f>Tabel424[[#This Row],[Kolom29132]]*CC$2</f>
        <v>0</v>
      </c>
      <c r="CE13" s="135">
        <f>IF(AA$2="x",(_xlfn.RANK.EQ(Tabel424[[#This Row],[Kolom21]],AA$5:AA$35)),0)</f>
        <v>0</v>
      </c>
      <c r="CF13" s="135">
        <f>Tabel424[[#This Row],[Kolom29133]]*CE$2</f>
        <v>0</v>
      </c>
      <c r="CG13" s="135">
        <f>IF(AB$2="x",(_xlfn.RANK.EQ(Tabel424[[#This Row],[Kolom22]],AB$5:AB$35)),0)</f>
        <v>0</v>
      </c>
      <c r="CH13" s="135">
        <f>Tabel424[[#This Row],[Kolom29134]]*CG$2</f>
        <v>0</v>
      </c>
      <c r="CI13" s="135">
        <f>IF(AC$2="x",(_xlfn.RANK.EQ(Tabel424[[#This Row],[Kolom223]],AC$5:AC$35)),0)</f>
        <v>0</v>
      </c>
      <c r="CJ13" s="135">
        <f>Tabel424[[#This Row],[Kolom29135]]*CI$2</f>
        <v>0</v>
      </c>
      <c r="CK13" s="135">
        <f>IF(AD$2="x",(_xlfn.RANK.EQ(Tabel424[[#This Row],[Kolom222]],AD$5:AD$35)),0)</f>
        <v>0</v>
      </c>
      <c r="CL13" s="135">
        <f>Tabel424[[#This Row],[Kolom29136]]*CK$2</f>
        <v>0</v>
      </c>
      <c r="CM13" s="135">
        <f t="shared" si="13"/>
        <v>4</v>
      </c>
      <c r="CN13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Row],[Kolom29130]]+CA13+Tabel424[[#This Row],[Kolom29132]]+Tabel424[[#This Row],[Kolom29133]]+Tabel424[[#This Row],[Kolom29134]]+Tabel424[[#This Row],[Kolom29135]]+Tabel424[[#This Row],[Kolom29136]])/Tabel424[[#This Row],[Kolom29137]]</f>
        <v>3</v>
      </c>
      <c r="CO13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Row],[Kolom291302]]+CB13+Tabel424[[#This Row],[Kolom291322]]+Tabel424[[#This Row],[Kolom291332]]+Tabel424[[#This Row],[Kolom291342]]+Tabel424[[#This Row],[Kolom291352]]+Tabel424[[#This Row],[Kolom291362]])/Tabel424[[#This Row],[Kolom29137]]</f>
        <v>11</v>
      </c>
      <c r="CP13" s="142">
        <f>_xlfn.RANK.EQ(Tabel424[[#This Row],[Kolom29138]],CN$5:CN$35,1)</f>
        <v>1</v>
      </c>
      <c r="CQ13" s="142">
        <f>_xlfn.RANK.EQ(Tabel424[[#This Row],[Kolom291382]],CO$5:CO$35,1)</f>
        <v>1</v>
      </c>
    </row>
    <row r="14" spans="1:95">
      <c r="B14" s="21" t="str">
        <f>'Symptomen (alle)'!A11</f>
        <v>Black spot disease (mostly encapsulated worm larvae)</v>
      </c>
      <c r="C14" s="77">
        <f>'Symptomen (alle)'!B11</f>
        <v>1</v>
      </c>
      <c r="D14" s="21" t="str">
        <f>IF(D$2="x",'Symptomen (alle)'!C11,0)</f>
        <v>x</v>
      </c>
      <c r="E14" s="21">
        <f>IF(E$2="x",'Symptomen (alle)'!D11,0)</f>
        <v>0</v>
      </c>
      <c r="F14" s="21">
        <f>IF(F$2="x",'Symptomen (alle)'!E11,0)</f>
        <v>0</v>
      </c>
      <c r="G14" s="21">
        <f>IF(G$2="x",'Symptomen (alle)'!F11,0)</f>
        <v>0</v>
      </c>
      <c r="H14" s="21">
        <f>IF(H$2="x",'Symptomen (alle)'!G11,0)</f>
        <v>0</v>
      </c>
      <c r="I14" s="21">
        <f>IF(I$2="x",'Symptomen (alle)'!H11,0)</f>
        <v>0</v>
      </c>
      <c r="J14" s="21">
        <f>IF(J$2="x",'Symptomen (alle)'!I11,0)</f>
        <v>1</v>
      </c>
      <c r="K14" s="21">
        <f>IF(K$2="x",'Symptomen (alle)'!J11,0)</f>
        <v>0</v>
      </c>
      <c r="L14" s="21">
        <f>IF(L$2="x",'Symptomen (alle)'!K11,0)</f>
        <v>0</v>
      </c>
      <c r="M14" s="21">
        <f>IF(M$2="x",'Symptomen (alle)'!L11,0)</f>
        <v>0</v>
      </c>
      <c r="N14" s="21">
        <f>IF(N$2="x",'Symptomen (alle)'!M11,0)</f>
        <v>0</v>
      </c>
      <c r="O14" s="21">
        <f>IF(O$2="x",'Symptomen (alle)'!N11,0)</f>
        <v>0</v>
      </c>
      <c r="P14" s="21">
        <f>IF(P$2="x",'Symptomen (alle)'!O11,0)</f>
        <v>0</v>
      </c>
      <c r="Q14" s="21">
        <f>IF(Q$2="x",'Symptomen (alle)'!P11,0)</f>
        <v>0</v>
      </c>
      <c r="R14" s="21">
        <f>IF(R$2="x",'Symptomen (alle)'!Q11,0)</f>
        <v>0</v>
      </c>
      <c r="S14" s="21">
        <f>IF(S$2="x",'Symptomen (alle)'!R11,0)</f>
        <v>0</v>
      </c>
      <c r="T14" s="21">
        <f>IF(T$2="x",'Symptomen (alle)'!S11,0)</f>
        <v>0</v>
      </c>
      <c r="U14" s="21">
        <f>IF(U$2="x",'Symptomen (alle)'!T11,0)</f>
        <v>0</v>
      </c>
      <c r="V14" s="21">
        <f>IF(V$2="x",'Symptomen (alle)'!U11,0)</f>
        <v>0</v>
      </c>
      <c r="W14" s="21">
        <f>IF(W$2="x",'Symptomen (alle)'!V11,0)</f>
        <v>1</v>
      </c>
      <c r="X14" s="21">
        <f>IF(X$2="x",'Symptomen (alle)'!W11,0)</f>
        <v>0</v>
      </c>
      <c r="Y14" s="21">
        <f>IF(Y$2="x",'Symptomen (alle)'!X11,0)</f>
        <v>1</v>
      </c>
      <c r="Z14" s="21">
        <f>IF(Z$2="x",'Symptomen (alle)'!Y11,0)</f>
        <v>0</v>
      </c>
      <c r="AA14" s="21">
        <f>IF(AA$2="x",'Symptomen (alle)'!Z11,0)</f>
        <v>0</v>
      </c>
      <c r="AB14" s="21">
        <f>IF(AB$2="x",'Symptomen (alle)'!AA11,0)</f>
        <v>0</v>
      </c>
      <c r="AC14" s="21">
        <f>IF(AC$2="x",'Symptomen (alle)'!AB11,0)</f>
        <v>0</v>
      </c>
      <c r="AD14" s="21">
        <f>IF(AD$2="x",'Symptomen (alle)'!AC11,0)</f>
        <v>0</v>
      </c>
      <c r="AE14" s="21">
        <f t="shared" si="11"/>
        <v>3</v>
      </c>
      <c r="AF14" s="21">
        <f>HLOOKUP($B$2,ZiekteFam!$B$1:$T$32,AG14,FALSE)</f>
        <v>3</v>
      </c>
      <c r="AG14" s="32">
        <f t="shared" si="12"/>
        <v>11</v>
      </c>
      <c r="AH14" s="32">
        <f>SUM('Symptomen (alle)'!D11:AC11)</f>
        <v>24</v>
      </c>
      <c r="AI14" s="22">
        <f>Tabel424[[#This Row],[Kolom25]]/Tabel424[[#This Row],[Kolom28]]</f>
        <v>0.125</v>
      </c>
      <c r="AJ14" s="22"/>
      <c r="AK14" s="22">
        <f>Tabel424[[#This Row],[Kolom29]]</f>
        <v>0.125</v>
      </c>
      <c r="AL14" s="36">
        <f>_xlfn.RANK.EQ(Tabel424[[#This Row],[Kolom29]],$AI$5:$AI$35)</f>
        <v>15</v>
      </c>
      <c r="AM14" s="135">
        <f>IF(E$2="x",(_xlfn.RANK.EQ(Tabel424[[#This Row],[Kolom3]],E$5:E$35)),0)</f>
        <v>0</v>
      </c>
      <c r="AN14" s="135">
        <f>Tabel424[[#This Row],[Kolom2911]]*AM$2</f>
        <v>0</v>
      </c>
      <c r="AO14" s="135">
        <f>IF(F$2="x",(_xlfn.RANK.EQ(Tabel424[[#This Row],[Kolom4]],F$5:F$35)),0)</f>
        <v>0</v>
      </c>
      <c r="AP14" s="135">
        <f>Tabel424[[#This Row],[Kolom29112]]*AO$2</f>
        <v>0</v>
      </c>
      <c r="AQ14" s="135">
        <f>IF(G$2="x",(_xlfn.RANK.EQ(Tabel424[[#This Row],[Kolom5]],G$5:G$35)),0)</f>
        <v>0</v>
      </c>
      <c r="AR14" s="135">
        <f>Tabel424[[#This Row],[Kolom29113]]*AQ$2</f>
        <v>0</v>
      </c>
      <c r="AS14" s="135">
        <f>IF(H$2="x",(_xlfn.RANK.EQ(Tabel424[[#This Row],[Kolom6]],H$5:H$35)),0)</f>
        <v>0</v>
      </c>
      <c r="AT14" s="135">
        <f>Tabel424[[#This Row],[Kolom29114]]*AS$2</f>
        <v>0</v>
      </c>
      <c r="AU14" s="135">
        <f>IF(I$2="x",(_xlfn.RANK.EQ(Tabel424[[#This Row],[Kolom62]],I$5:I$35)),0)</f>
        <v>0</v>
      </c>
      <c r="AV14" s="135">
        <f>Tabel424[[#This Row],[Kolom29115]]*AU$2</f>
        <v>0</v>
      </c>
      <c r="AW14" s="135">
        <f>IF(J$2="x",(_xlfn.RANK.EQ(Tabel424[[#This Row],[Kolom7]],J$5:J$35)),0)</f>
        <v>16</v>
      </c>
      <c r="AX14" s="135">
        <f>Tabel424[[#This Row],[Kolom29116]]*AW$2</f>
        <v>80</v>
      </c>
      <c r="AY14" s="135">
        <f>IF(K$2="x",(_xlfn.RANK.EQ(Tabel424[[#This Row],[Kolom72]],K$5:K$35)),0)</f>
        <v>0</v>
      </c>
      <c r="AZ14" s="135">
        <f>Tabel424[[#This Row],[Kolom29117]]*AY$2</f>
        <v>0</v>
      </c>
      <c r="BA14" s="135">
        <f>IF(L$2="x",(_xlfn.RANK.EQ(Tabel424[[#This Row],[Kolom8]],L$5:L$35)),0)</f>
        <v>0</v>
      </c>
      <c r="BB14" s="135">
        <f>Tabel424[[#This Row],[Kolom29118]]*BA$2</f>
        <v>0</v>
      </c>
      <c r="BC14" s="135">
        <f>IF(M$2="x",(_xlfn.RANK.EQ(Tabel424[[#This Row],[Kolom9]],M$5:M$35)),0)</f>
        <v>0</v>
      </c>
      <c r="BD14" s="135">
        <f>Tabel424[[#This Row],[Kolom29119]]*BC$2</f>
        <v>0</v>
      </c>
      <c r="BE14" s="135">
        <f>IF(N$2="x",(_xlfn.RANK.EQ(Tabel424[[#This Row],[Kolom10]],N$5:N$35)),0)</f>
        <v>0</v>
      </c>
      <c r="BF14" s="135">
        <f>Tabel424[[#This Row],[Kolom29120]]*BE$2</f>
        <v>0</v>
      </c>
      <c r="BG14" s="135">
        <f>IF(O$2="x",(_xlfn.RANK.EQ(Tabel424[[#This Row],[Kolom11]],O$5:O$35)),0)</f>
        <v>0</v>
      </c>
      <c r="BH14" s="135">
        <f>Tabel424[[#This Row],[Kolom29121]]*BG$2</f>
        <v>0</v>
      </c>
      <c r="BI14" s="135">
        <f>IF(P$2="x",(_xlfn.RANK.EQ(Tabel424[[#This Row],[Kolom12]],P$5:P$35)),0)</f>
        <v>0</v>
      </c>
      <c r="BJ14" s="135">
        <f>Tabel424[[#This Row],[Kolom29122]]*BI$2</f>
        <v>0</v>
      </c>
      <c r="BK14" s="135">
        <f>IF(Q$2="x",(_xlfn.RANK.EQ(Tabel424[[#This Row],[Kolom13]],Q$5:Q$35)),0)</f>
        <v>0</v>
      </c>
      <c r="BL14" s="135">
        <f>Tabel424[[#This Row],[Kolom29123]]*BK$2</f>
        <v>0</v>
      </c>
      <c r="BM14" s="135">
        <f>IF(R$2="x",(_xlfn.RANK.EQ(Tabel424[[#This Row],[Kolom133]],R$5:R$35)),0)</f>
        <v>0</v>
      </c>
      <c r="BN14" s="135">
        <f>Tabel424[[#This Row],[Kolom29124]]*BM$2</f>
        <v>0</v>
      </c>
      <c r="BO14" s="135">
        <f>IF(S$2="x",(_xlfn.RANK.EQ(Tabel424[[#This Row],[Kolom132]],S$5:S$35)),0)</f>
        <v>0</v>
      </c>
      <c r="BP14" s="135">
        <f>Tabel424[[#This Row],[Kolom29125]]*BO$2</f>
        <v>0</v>
      </c>
      <c r="BQ14" s="135">
        <f>IF(T$2="x",(_xlfn.RANK.EQ(Tabel424[[#This Row],[Kolom14]],T$5:T$35)),0)</f>
        <v>8</v>
      </c>
      <c r="BR14" s="135">
        <f>Tabel424[[#This Row],[Kolom29126]]*BQ$2</f>
        <v>40</v>
      </c>
      <c r="BS14" s="135">
        <f>IF(U$2="x",(_xlfn.RANK.EQ(Tabel424[[#This Row],[Kolom16]],U$5:U$35)),0)</f>
        <v>0</v>
      </c>
      <c r="BT14" s="135">
        <f>Tabel424[[#This Row],[Kolom29127]]*BS$2</f>
        <v>0</v>
      </c>
      <c r="BU14" s="135">
        <f>IF(V$2="x",(_xlfn.RANK.EQ(Tabel424[[#This Row],[Kolom173]],V$5:V$35)),0)</f>
        <v>0</v>
      </c>
      <c r="BV14" s="135">
        <f>Tabel424[[#This Row],[Kolom29128]]*BU$2</f>
        <v>0</v>
      </c>
      <c r="BW14" s="135">
        <f>IF(W$2="x",(_xlfn.RANK.EQ(Tabel424[[#This Row],[Kolom172]],W$5:W$35)),0)</f>
        <v>10</v>
      </c>
      <c r="BX14" s="135">
        <f>Tabel424[[#This Row],[Kolom29129]]*BW$2</f>
        <v>10</v>
      </c>
      <c r="BY14" s="135">
        <f>IF(X$2="x",(_xlfn.RANK.EQ(Tabel424[[#This Row],[Kolom18]],X$5:X$35)),0)</f>
        <v>0</v>
      </c>
      <c r="BZ14" s="135">
        <f>Tabel424[[#This Row],[Kolom29130]]*BY$2</f>
        <v>0</v>
      </c>
      <c r="CA14" s="135">
        <f>IF(Y$2="x",(_xlfn.RANK.EQ(Tabel424[[#This Row],[Kolom19]],Y$5:Y$35)),0)</f>
        <v>9</v>
      </c>
      <c r="CB14" s="135">
        <f>Tabel424[[#This Row],[Kolom29131]]*CA$2</f>
        <v>9</v>
      </c>
      <c r="CC14" s="135">
        <f>IF(Z$2="x",(_xlfn.RANK.EQ(Tabel424[[#This Row],[Kolom20]],Z$5:Z$35)),0)</f>
        <v>0</v>
      </c>
      <c r="CD14" s="135">
        <f>Tabel424[[#This Row],[Kolom29132]]*CC$2</f>
        <v>0</v>
      </c>
      <c r="CE14" s="135">
        <f>IF(AA$2="x",(_xlfn.RANK.EQ(Tabel424[[#This Row],[Kolom21]],AA$5:AA$35)),0)</f>
        <v>0</v>
      </c>
      <c r="CF14" s="135">
        <f>Tabel424[[#This Row],[Kolom29133]]*CE$2</f>
        <v>0</v>
      </c>
      <c r="CG14" s="135">
        <f>IF(AB$2="x",(_xlfn.RANK.EQ(Tabel424[[#This Row],[Kolom22]],AB$5:AB$35)),0)</f>
        <v>0</v>
      </c>
      <c r="CH14" s="135">
        <f>Tabel424[[#This Row],[Kolom29134]]*CG$2</f>
        <v>0</v>
      </c>
      <c r="CI14" s="135">
        <f>IF(AC$2="x",(_xlfn.RANK.EQ(Tabel424[[#This Row],[Kolom223]],AC$5:AC$35)),0)</f>
        <v>0</v>
      </c>
      <c r="CJ14" s="135">
        <f>Tabel424[[#This Row],[Kolom29135]]*CI$2</f>
        <v>0</v>
      </c>
      <c r="CK14" s="135">
        <f>IF(AD$2="x",(_xlfn.RANK.EQ(Tabel424[[#This Row],[Kolom222]],AD$5:AD$35)),0)</f>
        <v>0</v>
      </c>
      <c r="CL14" s="135">
        <f>Tabel424[[#This Row],[Kolom29136]]*CK$2</f>
        <v>0</v>
      </c>
      <c r="CM14" s="135">
        <f t="shared" si="13"/>
        <v>4</v>
      </c>
      <c r="CN14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Row],[Kolom29130]]+CA14+Tabel424[[#This Row],[Kolom29132]]+Tabel424[[#This Row],[Kolom29133]]+Tabel424[[#This Row],[Kolom29134]]+Tabel424[[#This Row],[Kolom29135]]+Tabel424[[#This Row],[Kolom29136]])/Tabel424[[#This Row],[Kolom29137]]</f>
        <v>10.75</v>
      </c>
      <c r="CO14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Row],[Kolom291302]]+CB14+Tabel424[[#This Row],[Kolom291322]]+Tabel424[[#This Row],[Kolom291332]]+Tabel424[[#This Row],[Kolom291342]]+Tabel424[[#This Row],[Kolom291352]]+Tabel424[[#This Row],[Kolom291362]])/Tabel424[[#This Row],[Kolom29137]]</f>
        <v>34.75</v>
      </c>
      <c r="CP14" s="142">
        <f>_xlfn.RANK.EQ(Tabel424[[#This Row],[Kolom29138]],CN$5:CN$35,1)</f>
        <v>19</v>
      </c>
      <c r="CQ14" s="142">
        <f>_xlfn.RANK.EQ(Tabel424[[#This Row],[Kolom291382]],CO$5:CO$35,1)</f>
        <v>19</v>
      </c>
    </row>
    <row r="15" spans="1:95">
      <c r="B15" s="21" t="str">
        <f>'Symptomen (alle)'!A12</f>
        <v>White grub disease (encapsulated worm larvae, NO ICH)</v>
      </c>
      <c r="C15" s="77" t="str">
        <f>'Symptomen (alle)'!B12</f>
        <v>4</v>
      </c>
      <c r="D15" s="21" t="str">
        <f>IF(D$2="x",'Symptomen (alle)'!C12,0)</f>
        <v>x</v>
      </c>
      <c r="E15" s="21">
        <f>IF(E$2="x",'Symptomen (alle)'!D12,0)</f>
        <v>0</v>
      </c>
      <c r="F15" s="21">
        <f>IF(F$2="x",'Symptomen (alle)'!E12,0)</f>
        <v>0</v>
      </c>
      <c r="G15" s="21">
        <f>IF(G$2="x",'Symptomen (alle)'!F12,0)</f>
        <v>0</v>
      </c>
      <c r="H15" s="21">
        <f>IF(H$2="x",'Symptomen (alle)'!G12,0)</f>
        <v>0</v>
      </c>
      <c r="I15" s="21">
        <f>IF(I$2="x",'Symptomen (alle)'!H12,0)</f>
        <v>0</v>
      </c>
      <c r="J15" s="21">
        <f>IF(J$2="x",'Symptomen (alle)'!I12,0)</f>
        <v>1</v>
      </c>
      <c r="K15" s="21">
        <f>IF(K$2="x",'Symptomen (alle)'!J12,0)</f>
        <v>0</v>
      </c>
      <c r="L15" s="21">
        <f>IF(L$2="x",'Symptomen (alle)'!K12,0)</f>
        <v>0</v>
      </c>
      <c r="M15" s="21">
        <f>IF(M$2="x",'Symptomen (alle)'!L12,0)</f>
        <v>0</v>
      </c>
      <c r="N15" s="21">
        <f>IF(N$2="x",'Symptomen (alle)'!M12,0)</f>
        <v>0</v>
      </c>
      <c r="O15" s="21">
        <f>IF(O$2="x",'Symptomen (alle)'!N12,0)</f>
        <v>0</v>
      </c>
      <c r="P15" s="21">
        <f>IF(P$2="x",'Symptomen (alle)'!O12,0)</f>
        <v>0</v>
      </c>
      <c r="Q15" s="21">
        <f>IF(Q$2="x",'Symptomen (alle)'!P12,0)</f>
        <v>0</v>
      </c>
      <c r="R15" s="21">
        <f>IF(R$2="x",'Symptomen (alle)'!Q12,0)</f>
        <v>0</v>
      </c>
      <c r="S15" s="21">
        <f>IF(S$2="x",'Symptomen (alle)'!R12,0)</f>
        <v>0</v>
      </c>
      <c r="T15" s="21">
        <f>IF(T$2="x",'Symptomen (alle)'!S12,0)</f>
        <v>0</v>
      </c>
      <c r="U15" s="21">
        <f>IF(U$2="x",'Symptomen (alle)'!T12,0)</f>
        <v>0</v>
      </c>
      <c r="V15" s="21">
        <f>IF(V$2="x",'Symptomen (alle)'!U12,0)</f>
        <v>0</v>
      </c>
      <c r="W15" s="21">
        <f>IF(W$2="x",'Symptomen (alle)'!V12,0)</f>
        <v>1</v>
      </c>
      <c r="X15" s="21">
        <f>IF(X$2="x",'Symptomen (alle)'!W12,0)</f>
        <v>0</v>
      </c>
      <c r="Y15" s="21">
        <f>IF(Y$2="x",'Symptomen (alle)'!X12,0)</f>
        <v>1</v>
      </c>
      <c r="Z15" s="21">
        <f>IF(Z$2="x",'Symptomen (alle)'!Y12,0)</f>
        <v>0</v>
      </c>
      <c r="AA15" s="21">
        <f>IF(AA$2="x",'Symptomen (alle)'!Z12,0)</f>
        <v>0</v>
      </c>
      <c r="AB15" s="21">
        <f>IF(AB$2="x",'Symptomen (alle)'!AA12,0)</f>
        <v>0</v>
      </c>
      <c r="AC15" s="21">
        <f>IF(AC$2="x",'Symptomen (alle)'!AB12,0)</f>
        <v>0</v>
      </c>
      <c r="AD15" s="21">
        <f>IF(AD$2="x",'Symptomen (alle)'!AC12,0)</f>
        <v>0</v>
      </c>
      <c r="AE15" s="21">
        <f t="shared" si="11"/>
        <v>3</v>
      </c>
      <c r="AF15" s="21">
        <f>HLOOKUP($B$2,ZiekteFam!$B$1:$T$32,AG15,FALSE)</f>
        <v>3</v>
      </c>
      <c r="AG15" s="32">
        <f t="shared" si="12"/>
        <v>12</v>
      </c>
      <c r="AH15" s="32">
        <f>SUM('Symptomen (alle)'!D12:AC12)</f>
        <v>25</v>
      </c>
      <c r="AI15" s="22">
        <f>Tabel424[[#This Row],[Kolom25]]/Tabel424[[#This Row],[Kolom28]]</f>
        <v>0.12</v>
      </c>
      <c r="AJ15" s="22"/>
      <c r="AK15" s="22">
        <f>Tabel424[[#This Row],[Kolom29]]</f>
        <v>0.12</v>
      </c>
      <c r="AL15" s="36">
        <f>_xlfn.RANK.EQ(Tabel424[[#This Row],[Kolom29]],$AI$5:$AI$35)</f>
        <v>16</v>
      </c>
      <c r="AM15" s="135">
        <f>IF(E$2="x",(_xlfn.RANK.EQ(Tabel424[[#This Row],[Kolom3]],E$5:E$35)),0)</f>
        <v>0</v>
      </c>
      <c r="AN15" s="135">
        <f>Tabel424[[#This Row],[Kolom2911]]*AM$2</f>
        <v>0</v>
      </c>
      <c r="AO15" s="135">
        <f>IF(F$2="x",(_xlfn.RANK.EQ(Tabel424[[#This Row],[Kolom4]],F$5:F$35)),0)</f>
        <v>0</v>
      </c>
      <c r="AP15" s="135">
        <f>Tabel424[[#This Row],[Kolom29112]]*AO$2</f>
        <v>0</v>
      </c>
      <c r="AQ15" s="135">
        <f>IF(G$2="x",(_xlfn.RANK.EQ(Tabel424[[#This Row],[Kolom5]],G$5:G$35)),0)</f>
        <v>0</v>
      </c>
      <c r="AR15" s="135">
        <f>Tabel424[[#This Row],[Kolom29113]]*AQ$2</f>
        <v>0</v>
      </c>
      <c r="AS15" s="135">
        <f>IF(H$2="x",(_xlfn.RANK.EQ(Tabel424[[#This Row],[Kolom6]],H$5:H$35)),0)</f>
        <v>0</v>
      </c>
      <c r="AT15" s="135">
        <f>Tabel424[[#This Row],[Kolom29114]]*AS$2</f>
        <v>0</v>
      </c>
      <c r="AU15" s="135">
        <f>IF(I$2="x",(_xlfn.RANK.EQ(Tabel424[[#This Row],[Kolom62]],I$5:I$35)),0)</f>
        <v>0</v>
      </c>
      <c r="AV15" s="135">
        <f>Tabel424[[#This Row],[Kolom29115]]*AU$2</f>
        <v>0</v>
      </c>
      <c r="AW15" s="135">
        <f>IF(J$2="x",(_xlfn.RANK.EQ(Tabel424[[#This Row],[Kolom7]],J$5:J$35)),0)</f>
        <v>16</v>
      </c>
      <c r="AX15" s="135">
        <f>Tabel424[[#This Row],[Kolom29116]]*AW$2</f>
        <v>80</v>
      </c>
      <c r="AY15" s="135">
        <f>IF(K$2="x",(_xlfn.RANK.EQ(Tabel424[[#This Row],[Kolom72]],K$5:K$35)),0)</f>
        <v>0</v>
      </c>
      <c r="AZ15" s="135">
        <f>Tabel424[[#This Row],[Kolom29117]]*AY$2</f>
        <v>0</v>
      </c>
      <c r="BA15" s="135">
        <f>IF(L$2="x",(_xlfn.RANK.EQ(Tabel424[[#This Row],[Kolom8]],L$5:L$35)),0)</f>
        <v>0</v>
      </c>
      <c r="BB15" s="135">
        <f>Tabel424[[#This Row],[Kolom29118]]*BA$2</f>
        <v>0</v>
      </c>
      <c r="BC15" s="135">
        <f>IF(M$2="x",(_xlfn.RANK.EQ(Tabel424[[#This Row],[Kolom9]],M$5:M$35)),0)</f>
        <v>0</v>
      </c>
      <c r="BD15" s="135">
        <f>Tabel424[[#This Row],[Kolom29119]]*BC$2</f>
        <v>0</v>
      </c>
      <c r="BE15" s="135">
        <f>IF(N$2="x",(_xlfn.RANK.EQ(Tabel424[[#This Row],[Kolom10]],N$5:N$35)),0)</f>
        <v>0</v>
      </c>
      <c r="BF15" s="135">
        <f>Tabel424[[#This Row],[Kolom29120]]*BE$2</f>
        <v>0</v>
      </c>
      <c r="BG15" s="135">
        <f>IF(O$2="x",(_xlfn.RANK.EQ(Tabel424[[#This Row],[Kolom11]],O$5:O$35)),0)</f>
        <v>0</v>
      </c>
      <c r="BH15" s="135">
        <f>Tabel424[[#This Row],[Kolom29121]]*BG$2</f>
        <v>0</v>
      </c>
      <c r="BI15" s="135">
        <f>IF(P$2="x",(_xlfn.RANK.EQ(Tabel424[[#This Row],[Kolom12]],P$5:P$35)),0)</f>
        <v>0</v>
      </c>
      <c r="BJ15" s="135">
        <f>Tabel424[[#This Row],[Kolom29122]]*BI$2</f>
        <v>0</v>
      </c>
      <c r="BK15" s="135">
        <f>IF(Q$2="x",(_xlfn.RANK.EQ(Tabel424[[#This Row],[Kolom13]],Q$5:Q$35)),0)</f>
        <v>0</v>
      </c>
      <c r="BL15" s="135">
        <f>Tabel424[[#This Row],[Kolom29123]]*BK$2</f>
        <v>0</v>
      </c>
      <c r="BM15" s="135">
        <f>IF(R$2="x",(_xlfn.RANK.EQ(Tabel424[[#This Row],[Kolom133]],R$5:R$35)),0)</f>
        <v>0</v>
      </c>
      <c r="BN15" s="135">
        <f>Tabel424[[#This Row],[Kolom29124]]*BM$2</f>
        <v>0</v>
      </c>
      <c r="BO15" s="135">
        <f>IF(S$2="x",(_xlfn.RANK.EQ(Tabel424[[#This Row],[Kolom132]],S$5:S$35)),0)</f>
        <v>0</v>
      </c>
      <c r="BP15" s="135">
        <f>Tabel424[[#This Row],[Kolom29125]]*BO$2</f>
        <v>0</v>
      </c>
      <c r="BQ15" s="135">
        <f>IF(T$2="x",(_xlfn.RANK.EQ(Tabel424[[#This Row],[Kolom14]],T$5:T$35)),0)</f>
        <v>8</v>
      </c>
      <c r="BR15" s="135">
        <f>Tabel424[[#This Row],[Kolom29126]]*BQ$2</f>
        <v>40</v>
      </c>
      <c r="BS15" s="135">
        <f>IF(U$2="x",(_xlfn.RANK.EQ(Tabel424[[#This Row],[Kolom16]],U$5:U$35)),0)</f>
        <v>0</v>
      </c>
      <c r="BT15" s="135">
        <f>Tabel424[[#This Row],[Kolom29127]]*BS$2</f>
        <v>0</v>
      </c>
      <c r="BU15" s="135">
        <f>IF(V$2="x",(_xlfn.RANK.EQ(Tabel424[[#This Row],[Kolom173]],V$5:V$35)),0)</f>
        <v>0</v>
      </c>
      <c r="BV15" s="135">
        <f>Tabel424[[#This Row],[Kolom29128]]*BU$2</f>
        <v>0</v>
      </c>
      <c r="BW15" s="135">
        <f>IF(W$2="x",(_xlfn.RANK.EQ(Tabel424[[#This Row],[Kolom172]],W$5:W$35)),0)</f>
        <v>10</v>
      </c>
      <c r="BX15" s="135">
        <f>Tabel424[[#This Row],[Kolom29129]]*BW$2</f>
        <v>10</v>
      </c>
      <c r="BY15" s="135">
        <f>IF(X$2="x",(_xlfn.RANK.EQ(Tabel424[[#This Row],[Kolom18]],X$5:X$35)),0)</f>
        <v>0</v>
      </c>
      <c r="BZ15" s="135">
        <f>Tabel424[[#This Row],[Kolom29130]]*BY$2</f>
        <v>0</v>
      </c>
      <c r="CA15" s="135">
        <f>IF(Y$2="x",(_xlfn.RANK.EQ(Tabel424[[#This Row],[Kolom19]],Y$5:Y$35)),0)</f>
        <v>9</v>
      </c>
      <c r="CB15" s="135">
        <f>Tabel424[[#This Row],[Kolom29131]]*CA$2</f>
        <v>9</v>
      </c>
      <c r="CC15" s="135">
        <f>IF(Z$2="x",(_xlfn.RANK.EQ(Tabel424[[#This Row],[Kolom20]],Z$5:Z$35)),0)</f>
        <v>0</v>
      </c>
      <c r="CD15" s="135">
        <f>Tabel424[[#This Row],[Kolom29132]]*CC$2</f>
        <v>0</v>
      </c>
      <c r="CE15" s="135">
        <f>IF(AA$2="x",(_xlfn.RANK.EQ(Tabel424[[#This Row],[Kolom21]],AA$5:AA$35)),0)</f>
        <v>0</v>
      </c>
      <c r="CF15" s="135">
        <f>Tabel424[[#This Row],[Kolom29133]]*CE$2</f>
        <v>0</v>
      </c>
      <c r="CG15" s="135">
        <f>IF(AB$2="x",(_xlfn.RANK.EQ(Tabel424[[#This Row],[Kolom22]],AB$5:AB$35)),0)</f>
        <v>0</v>
      </c>
      <c r="CH15" s="135">
        <f>Tabel424[[#This Row],[Kolom29134]]*CG$2</f>
        <v>0</v>
      </c>
      <c r="CI15" s="135">
        <f>IF(AC$2="x",(_xlfn.RANK.EQ(Tabel424[[#This Row],[Kolom223]],AC$5:AC$35)),0)</f>
        <v>0</v>
      </c>
      <c r="CJ15" s="135">
        <f>Tabel424[[#This Row],[Kolom29135]]*CI$2</f>
        <v>0</v>
      </c>
      <c r="CK15" s="135">
        <f>IF(AD$2="x",(_xlfn.RANK.EQ(Tabel424[[#This Row],[Kolom222]],AD$5:AD$35)),0)</f>
        <v>0</v>
      </c>
      <c r="CL15" s="135">
        <f>Tabel424[[#This Row],[Kolom29136]]*CK$2</f>
        <v>0</v>
      </c>
      <c r="CM15" s="135">
        <f t="shared" si="13"/>
        <v>4</v>
      </c>
      <c r="CN15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Row],[Kolom29130]]+CA15+Tabel424[[#This Row],[Kolom29132]]+Tabel424[[#This Row],[Kolom29133]]+Tabel424[[#This Row],[Kolom29134]]+Tabel424[[#This Row],[Kolom29135]]+Tabel424[[#This Row],[Kolom29136]])/Tabel424[[#This Row],[Kolom29137]]</f>
        <v>10.75</v>
      </c>
      <c r="CO15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Row],[Kolom291302]]+CB15+Tabel424[[#This Row],[Kolom291322]]+Tabel424[[#This Row],[Kolom291332]]+Tabel424[[#This Row],[Kolom291342]]+Tabel424[[#This Row],[Kolom291352]]+Tabel424[[#This Row],[Kolom291362]])/Tabel424[[#This Row],[Kolom29137]]</f>
        <v>34.75</v>
      </c>
      <c r="CP15" s="142">
        <f>_xlfn.RANK.EQ(Tabel424[[#This Row],[Kolom29138]],CN$5:CN$35,1)</f>
        <v>19</v>
      </c>
      <c r="CQ15" s="142">
        <f>_xlfn.RANK.EQ(Tabel424[[#This Row],[Kolom291382]],CO$5:CO$35,1)</f>
        <v>19</v>
      </c>
    </row>
    <row r="16" spans="1:95">
      <c r="B16" s="21" t="str">
        <f>'Symptomen (alle)'!A13</f>
        <v>Chilodonella/(Ichthyobodo/Costia)/Trichodina</v>
      </c>
      <c r="C16" s="77">
        <f>'Symptomen (alle)'!B13</f>
        <v>0</v>
      </c>
      <c r="D16" s="21">
        <f>IF(D$2="x",'Symptomen (alle)'!C13,0)</f>
        <v>0</v>
      </c>
      <c r="E16" s="21">
        <f>IF(E$2="x",'Symptomen (alle)'!D13,0)</f>
        <v>0</v>
      </c>
      <c r="F16" s="21">
        <f>IF(F$2="x",'Symptomen (alle)'!E13,0)</f>
        <v>0</v>
      </c>
      <c r="G16" s="21">
        <f>IF(G$2="x",'Symptomen (alle)'!F13,0)</f>
        <v>0</v>
      </c>
      <c r="H16" s="21">
        <f>IF(H$2="x",'Symptomen (alle)'!G13,0)</f>
        <v>0</v>
      </c>
      <c r="I16" s="21">
        <f>IF(I$2="x",'Symptomen (alle)'!H13,0)</f>
        <v>0</v>
      </c>
      <c r="J16" s="21">
        <f>IF(J$2="x",'Symptomen (alle)'!I13,0)</f>
        <v>2</v>
      </c>
      <c r="K16" s="21">
        <f>IF(K$2="x",'Symptomen (alle)'!J13,0)</f>
        <v>0</v>
      </c>
      <c r="L16" s="21">
        <f>IF(L$2="x",'Symptomen (alle)'!K13,0)</f>
        <v>0</v>
      </c>
      <c r="M16" s="21">
        <f>IF(M$2="x",'Symptomen (alle)'!L13,0)</f>
        <v>0</v>
      </c>
      <c r="N16" s="21">
        <f>IF(N$2="x",'Symptomen (alle)'!M13,0)</f>
        <v>0</v>
      </c>
      <c r="O16" s="21">
        <f>IF(O$2="x",'Symptomen (alle)'!N13,0)</f>
        <v>0</v>
      </c>
      <c r="P16" s="21">
        <f>IF(P$2="x",'Symptomen (alle)'!O13,0)</f>
        <v>0</v>
      </c>
      <c r="Q16" s="21">
        <f>IF(Q$2="x",'Symptomen (alle)'!P13,0)</f>
        <v>0</v>
      </c>
      <c r="R16" s="21">
        <f>IF(R$2="x",'Symptomen (alle)'!Q13,0)</f>
        <v>0</v>
      </c>
      <c r="S16" s="21">
        <f>IF(S$2="x",'Symptomen (alle)'!R13,0)</f>
        <v>0</v>
      </c>
      <c r="T16" s="21">
        <f>IF(T$2="x",'Symptomen (alle)'!S13,0)</f>
        <v>1</v>
      </c>
      <c r="U16" s="21">
        <f>IF(U$2="x",'Symptomen (alle)'!T13,0)</f>
        <v>0</v>
      </c>
      <c r="V16" s="21">
        <f>IF(V$2="x",'Symptomen (alle)'!U13,0)</f>
        <v>0</v>
      </c>
      <c r="W16" s="21">
        <f>IF(W$2="x",'Symptomen (alle)'!V13,0)</f>
        <v>2</v>
      </c>
      <c r="X16" s="21">
        <f>IF(X$2="x",'Symptomen (alle)'!W13,0)</f>
        <v>0</v>
      </c>
      <c r="Y16" s="21">
        <f>IF(Y$2="x",'Symptomen (alle)'!X13,0)</f>
        <v>2</v>
      </c>
      <c r="Z16" s="21">
        <f>IF(Z$2="x",'Symptomen (alle)'!Y13,0)</f>
        <v>0</v>
      </c>
      <c r="AA16" s="21">
        <f>IF(AA$2="x",'Symptomen (alle)'!Z13,0)</f>
        <v>0</v>
      </c>
      <c r="AB16" s="21">
        <f>IF(AB$2="x",'Symptomen (alle)'!AA13,0)</f>
        <v>0</v>
      </c>
      <c r="AC16" s="21">
        <f>IF(AC$2="x",'Symptomen (alle)'!AB13,0)</f>
        <v>0</v>
      </c>
      <c r="AD16" s="21">
        <f>IF(AD$2="x",'Symptomen (alle)'!AC13,0)</f>
        <v>0</v>
      </c>
      <c r="AE16" s="21">
        <f t="shared" si="11"/>
        <v>7</v>
      </c>
      <c r="AF16" s="21">
        <f>HLOOKUP($B$2,ZiekteFam!$B$1:$T$32,AG16,FALSE)</f>
        <v>3</v>
      </c>
      <c r="AG16" s="32">
        <f t="shared" si="12"/>
        <v>13</v>
      </c>
      <c r="AH16" s="32">
        <f>SUM('Symptomen (alle)'!D13:AC13)</f>
        <v>33</v>
      </c>
      <c r="AI16" s="22">
        <f>Tabel424[[#This Row],[Kolom25]]/Tabel424[[#This Row],[Kolom28]]</f>
        <v>0.21212121212121213</v>
      </c>
      <c r="AJ16" s="22"/>
      <c r="AK16" s="22">
        <f>Tabel424[[#This Row],[Kolom29]]</f>
        <v>0.21212121212121213</v>
      </c>
      <c r="AL16" s="36">
        <f>_xlfn.RANK.EQ(Tabel424[[#This Row],[Kolom29]],$AI$5:$AI$35)</f>
        <v>6</v>
      </c>
      <c r="AM16" s="135">
        <f>IF(E$2="x",(_xlfn.RANK.EQ(Tabel424[[#This Row],[Kolom3]],E$5:E$35)),0)</f>
        <v>0</v>
      </c>
      <c r="AN16" s="135">
        <f>Tabel424[[#This Row],[Kolom2911]]*AM$2</f>
        <v>0</v>
      </c>
      <c r="AO16" s="135">
        <f>IF(F$2="x",(_xlfn.RANK.EQ(Tabel424[[#This Row],[Kolom4]],F$5:F$35)),0)</f>
        <v>0</v>
      </c>
      <c r="AP16" s="135">
        <f>Tabel424[[#This Row],[Kolom29112]]*AO$2</f>
        <v>0</v>
      </c>
      <c r="AQ16" s="135">
        <f>IF(G$2="x",(_xlfn.RANK.EQ(Tabel424[[#This Row],[Kolom5]],G$5:G$35)),0)</f>
        <v>0</v>
      </c>
      <c r="AR16" s="135">
        <f>Tabel424[[#This Row],[Kolom29113]]*AQ$2</f>
        <v>0</v>
      </c>
      <c r="AS16" s="135">
        <f>IF(H$2="x",(_xlfn.RANK.EQ(Tabel424[[#This Row],[Kolom6]],H$5:H$35)),0)</f>
        <v>0</v>
      </c>
      <c r="AT16" s="135">
        <f>Tabel424[[#This Row],[Kolom29114]]*AS$2</f>
        <v>0</v>
      </c>
      <c r="AU16" s="135">
        <f>IF(I$2="x",(_xlfn.RANK.EQ(Tabel424[[#This Row],[Kolom62]],I$5:I$35)),0)</f>
        <v>0</v>
      </c>
      <c r="AV16" s="135">
        <f>Tabel424[[#This Row],[Kolom29115]]*AU$2</f>
        <v>0</v>
      </c>
      <c r="AW16" s="135">
        <f>IF(J$2="x",(_xlfn.RANK.EQ(Tabel424[[#This Row],[Kolom7]],J$5:J$35)),0)</f>
        <v>7</v>
      </c>
      <c r="AX16" s="135">
        <f>Tabel424[[#This Row],[Kolom29116]]*AW$2</f>
        <v>35</v>
      </c>
      <c r="AY16" s="135">
        <f>IF(K$2="x",(_xlfn.RANK.EQ(Tabel424[[#This Row],[Kolom72]],K$5:K$35)),0)</f>
        <v>0</v>
      </c>
      <c r="AZ16" s="135">
        <f>Tabel424[[#This Row],[Kolom29117]]*AY$2</f>
        <v>0</v>
      </c>
      <c r="BA16" s="135">
        <f>IF(L$2="x",(_xlfn.RANK.EQ(Tabel424[[#This Row],[Kolom8]],L$5:L$35)),0)</f>
        <v>0</v>
      </c>
      <c r="BB16" s="135">
        <f>Tabel424[[#This Row],[Kolom29118]]*BA$2</f>
        <v>0</v>
      </c>
      <c r="BC16" s="135">
        <f>IF(M$2="x",(_xlfn.RANK.EQ(Tabel424[[#This Row],[Kolom9]],M$5:M$35)),0)</f>
        <v>0</v>
      </c>
      <c r="BD16" s="135">
        <f>Tabel424[[#This Row],[Kolom29119]]*BC$2</f>
        <v>0</v>
      </c>
      <c r="BE16" s="135">
        <f>IF(N$2="x",(_xlfn.RANK.EQ(Tabel424[[#This Row],[Kolom10]],N$5:N$35)),0)</f>
        <v>0</v>
      </c>
      <c r="BF16" s="135">
        <f>Tabel424[[#This Row],[Kolom29120]]*BE$2</f>
        <v>0</v>
      </c>
      <c r="BG16" s="135">
        <f>IF(O$2="x",(_xlfn.RANK.EQ(Tabel424[[#This Row],[Kolom11]],O$5:O$35)),0)</f>
        <v>0</v>
      </c>
      <c r="BH16" s="135">
        <f>Tabel424[[#This Row],[Kolom29121]]*BG$2</f>
        <v>0</v>
      </c>
      <c r="BI16" s="135">
        <f>IF(P$2="x",(_xlfn.RANK.EQ(Tabel424[[#This Row],[Kolom12]],P$5:P$35)),0)</f>
        <v>0</v>
      </c>
      <c r="BJ16" s="135">
        <f>Tabel424[[#This Row],[Kolom29122]]*BI$2</f>
        <v>0</v>
      </c>
      <c r="BK16" s="135">
        <f>IF(Q$2="x",(_xlfn.RANK.EQ(Tabel424[[#This Row],[Kolom13]],Q$5:Q$35)),0)</f>
        <v>0</v>
      </c>
      <c r="BL16" s="135">
        <f>Tabel424[[#This Row],[Kolom29123]]*BK$2</f>
        <v>0</v>
      </c>
      <c r="BM16" s="135">
        <f>IF(R$2="x",(_xlfn.RANK.EQ(Tabel424[[#This Row],[Kolom133]],R$5:R$35)),0)</f>
        <v>0</v>
      </c>
      <c r="BN16" s="135">
        <f>Tabel424[[#This Row],[Kolom29124]]*BM$2</f>
        <v>0</v>
      </c>
      <c r="BO16" s="135">
        <f>IF(S$2="x",(_xlfn.RANK.EQ(Tabel424[[#This Row],[Kolom132]],S$5:S$35)),0)</f>
        <v>0</v>
      </c>
      <c r="BP16" s="135">
        <f>Tabel424[[#This Row],[Kolom29125]]*BO$2</f>
        <v>0</v>
      </c>
      <c r="BQ16" s="135">
        <f>IF(T$2="x",(_xlfn.RANK.EQ(Tabel424[[#This Row],[Kolom14]],T$5:T$35)),0)</f>
        <v>4</v>
      </c>
      <c r="BR16" s="135">
        <f>Tabel424[[#This Row],[Kolom29126]]*BQ$2</f>
        <v>20</v>
      </c>
      <c r="BS16" s="135">
        <f>IF(U$2="x",(_xlfn.RANK.EQ(Tabel424[[#This Row],[Kolom16]],U$5:U$35)),0)</f>
        <v>0</v>
      </c>
      <c r="BT16" s="135">
        <f>Tabel424[[#This Row],[Kolom29127]]*BS$2</f>
        <v>0</v>
      </c>
      <c r="BU16" s="135">
        <f>IF(V$2="x",(_xlfn.RANK.EQ(Tabel424[[#This Row],[Kolom173]],V$5:V$35)),0)</f>
        <v>0</v>
      </c>
      <c r="BV16" s="135">
        <f>Tabel424[[#This Row],[Kolom29128]]*BU$2</f>
        <v>0</v>
      </c>
      <c r="BW16" s="135">
        <f>IF(W$2="x",(_xlfn.RANK.EQ(Tabel424[[#This Row],[Kolom172]],W$5:W$35)),0)</f>
        <v>6</v>
      </c>
      <c r="BX16" s="135">
        <f>Tabel424[[#This Row],[Kolom29129]]*BW$2</f>
        <v>6</v>
      </c>
      <c r="BY16" s="135">
        <f>IF(X$2="x",(_xlfn.RANK.EQ(Tabel424[[#This Row],[Kolom18]],X$5:X$35)),0)</f>
        <v>0</v>
      </c>
      <c r="BZ16" s="135">
        <f>Tabel424[[#This Row],[Kolom29130]]*BY$2</f>
        <v>0</v>
      </c>
      <c r="CA16" s="135">
        <f>IF(Y$2="x",(_xlfn.RANK.EQ(Tabel424[[#This Row],[Kolom19]],Y$5:Y$35)),0)</f>
        <v>3</v>
      </c>
      <c r="CB16" s="135">
        <f>Tabel424[[#This Row],[Kolom29131]]*CA$2</f>
        <v>3</v>
      </c>
      <c r="CC16" s="135">
        <f>IF(Z$2="x",(_xlfn.RANK.EQ(Tabel424[[#This Row],[Kolom20]],Z$5:Z$35)),0)</f>
        <v>0</v>
      </c>
      <c r="CD16" s="135">
        <f>Tabel424[[#This Row],[Kolom29132]]*CC$2</f>
        <v>0</v>
      </c>
      <c r="CE16" s="135">
        <f>IF(AA$2="x",(_xlfn.RANK.EQ(Tabel424[[#This Row],[Kolom21]],AA$5:AA$35)),0)</f>
        <v>0</v>
      </c>
      <c r="CF16" s="135">
        <f>Tabel424[[#This Row],[Kolom29133]]*CE$2</f>
        <v>0</v>
      </c>
      <c r="CG16" s="135">
        <f>IF(AB$2="x",(_xlfn.RANK.EQ(Tabel424[[#This Row],[Kolom22]],AB$5:AB$35)),0)</f>
        <v>0</v>
      </c>
      <c r="CH16" s="135">
        <f>Tabel424[[#This Row],[Kolom29134]]*CG$2</f>
        <v>0</v>
      </c>
      <c r="CI16" s="135">
        <f>IF(AC$2="x",(_xlfn.RANK.EQ(Tabel424[[#This Row],[Kolom223]],AC$5:AC$35)),0)</f>
        <v>0</v>
      </c>
      <c r="CJ16" s="135">
        <f>Tabel424[[#This Row],[Kolom29135]]*CI$2</f>
        <v>0</v>
      </c>
      <c r="CK16" s="135">
        <f>IF(AD$2="x",(_xlfn.RANK.EQ(Tabel424[[#This Row],[Kolom222]],AD$5:AD$35)),0)</f>
        <v>0</v>
      </c>
      <c r="CL16" s="135">
        <f>Tabel424[[#This Row],[Kolom29136]]*CK$2</f>
        <v>0</v>
      </c>
      <c r="CM16" s="135">
        <f t="shared" si="13"/>
        <v>4</v>
      </c>
      <c r="CN16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Row],[Kolom29130]]+CA16+Tabel424[[#This Row],[Kolom29132]]+Tabel424[[#This Row],[Kolom29133]]+Tabel424[[#This Row],[Kolom29134]]+Tabel424[[#This Row],[Kolom29135]]+Tabel424[[#This Row],[Kolom29136]])/Tabel424[[#This Row],[Kolom29137]]</f>
        <v>5</v>
      </c>
      <c r="CO16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Row],[Kolom291302]]+CB16+Tabel424[[#This Row],[Kolom291322]]+Tabel424[[#This Row],[Kolom291332]]+Tabel424[[#This Row],[Kolom291342]]+Tabel424[[#This Row],[Kolom291352]]+Tabel424[[#This Row],[Kolom291362]])/Tabel424[[#This Row],[Kolom29137]]</f>
        <v>16</v>
      </c>
      <c r="CP16" s="142">
        <f>_xlfn.RANK.EQ(Tabel424[[#This Row],[Kolom29138]],CN$5:CN$35,1)</f>
        <v>2</v>
      </c>
      <c r="CQ16" s="142">
        <f>_xlfn.RANK.EQ(Tabel424[[#This Row],[Kolom291382]],CO$5:CO$35,1)</f>
        <v>6</v>
      </c>
    </row>
    <row r="17" spans="1:95">
      <c r="B17" s="21" t="str">
        <f>'Symptomen (alle)'!A14</f>
        <v>Tetrahymena (also called Guppy-killer)</v>
      </c>
      <c r="C17" s="21">
        <f>'Symptomen (alle)'!B14</f>
        <v>0</v>
      </c>
      <c r="D17" s="21">
        <f>IF(D$2="x",'Symptomen (alle)'!C14,0)</f>
        <v>0</v>
      </c>
      <c r="E17" s="21">
        <f>IF(E$2="x",'Symptomen (alle)'!D14,0)</f>
        <v>0</v>
      </c>
      <c r="F17" s="21">
        <f>IF(F$2="x",'Symptomen (alle)'!E14,0)</f>
        <v>0</v>
      </c>
      <c r="G17" s="21">
        <f>IF(G$2="x",'Symptomen (alle)'!F14,0)</f>
        <v>0</v>
      </c>
      <c r="H17" s="21">
        <f>IF(H$2="x",'Symptomen (alle)'!G14,0)</f>
        <v>0</v>
      </c>
      <c r="I17" s="21">
        <f>IF(I$2="x",'Symptomen (alle)'!H14,0)</f>
        <v>0</v>
      </c>
      <c r="J17" s="21">
        <f>IF(J$2="x",'Symptomen (alle)'!I14,0)</f>
        <v>3</v>
      </c>
      <c r="K17" s="21">
        <f>IF(K$2="x",'Symptomen (alle)'!J14,0)</f>
        <v>0</v>
      </c>
      <c r="L17" s="21">
        <f>IF(L$2="x",'Symptomen (alle)'!K14,0)</f>
        <v>0</v>
      </c>
      <c r="M17" s="21">
        <f>IF(M$2="x",'Symptomen (alle)'!L14,0)</f>
        <v>0</v>
      </c>
      <c r="N17" s="21">
        <f>IF(N$2="x",'Symptomen (alle)'!M14,0)</f>
        <v>0</v>
      </c>
      <c r="O17" s="21">
        <f>IF(O$2="x",'Symptomen (alle)'!N14,0)</f>
        <v>0</v>
      </c>
      <c r="P17" s="21">
        <f>IF(P$2="x",'Symptomen (alle)'!O14,0)</f>
        <v>0</v>
      </c>
      <c r="Q17" s="21">
        <f>IF(Q$2="x",'Symptomen (alle)'!P14,0)</f>
        <v>0</v>
      </c>
      <c r="R17" s="21">
        <f>IF(R$2="x",'Symptomen (alle)'!Q14,0)</f>
        <v>0</v>
      </c>
      <c r="S17" s="21">
        <f>IF(S$2="x",'Symptomen (alle)'!R14,0)</f>
        <v>0</v>
      </c>
      <c r="T17" s="21">
        <f>IF(T$2="x",'Symptomen (alle)'!S14,0)</f>
        <v>0</v>
      </c>
      <c r="U17" s="21">
        <f>IF(U$2="x",'Symptomen (alle)'!T14,0)</f>
        <v>0</v>
      </c>
      <c r="V17" s="21">
        <f>IF(V$2="x",'Symptomen (alle)'!U14,0)</f>
        <v>0</v>
      </c>
      <c r="W17" s="21">
        <f>IF(W$2="x",'Symptomen (alle)'!V14,0)</f>
        <v>2</v>
      </c>
      <c r="X17" s="21">
        <f>IF(X$2="x",'Symptomen (alle)'!W14,0)</f>
        <v>0</v>
      </c>
      <c r="Y17" s="21">
        <f>IF(Y$2="x",'Symptomen (alle)'!X14,0)</f>
        <v>0</v>
      </c>
      <c r="Z17" s="21">
        <f>IF(Z$2="x",'Symptomen (alle)'!Y14,0)</f>
        <v>0</v>
      </c>
      <c r="AA17" s="21">
        <f>IF(AA$2="x",'Symptomen (alle)'!Z14,0)</f>
        <v>0</v>
      </c>
      <c r="AB17" s="21">
        <f>IF(AB$2="x",'Symptomen (alle)'!AA14,0)</f>
        <v>0</v>
      </c>
      <c r="AC17" s="21">
        <f>IF(AC$2="x",'Symptomen (alle)'!AB14,0)</f>
        <v>0</v>
      </c>
      <c r="AD17" s="21">
        <f>IF(AD$2="x",'Symptomen (alle)'!AC14,0)</f>
        <v>0</v>
      </c>
      <c r="AE17" s="21">
        <f t="shared" si="11"/>
        <v>5</v>
      </c>
      <c r="AF17" s="21">
        <f>HLOOKUP($B$2,ZiekteFam!$B$1:$T$32,AG17,FALSE)</f>
        <v>0</v>
      </c>
      <c r="AG17" s="32">
        <f t="shared" si="12"/>
        <v>14</v>
      </c>
      <c r="AH17" s="32">
        <f>SUM('Symptomen (alle)'!D14:AC14)</f>
        <v>27</v>
      </c>
      <c r="AI17" s="22">
        <f>Tabel424[[#This Row],[Kolom25]]/Tabel424[[#This Row],[Kolom28]]</f>
        <v>0.18518518518518517</v>
      </c>
      <c r="AJ17" s="22"/>
      <c r="AK17" s="22">
        <f>Tabel424[[#This Row],[Kolom29]]</f>
        <v>0.18518518518518517</v>
      </c>
      <c r="AL17" s="36">
        <f>_xlfn.RANK.EQ(Tabel424[[#This Row],[Kolom29]],$AI$5:$AI$35)</f>
        <v>8</v>
      </c>
      <c r="AM17" s="135">
        <f>IF(E$2="x",(_xlfn.RANK.EQ(Tabel424[[#This Row],[Kolom3]],E$5:E$35)),0)</f>
        <v>0</v>
      </c>
      <c r="AN17" s="135">
        <f>Tabel424[[#This Row],[Kolom2911]]*AM$2</f>
        <v>0</v>
      </c>
      <c r="AO17" s="135">
        <f>IF(F$2="x",(_xlfn.RANK.EQ(Tabel424[[#This Row],[Kolom4]],F$5:F$35)),0)</f>
        <v>0</v>
      </c>
      <c r="AP17" s="135">
        <f>Tabel424[[#This Row],[Kolom29112]]*AO$2</f>
        <v>0</v>
      </c>
      <c r="AQ17" s="135">
        <f>IF(G$2="x",(_xlfn.RANK.EQ(Tabel424[[#This Row],[Kolom5]],G$5:G$35)),0)</f>
        <v>0</v>
      </c>
      <c r="AR17" s="135">
        <f>Tabel424[[#This Row],[Kolom29113]]*AQ$2</f>
        <v>0</v>
      </c>
      <c r="AS17" s="135">
        <f>IF(H$2="x",(_xlfn.RANK.EQ(Tabel424[[#This Row],[Kolom6]],H$5:H$35)),0)</f>
        <v>0</v>
      </c>
      <c r="AT17" s="135">
        <f>Tabel424[[#This Row],[Kolom29114]]*AS$2</f>
        <v>0</v>
      </c>
      <c r="AU17" s="135">
        <f>IF(I$2="x",(_xlfn.RANK.EQ(Tabel424[[#This Row],[Kolom62]],I$5:I$35)),0)</f>
        <v>0</v>
      </c>
      <c r="AV17" s="135">
        <f>Tabel424[[#This Row],[Kolom29115]]*AU$2</f>
        <v>0</v>
      </c>
      <c r="AW17" s="135">
        <f>IF(J$2="x",(_xlfn.RANK.EQ(Tabel424[[#This Row],[Kolom7]],J$5:J$35)),0)</f>
        <v>5</v>
      </c>
      <c r="AX17" s="135">
        <f>Tabel424[[#This Row],[Kolom29116]]*AW$2</f>
        <v>25</v>
      </c>
      <c r="AY17" s="135">
        <f>IF(K$2="x",(_xlfn.RANK.EQ(Tabel424[[#This Row],[Kolom72]],K$5:K$35)),0)</f>
        <v>0</v>
      </c>
      <c r="AZ17" s="135">
        <f>Tabel424[[#This Row],[Kolom29117]]*AY$2</f>
        <v>0</v>
      </c>
      <c r="BA17" s="135">
        <f>IF(L$2="x",(_xlfn.RANK.EQ(Tabel424[[#This Row],[Kolom8]],L$5:L$35)),0)</f>
        <v>0</v>
      </c>
      <c r="BB17" s="135">
        <f>Tabel424[[#This Row],[Kolom29118]]*BA$2</f>
        <v>0</v>
      </c>
      <c r="BC17" s="135">
        <f>IF(M$2="x",(_xlfn.RANK.EQ(Tabel424[[#This Row],[Kolom9]],M$5:M$35)),0)</f>
        <v>0</v>
      </c>
      <c r="BD17" s="135">
        <f>Tabel424[[#This Row],[Kolom29119]]*BC$2</f>
        <v>0</v>
      </c>
      <c r="BE17" s="135">
        <f>IF(N$2="x",(_xlfn.RANK.EQ(Tabel424[[#This Row],[Kolom10]],N$5:N$35)),0)</f>
        <v>0</v>
      </c>
      <c r="BF17" s="135">
        <f>Tabel424[[#This Row],[Kolom29120]]*BE$2</f>
        <v>0</v>
      </c>
      <c r="BG17" s="135">
        <f>IF(O$2="x",(_xlfn.RANK.EQ(Tabel424[[#This Row],[Kolom11]],O$5:O$35)),0)</f>
        <v>0</v>
      </c>
      <c r="BH17" s="135">
        <f>Tabel424[[#This Row],[Kolom29121]]*BG$2</f>
        <v>0</v>
      </c>
      <c r="BI17" s="135">
        <f>IF(P$2="x",(_xlfn.RANK.EQ(Tabel424[[#This Row],[Kolom12]],P$5:P$35)),0)</f>
        <v>0</v>
      </c>
      <c r="BJ17" s="135">
        <f>Tabel424[[#This Row],[Kolom29122]]*BI$2</f>
        <v>0</v>
      </c>
      <c r="BK17" s="135">
        <f>IF(Q$2="x",(_xlfn.RANK.EQ(Tabel424[[#This Row],[Kolom13]],Q$5:Q$35)),0)</f>
        <v>0</v>
      </c>
      <c r="BL17" s="135">
        <f>Tabel424[[#This Row],[Kolom29123]]*BK$2</f>
        <v>0</v>
      </c>
      <c r="BM17" s="135">
        <f>IF(R$2="x",(_xlfn.RANK.EQ(Tabel424[[#This Row],[Kolom133]],R$5:R$35)),0)</f>
        <v>0</v>
      </c>
      <c r="BN17" s="135">
        <f>Tabel424[[#This Row],[Kolom29124]]*BM$2</f>
        <v>0</v>
      </c>
      <c r="BO17" s="135">
        <f>IF(S$2="x",(_xlfn.RANK.EQ(Tabel424[[#This Row],[Kolom132]],S$5:S$35)),0)</f>
        <v>0</v>
      </c>
      <c r="BP17" s="135">
        <f>Tabel424[[#This Row],[Kolom29125]]*BO$2</f>
        <v>0</v>
      </c>
      <c r="BQ17" s="135">
        <f>IF(T$2="x",(_xlfn.RANK.EQ(Tabel424[[#This Row],[Kolom14]],T$5:T$35)),0)</f>
        <v>8</v>
      </c>
      <c r="BR17" s="135">
        <f>Tabel424[[#This Row],[Kolom29126]]*BQ$2</f>
        <v>40</v>
      </c>
      <c r="BS17" s="135">
        <f>IF(U$2="x",(_xlfn.RANK.EQ(Tabel424[[#This Row],[Kolom16]],U$5:U$35)),0)</f>
        <v>0</v>
      </c>
      <c r="BT17" s="135">
        <f>Tabel424[[#This Row],[Kolom29127]]*BS$2</f>
        <v>0</v>
      </c>
      <c r="BU17" s="135">
        <f>IF(V$2="x",(_xlfn.RANK.EQ(Tabel424[[#This Row],[Kolom173]],V$5:V$35)),0)</f>
        <v>0</v>
      </c>
      <c r="BV17" s="135">
        <f>Tabel424[[#This Row],[Kolom29128]]*BU$2</f>
        <v>0</v>
      </c>
      <c r="BW17" s="135">
        <f>IF(W$2="x",(_xlfn.RANK.EQ(Tabel424[[#This Row],[Kolom172]],W$5:W$35)),0)</f>
        <v>6</v>
      </c>
      <c r="BX17" s="135">
        <f>Tabel424[[#This Row],[Kolom29129]]*BW$2</f>
        <v>6</v>
      </c>
      <c r="BY17" s="135">
        <f>IF(X$2="x",(_xlfn.RANK.EQ(Tabel424[[#This Row],[Kolom18]],X$5:X$35)),0)</f>
        <v>0</v>
      </c>
      <c r="BZ17" s="135">
        <f>Tabel424[[#This Row],[Kolom29130]]*BY$2</f>
        <v>0</v>
      </c>
      <c r="CA17" s="135">
        <f>IF(Y$2="x",(_xlfn.RANK.EQ(Tabel424[[#This Row],[Kolom19]],Y$5:Y$35)),0)</f>
        <v>11</v>
      </c>
      <c r="CB17" s="135">
        <f>Tabel424[[#This Row],[Kolom29131]]*CA$2</f>
        <v>11</v>
      </c>
      <c r="CC17" s="135">
        <f>IF(Z$2="x",(_xlfn.RANK.EQ(Tabel424[[#This Row],[Kolom20]],Z$5:Z$35)),0)</f>
        <v>0</v>
      </c>
      <c r="CD17" s="135">
        <f>Tabel424[[#This Row],[Kolom29132]]*CC$2</f>
        <v>0</v>
      </c>
      <c r="CE17" s="135">
        <f>IF(AA$2="x",(_xlfn.RANK.EQ(Tabel424[[#This Row],[Kolom21]],AA$5:AA$35)),0)</f>
        <v>0</v>
      </c>
      <c r="CF17" s="135">
        <f>Tabel424[[#This Row],[Kolom29133]]*CE$2</f>
        <v>0</v>
      </c>
      <c r="CG17" s="135">
        <f>IF(AB$2="x",(_xlfn.RANK.EQ(Tabel424[[#This Row],[Kolom22]],AB$5:AB$35)),0)</f>
        <v>0</v>
      </c>
      <c r="CH17" s="135">
        <f>Tabel424[[#This Row],[Kolom29134]]*CG$2</f>
        <v>0</v>
      </c>
      <c r="CI17" s="135">
        <f>IF(AC$2="x",(_xlfn.RANK.EQ(Tabel424[[#This Row],[Kolom223]],AC$5:AC$35)),0)</f>
        <v>0</v>
      </c>
      <c r="CJ17" s="135">
        <f>Tabel424[[#This Row],[Kolom29135]]*CI$2</f>
        <v>0</v>
      </c>
      <c r="CK17" s="135">
        <f>IF(AD$2="x",(_xlfn.RANK.EQ(Tabel424[[#This Row],[Kolom222]],AD$5:AD$35)),0)</f>
        <v>0</v>
      </c>
      <c r="CL17" s="135">
        <f>Tabel424[[#This Row],[Kolom29136]]*CK$2</f>
        <v>0</v>
      </c>
      <c r="CM17" s="135">
        <f t="shared" si="13"/>
        <v>4</v>
      </c>
      <c r="CN17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Row],[Kolom29130]]+CA17+Tabel424[[#This Row],[Kolom29132]]+Tabel424[[#This Row],[Kolom29133]]+Tabel424[[#This Row],[Kolom29134]]+Tabel424[[#This Row],[Kolom29135]]+Tabel424[[#This Row],[Kolom29136]])/Tabel424[[#This Row],[Kolom29137]]</f>
        <v>7.5</v>
      </c>
      <c r="CO17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Row],[Kolom291302]]+CB17+Tabel424[[#This Row],[Kolom291322]]+Tabel424[[#This Row],[Kolom291332]]+Tabel424[[#This Row],[Kolom291342]]+Tabel424[[#This Row],[Kolom291352]]+Tabel424[[#This Row],[Kolom291362]])/Tabel424[[#This Row],[Kolom29137]]</f>
        <v>20.5</v>
      </c>
      <c r="CP17" s="142">
        <f>_xlfn.RANK.EQ(Tabel424[[#This Row],[Kolom29138]],CN$5:CN$35,1)</f>
        <v>8</v>
      </c>
      <c r="CQ17" s="142">
        <f>_xlfn.RANK.EQ(Tabel424[[#This Row],[Kolom291382]],CO$5:CO$35,1)</f>
        <v>9</v>
      </c>
    </row>
    <row r="18" spans="1:95">
      <c r="B18" s="21" t="str">
        <f>'Symptomen (alle)'!A15</f>
        <v>Hole-in-the-head/HLLS/Head-and-Lateral-Line-Syndrome</v>
      </c>
      <c r="C18" s="21">
        <f>'Symptomen (alle)'!B15</f>
        <v>2</v>
      </c>
      <c r="D18" s="21">
        <f>IF(D$2="x",'Symptomen (alle)'!C15,0)</f>
        <v>0</v>
      </c>
      <c r="E18" s="21">
        <f>IF(E$2="x",'Symptomen (alle)'!D15,0)</f>
        <v>0</v>
      </c>
      <c r="F18" s="21">
        <f>IF(F$2="x",'Symptomen (alle)'!E15,0)</f>
        <v>0</v>
      </c>
      <c r="G18" s="21">
        <f>IF(G$2="x",'Symptomen (alle)'!F15,0)</f>
        <v>0</v>
      </c>
      <c r="H18" s="21">
        <f>IF(H$2="x",'Symptomen (alle)'!G15,0)</f>
        <v>0</v>
      </c>
      <c r="I18" s="21">
        <f>IF(I$2="x",'Symptomen (alle)'!H15,0)</f>
        <v>0</v>
      </c>
      <c r="J18" s="21">
        <f>IF(J$2="x",'Symptomen (alle)'!I15,0)</f>
        <v>10</v>
      </c>
      <c r="K18" s="21">
        <f>IF(K$2="x",'Symptomen (alle)'!J15,0)</f>
        <v>0</v>
      </c>
      <c r="L18" s="21">
        <f>IF(L$2="x",'Symptomen (alle)'!K15,0)</f>
        <v>0</v>
      </c>
      <c r="M18" s="21">
        <f>IF(M$2="x",'Symptomen (alle)'!L15,0)</f>
        <v>0</v>
      </c>
      <c r="N18" s="21">
        <f>IF(N$2="x",'Symptomen (alle)'!M15,0)</f>
        <v>0</v>
      </c>
      <c r="O18" s="21">
        <f>IF(O$2="x",'Symptomen (alle)'!N15,0)</f>
        <v>0</v>
      </c>
      <c r="P18" s="21">
        <f>IF(P$2="x",'Symptomen (alle)'!O15,0)</f>
        <v>0</v>
      </c>
      <c r="Q18" s="21">
        <f>IF(Q$2="x",'Symptomen (alle)'!P15,0)</f>
        <v>0</v>
      </c>
      <c r="R18" s="21">
        <f>IF(R$2="x",'Symptomen (alle)'!Q15,0)</f>
        <v>0</v>
      </c>
      <c r="S18" s="21">
        <f>IF(S$2="x",'Symptomen (alle)'!R15,0)</f>
        <v>0</v>
      </c>
      <c r="T18" s="21">
        <f>IF(T$2="x",'Symptomen (alle)'!S15,0)</f>
        <v>0</v>
      </c>
      <c r="U18" s="21">
        <f>IF(U$2="x",'Symptomen (alle)'!T15,0)</f>
        <v>0</v>
      </c>
      <c r="V18" s="21">
        <f>IF(V$2="x",'Symptomen (alle)'!U15,0)</f>
        <v>0</v>
      </c>
      <c r="W18" s="21">
        <f>IF(W$2="x",'Symptomen (alle)'!V15,0)</f>
        <v>0</v>
      </c>
      <c r="X18" s="21">
        <f>IF(X$2="x",'Symptomen (alle)'!W15,0)</f>
        <v>0</v>
      </c>
      <c r="Y18" s="21">
        <f>IF(Y$2="x",'Symptomen (alle)'!X15,0)</f>
        <v>0</v>
      </c>
      <c r="Z18" s="21">
        <f>IF(Z$2="x",'Symptomen (alle)'!Y15,0)</f>
        <v>0</v>
      </c>
      <c r="AA18" s="21">
        <f>IF(AA$2="x",'Symptomen (alle)'!Z15,0)</f>
        <v>0</v>
      </c>
      <c r="AB18" s="21">
        <f>IF(AB$2="x",'Symptomen (alle)'!AA15,0)</f>
        <v>0</v>
      </c>
      <c r="AC18" s="21">
        <f>IF(AC$2="x",'Symptomen (alle)'!AB15,0)</f>
        <v>0</v>
      </c>
      <c r="AD18" s="21">
        <f>IF(AD$2="x",'Symptomen (alle)'!AC15,0)</f>
        <v>0</v>
      </c>
      <c r="AE18" s="21">
        <f t="shared" si="11"/>
        <v>10</v>
      </c>
      <c r="AF18" s="21">
        <f>HLOOKUP($B$2,ZiekteFam!$B$1:$T$32,AG18,FALSE)</f>
        <v>3</v>
      </c>
      <c r="AG18" s="32">
        <f t="shared" si="12"/>
        <v>15</v>
      </c>
      <c r="AH18" s="32">
        <f>SUM('Symptomen (alle)'!D15:AC15)</f>
        <v>26</v>
      </c>
      <c r="AI18" s="22">
        <f>Tabel424[[#This Row],[Kolom25]]/Tabel424[[#This Row],[Kolom28]]</f>
        <v>0.38461538461538464</v>
      </c>
      <c r="AJ18" s="22"/>
      <c r="AK18" s="22">
        <f>Tabel424[[#This Row],[Kolom29]]</f>
        <v>0.38461538461538464</v>
      </c>
      <c r="AL18" s="36">
        <f>_xlfn.RANK.EQ(Tabel424[[#This Row],[Kolom29]],$AI$5:$AI$35)</f>
        <v>3</v>
      </c>
      <c r="AM18" s="135">
        <f>IF(E$2="x",(_xlfn.RANK.EQ(Tabel424[[#This Row],[Kolom3]],E$5:E$35)),0)</f>
        <v>0</v>
      </c>
      <c r="AN18" s="135">
        <f>Tabel424[[#This Row],[Kolom2911]]*AM$2</f>
        <v>0</v>
      </c>
      <c r="AO18" s="135">
        <f>IF(F$2="x",(_xlfn.RANK.EQ(Tabel424[[#This Row],[Kolom4]],F$5:F$35)),0)</f>
        <v>0</v>
      </c>
      <c r="AP18" s="135">
        <f>Tabel424[[#This Row],[Kolom29112]]*AO$2</f>
        <v>0</v>
      </c>
      <c r="AQ18" s="135">
        <f>IF(G$2="x",(_xlfn.RANK.EQ(Tabel424[[#This Row],[Kolom5]],G$5:G$35)),0)</f>
        <v>0</v>
      </c>
      <c r="AR18" s="135">
        <f>Tabel424[[#This Row],[Kolom29113]]*AQ$2</f>
        <v>0</v>
      </c>
      <c r="AS18" s="135">
        <f>IF(H$2="x",(_xlfn.RANK.EQ(Tabel424[[#This Row],[Kolom6]],H$5:H$35)),0)</f>
        <v>0</v>
      </c>
      <c r="AT18" s="135">
        <f>Tabel424[[#This Row],[Kolom29114]]*AS$2</f>
        <v>0</v>
      </c>
      <c r="AU18" s="135">
        <f>IF(I$2="x",(_xlfn.RANK.EQ(Tabel424[[#This Row],[Kolom62]],I$5:I$35)),0)</f>
        <v>0</v>
      </c>
      <c r="AV18" s="135">
        <f>Tabel424[[#This Row],[Kolom29115]]*AU$2</f>
        <v>0</v>
      </c>
      <c r="AW18" s="135">
        <f>IF(J$2="x",(_xlfn.RANK.EQ(Tabel424[[#This Row],[Kolom7]],J$5:J$35)),0)</f>
        <v>1</v>
      </c>
      <c r="AX18" s="135">
        <f>Tabel424[[#This Row],[Kolom29116]]*AW$2</f>
        <v>5</v>
      </c>
      <c r="AY18" s="135">
        <f>IF(K$2="x",(_xlfn.RANK.EQ(Tabel424[[#This Row],[Kolom72]],K$5:K$35)),0)</f>
        <v>0</v>
      </c>
      <c r="AZ18" s="135">
        <f>Tabel424[[#This Row],[Kolom29117]]*AY$2</f>
        <v>0</v>
      </c>
      <c r="BA18" s="135">
        <f>IF(L$2="x",(_xlfn.RANK.EQ(Tabel424[[#This Row],[Kolom8]],L$5:L$35)),0)</f>
        <v>0</v>
      </c>
      <c r="BB18" s="135">
        <f>Tabel424[[#This Row],[Kolom29118]]*BA$2</f>
        <v>0</v>
      </c>
      <c r="BC18" s="135">
        <f>IF(M$2="x",(_xlfn.RANK.EQ(Tabel424[[#This Row],[Kolom9]],M$5:M$35)),0)</f>
        <v>0</v>
      </c>
      <c r="BD18" s="135">
        <f>Tabel424[[#This Row],[Kolom29119]]*BC$2</f>
        <v>0</v>
      </c>
      <c r="BE18" s="135">
        <f>IF(N$2="x",(_xlfn.RANK.EQ(Tabel424[[#This Row],[Kolom10]],N$5:N$35)),0)</f>
        <v>0</v>
      </c>
      <c r="BF18" s="135">
        <f>Tabel424[[#This Row],[Kolom29120]]*BE$2</f>
        <v>0</v>
      </c>
      <c r="BG18" s="135">
        <f>IF(O$2="x",(_xlfn.RANK.EQ(Tabel424[[#This Row],[Kolom11]],O$5:O$35)),0)</f>
        <v>0</v>
      </c>
      <c r="BH18" s="135">
        <f>Tabel424[[#This Row],[Kolom29121]]*BG$2</f>
        <v>0</v>
      </c>
      <c r="BI18" s="135">
        <f>IF(P$2="x",(_xlfn.RANK.EQ(Tabel424[[#This Row],[Kolom12]],P$5:P$35)),0)</f>
        <v>0</v>
      </c>
      <c r="BJ18" s="135">
        <f>Tabel424[[#This Row],[Kolom29122]]*BI$2</f>
        <v>0</v>
      </c>
      <c r="BK18" s="135">
        <f>IF(Q$2="x",(_xlfn.RANK.EQ(Tabel424[[#This Row],[Kolom13]],Q$5:Q$35)),0)</f>
        <v>0</v>
      </c>
      <c r="BL18" s="135">
        <f>Tabel424[[#This Row],[Kolom29123]]*BK$2</f>
        <v>0</v>
      </c>
      <c r="BM18" s="135">
        <f>IF(R$2="x",(_xlfn.RANK.EQ(Tabel424[[#This Row],[Kolom133]],R$5:R$35)),0)</f>
        <v>0</v>
      </c>
      <c r="BN18" s="135">
        <f>Tabel424[[#This Row],[Kolom29124]]*BM$2</f>
        <v>0</v>
      </c>
      <c r="BO18" s="135">
        <f>IF(S$2="x",(_xlfn.RANK.EQ(Tabel424[[#This Row],[Kolom132]],S$5:S$35)),0)</f>
        <v>0</v>
      </c>
      <c r="BP18" s="135">
        <f>Tabel424[[#This Row],[Kolom29125]]*BO$2</f>
        <v>0</v>
      </c>
      <c r="BQ18" s="135">
        <f>IF(T$2="x",(_xlfn.RANK.EQ(Tabel424[[#This Row],[Kolom14]],T$5:T$35)),0)</f>
        <v>8</v>
      </c>
      <c r="BR18" s="135">
        <f>Tabel424[[#This Row],[Kolom29126]]*BQ$2</f>
        <v>40</v>
      </c>
      <c r="BS18" s="135">
        <f>IF(U$2="x",(_xlfn.RANK.EQ(Tabel424[[#This Row],[Kolom16]],U$5:U$35)),0)</f>
        <v>0</v>
      </c>
      <c r="BT18" s="135">
        <f>Tabel424[[#This Row],[Kolom29127]]*BS$2</f>
        <v>0</v>
      </c>
      <c r="BU18" s="135">
        <f>IF(V$2="x",(_xlfn.RANK.EQ(Tabel424[[#This Row],[Kolom173]],V$5:V$35)),0)</f>
        <v>0</v>
      </c>
      <c r="BV18" s="135">
        <f>Tabel424[[#This Row],[Kolom29128]]*BU$2</f>
        <v>0</v>
      </c>
      <c r="BW18" s="135">
        <f>IF(W$2="x",(_xlfn.RANK.EQ(Tabel424[[#This Row],[Kolom172]],W$5:W$35)),0)</f>
        <v>14</v>
      </c>
      <c r="BX18" s="135">
        <f>Tabel424[[#This Row],[Kolom29129]]*BW$2</f>
        <v>14</v>
      </c>
      <c r="BY18" s="135">
        <f>IF(X$2="x",(_xlfn.RANK.EQ(Tabel424[[#This Row],[Kolom18]],X$5:X$35)),0)</f>
        <v>0</v>
      </c>
      <c r="BZ18" s="135">
        <f>Tabel424[[#This Row],[Kolom29130]]*BY$2</f>
        <v>0</v>
      </c>
      <c r="CA18" s="135">
        <f>IF(Y$2="x",(_xlfn.RANK.EQ(Tabel424[[#This Row],[Kolom19]],Y$5:Y$35)),0)</f>
        <v>11</v>
      </c>
      <c r="CB18" s="135">
        <f>Tabel424[[#This Row],[Kolom29131]]*CA$2</f>
        <v>11</v>
      </c>
      <c r="CC18" s="135">
        <f>IF(Z$2="x",(_xlfn.RANK.EQ(Tabel424[[#This Row],[Kolom20]],Z$5:Z$35)),0)</f>
        <v>0</v>
      </c>
      <c r="CD18" s="135">
        <f>Tabel424[[#This Row],[Kolom29132]]*CC$2</f>
        <v>0</v>
      </c>
      <c r="CE18" s="135">
        <f>IF(AA$2="x",(_xlfn.RANK.EQ(Tabel424[[#This Row],[Kolom21]],AA$5:AA$35)),0)</f>
        <v>0</v>
      </c>
      <c r="CF18" s="135">
        <f>Tabel424[[#This Row],[Kolom29133]]*CE$2</f>
        <v>0</v>
      </c>
      <c r="CG18" s="135">
        <f>IF(AB$2="x",(_xlfn.RANK.EQ(Tabel424[[#This Row],[Kolom22]],AB$5:AB$35)),0)</f>
        <v>0</v>
      </c>
      <c r="CH18" s="135">
        <f>Tabel424[[#This Row],[Kolom29134]]*CG$2</f>
        <v>0</v>
      </c>
      <c r="CI18" s="135">
        <f>IF(AC$2="x",(_xlfn.RANK.EQ(Tabel424[[#This Row],[Kolom223]],AC$5:AC$35)),0)</f>
        <v>0</v>
      </c>
      <c r="CJ18" s="135">
        <f>Tabel424[[#This Row],[Kolom29135]]*CI$2</f>
        <v>0</v>
      </c>
      <c r="CK18" s="135">
        <f>IF(AD$2="x",(_xlfn.RANK.EQ(Tabel424[[#This Row],[Kolom222]],AD$5:AD$35)),0)</f>
        <v>0</v>
      </c>
      <c r="CL18" s="135">
        <f>Tabel424[[#This Row],[Kolom29136]]*CK$2</f>
        <v>0</v>
      </c>
      <c r="CM18" s="135">
        <f t="shared" si="13"/>
        <v>4</v>
      </c>
      <c r="CN18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Row],[Kolom29130]]+CA18+Tabel424[[#This Row],[Kolom29132]]+Tabel424[[#This Row],[Kolom29133]]+Tabel424[[#This Row],[Kolom29134]]+Tabel424[[#This Row],[Kolom29135]]+Tabel424[[#This Row],[Kolom29136]])/Tabel424[[#This Row],[Kolom29137]]</f>
        <v>8.5</v>
      </c>
      <c r="CO18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Row],[Kolom291302]]+CB18+Tabel424[[#This Row],[Kolom291322]]+Tabel424[[#This Row],[Kolom291332]]+Tabel424[[#This Row],[Kolom291342]]+Tabel424[[#This Row],[Kolom291352]]+Tabel424[[#This Row],[Kolom291362]])/Tabel424[[#This Row],[Kolom29137]]</f>
        <v>17.5</v>
      </c>
      <c r="CP18" s="142">
        <f>_xlfn.RANK.EQ(Tabel424[[#This Row],[Kolom29138]],CN$5:CN$35,1)</f>
        <v>11</v>
      </c>
      <c r="CQ18" s="142">
        <f>_xlfn.RANK.EQ(Tabel424[[#This Row],[Kolom291382]],CO$5:CO$35,1)</f>
        <v>7</v>
      </c>
    </row>
    <row r="19" spans="1:95">
      <c r="B19" s="21" t="str">
        <f>'Symptomen (alle)'!A16</f>
        <v>Spironucleus/Hexamita</v>
      </c>
      <c r="C19" s="21">
        <f>'Symptomen (alle)'!B16</f>
        <v>2</v>
      </c>
      <c r="D19" s="21">
        <f>IF(D$2="x",'Symptomen (alle)'!C16,0)</f>
        <v>0</v>
      </c>
      <c r="E19" s="21">
        <f>IF(E$2="x",'Symptomen (alle)'!D16,0)</f>
        <v>0</v>
      </c>
      <c r="F19" s="21">
        <f>IF(F$2="x",'Symptomen (alle)'!E16,0)</f>
        <v>0</v>
      </c>
      <c r="G19" s="21">
        <f>IF(G$2="x",'Symptomen (alle)'!F16,0)</f>
        <v>0</v>
      </c>
      <c r="H19" s="21">
        <f>IF(H$2="x",'Symptomen (alle)'!G16,0)</f>
        <v>0</v>
      </c>
      <c r="I19" s="21">
        <f>IF(I$2="x",'Symptomen (alle)'!H16,0)</f>
        <v>0</v>
      </c>
      <c r="J19" s="21">
        <f>IF(J$2="x",'Symptomen (alle)'!I16,0)</f>
        <v>0</v>
      </c>
      <c r="K19" s="21">
        <f>IF(K$2="x",'Symptomen (alle)'!J16,0)</f>
        <v>0</v>
      </c>
      <c r="L19" s="21">
        <f>IF(L$2="x",'Symptomen (alle)'!K16,0)</f>
        <v>0</v>
      </c>
      <c r="M19" s="21">
        <f>IF(M$2="x",'Symptomen (alle)'!L16,0)</f>
        <v>0</v>
      </c>
      <c r="N19" s="21">
        <f>IF(N$2="x",'Symptomen (alle)'!M16,0)</f>
        <v>0</v>
      </c>
      <c r="O19" s="21">
        <f>IF(O$2="x",'Symptomen (alle)'!N16,0)</f>
        <v>0</v>
      </c>
      <c r="P19" s="21">
        <f>IF(P$2="x",'Symptomen (alle)'!O16,0)</f>
        <v>0</v>
      </c>
      <c r="Q19" s="21">
        <f>IF(Q$2="x",'Symptomen (alle)'!P16,0)</f>
        <v>0</v>
      </c>
      <c r="R19" s="21">
        <f>IF(R$2="x",'Symptomen (alle)'!Q16,0)</f>
        <v>0</v>
      </c>
      <c r="S19" s="21">
        <f>IF(S$2="x",'Symptomen (alle)'!R16,0)</f>
        <v>0</v>
      </c>
      <c r="T19" s="21">
        <f>IF(T$2="x",'Symptomen (alle)'!S16,0)</f>
        <v>0</v>
      </c>
      <c r="U19" s="21">
        <f>IF(U$2="x",'Symptomen (alle)'!T16,0)</f>
        <v>0</v>
      </c>
      <c r="V19" s="21">
        <f>IF(V$2="x",'Symptomen (alle)'!U16,0)</f>
        <v>0</v>
      </c>
      <c r="W19" s="21">
        <f>IF(W$2="x",'Symptomen (alle)'!V16,0)</f>
        <v>0</v>
      </c>
      <c r="X19" s="21">
        <f>IF(X$2="x",'Symptomen (alle)'!W16,0)</f>
        <v>0</v>
      </c>
      <c r="Y19" s="21">
        <f>IF(Y$2="x",'Symptomen (alle)'!X16,0)</f>
        <v>0</v>
      </c>
      <c r="Z19" s="21">
        <f>IF(Z$2="x",'Symptomen (alle)'!Y16,0)</f>
        <v>0</v>
      </c>
      <c r="AA19" s="21">
        <f>IF(AA$2="x",'Symptomen (alle)'!Z16,0)</f>
        <v>0</v>
      </c>
      <c r="AB19" s="21">
        <f>IF(AB$2="x",'Symptomen (alle)'!AA16,0)</f>
        <v>0</v>
      </c>
      <c r="AC19" s="21">
        <f>IF(AC$2="x",'Symptomen (alle)'!AB16,0)</f>
        <v>0</v>
      </c>
      <c r="AD19" s="21">
        <f>IF(AD$2="x",'Symptomen (alle)'!AC16,0)</f>
        <v>0</v>
      </c>
      <c r="AE19" s="21">
        <f t="shared" si="11"/>
        <v>0</v>
      </c>
      <c r="AF19" s="21">
        <f>HLOOKUP($B$2,ZiekteFam!$B$1:$T$32,AG19,FALSE)</f>
        <v>0</v>
      </c>
      <c r="AG19" s="32">
        <f t="shared" si="12"/>
        <v>16</v>
      </c>
      <c r="AH19" s="32">
        <f>SUM('Symptomen (alle)'!D16:AC16)</f>
        <v>26</v>
      </c>
      <c r="AI19" s="22">
        <f>Tabel424[[#This Row],[Kolom25]]/Tabel424[[#This Row],[Kolom28]]</f>
        <v>0</v>
      </c>
      <c r="AJ19" s="22"/>
      <c r="AK19" s="22">
        <f>Tabel424[[#This Row],[Kolom29]]</f>
        <v>0</v>
      </c>
      <c r="AL19" s="36">
        <f>_xlfn.RANK.EQ(Tabel424[[#This Row],[Kolom29]],$AI$5:$AI$35)</f>
        <v>27</v>
      </c>
      <c r="AM19" s="135">
        <f>IF(E$2="x",(_xlfn.RANK.EQ(Tabel424[[#This Row],[Kolom3]],E$5:E$35)),0)</f>
        <v>0</v>
      </c>
      <c r="AN19" s="135">
        <f>Tabel424[[#This Row],[Kolom2911]]*AM$2</f>
        <v>0</v>
      </c>
      <c r="AO19" s="135">
        <f>IF(F$2="x",(_xlfn.RANK.EQ(Tabel424[[#This Row],[Kolom4]],F$5:F$35)),0)</f>
        <v>0</v>
      </c>
      <c r="AP19" s="135">
        <f>Tabel424[[#This Row],[Kolom29112]]*AO$2</f>
        <v>0</v>
      </c>
      <c r="AQ19" s="135">
        <f>IF(G$2="x",(_xlfn.RANK.EQ(Tabel424[[#This Row],[Kolom5]],G$5:G$35)),0)</f>
        <v>0</v>
      </c>
      <c r="AR19" s="135">
        <f>Tabel424[[#This Row],[Kolom29113]]*AQ$2</f>
        <v>0</v>
      </c>
      <c r="AS19" s="135">
        <f>IF(H$2="x",(_xlfn.RANK.EQ(Tabel424[[#This Row],[Kolom6]],H$5:H$35)),0)</f>
        <v>0</v>
      </c>
      <c r="AT19" s="135">
        <f>Tabel424[[#This Row],[Kolom29114]]*AS$2</f>
        <v>0</v>
      </c>
      <c r="AU19" s="135">
        <f>IF(I$2="x",(_xlfn.RANK.EQ(Tabel424[[#This Row],[Kolom62]],I$5:I$35)),0)</f>
        <v>0</v>
      </c>
      <c r="AV19" s="135">
        <f>Tabel424[[#This Row],[Kolom29115]]*AU$2</f>
        <v>0</v>
      </c>
      <c r="AW19" s="135">
        <f>IF(J$2="x",(_xlfn.RANK.EQ(Tabel424[[#This Row],[Kolom7]],J$5:J$35)),0)</f>
        <v>23</v>
      </c>
      <c r="AX19" s="135">
        <f>Tabel424[[#This Row],[Kolom29116]]*AW$2</f>
        <v>115</v>
      </c>
      <c r="AY19" s="135">
        <f>IF(K$2="x",(_xlfn.RANK.EQ(Tabel424[[#This Row],[Kolom72]],K$5:K$35)),0)</f>
        <v>0</v>
      </c>
      <c r="AZ19" s="135">
        <f>Tabel424[[#This Row],[Kolom29117]]*AY$2</f>
        <v>0</v>
      </c>
      <c r="BA19" s="135">
        <f>IF(L$2="x",(_xlfn.RANK.EQ(Tabel424[[#This Row],[Kolom8]],L$5:L$35)),0)</f>
        <v>0</v>
      </c>
      <c r="BB19" s="135">
        <f>Tabel424[[#This Row],[Kolom29118]]*BA$2</f>
        <v>0</v>
      </c>
      <c r="BC19" s="135">
        <f>IF(M$2="x",(_xlfn.RANK.EQ(Tabel424[[#This Row],[Kolom9]],M$5:M$35)),0)</f>
        <v>0</v>
      </c>
      <c r="BD19" s="135">
        <f>Tabel424[[#This Row],[Kolom29119]]*BC$2</f>
        <v>0</v>
      </c>
      <c r="BE19" s="135">
        <f>IF(N$2="x",(_xlfn.RANK.EQ(Tabel424[[#This Row],[Kolom10]],N$5:N$35)),0)</f>
        <v>0</v>
      </c>
      <c r="BF19" s="135">
        <f>Tabel424[[#This Row],[Kolom29120]]*BE$2</f>
        <v>0</v>
      </c>
      <c r="BG19" s="135">
        <f>IF(O$2="x",(_xlfn.RANK.EQ(Tabel424[[#This Row],[Kolom11]],O$5:O$35)),0)</f>
        <v>0</v>
      </c>
      <c r="BH19" s="135">
        <f>Tabel424[[#This Row],[Kolom29121]]*BG$2</f>
        <v>0</v>
      </c>
      <c r="BI19" s="135">
        <f>IF(P$2="x",(_xlfn.RANK.EQ(Tabel424[[#This Row],[Kolom12]],P$5:P$35)),0)</f>
        <v>0</v>
      </c>
      <c r="BJ19" s="135">
        <f>Tabel424[[#This Row],[Kolom29122]]*BI$2</f>
        <v>0</v>
      </c>
      <c r="BK19" s="135">
        <f>IF(Q$2="x",(_xlfn.RANK.EQ(Tabel424[[#This Row],[Kolom13]],Q$5:Q$35)),0)</f>
        <v>0</v>
      </c>
      <c r="BL19" s="135">
        <f>Tabel424[[#This Row],[Kolom29123]]*BK$2</f>
        <v>0</v>
      </c>
      <c r="BM19" s="135">
        <f>IF(R$2="x",(_xlfn.RANK.EQ(Tabel424[[#This Row],[Kolom133]],R$5:R$35)),0)</f>
        <v>0</v>
      </c>
      <c r="BN19" s="135">
        <f>Tabel424[[#This Row],[Kolom29124]]*BM$2</f>
        <v>0</v>
      </c>
      <c r="BO19" s="135">
        <f>IF(S$2="x",(_xlfn.RANK.EQ(Tabel424[[#This Row],[Kolom132]],S$5:S$35)),0)</f>
        <v>0</v>
      </c>
      <c r="BP19" s="135">
        <f>Tabel424[[#This Row],[Kolom29125]]*BO$2</f>
        <v>0</v>
      </c>
      <c r="BQ19" s="135">
        <f>IF(T$2="x",(_xlfn.RANK.EQ(Tabel424[[#This Row],[Kolom14]],T$5:T$35)),0)</f>
        <v>8</v>
      </c>
      <c r="BR19" s="135">
        <f>Tabel424[[#This Row],[Kolom29126]]*BQ$2</f>
        <v>40</v>
      </c>
      <c r="BS19" s="135">
        <f>IF(U$2="x",(_xlfn.RANK.EQ(Tabel424[[#This Row],[Kolom16]],U$5:U$35)),0)</f>
        <v>0</v>
      </c>
      <c r="BT19" s="135">
        <f>Tabel424[[#This Row],[Kolom29127]]*BS$2</f>
        <v>0</v>
      </c>
      <c r="BU19" s="135">
        <f>IF(V$2="x",(_xlfn.RANK.EQ(Tabel424[[#This Row],[Kolom173]],V$5:V$35)),0)</f>
        <v>0</v>
      </c>
      <c r="BV19" s="135">
        <f>Tabel424[[#This Row],[Kolom29128]]*BU$2</f>
        <v>0</v>
      </c>
      <c r="BW19" s="135">
        <f>IF(W$2="x",(_xlfn.RANK.EQ(Tabel424[[#This Row],[Kolom172]],W$5:W$35)),0)</f>
        <v>14</v>
      </c>
      <c r="BX19" s="135">
        <f>Tabel424[[#This Row],[Kolom29129]]*BW$2</f>
        <v>14</v>
      </c>
      <c r="BY19" s="135">
        <f>IF(X$2="x",(_xlfn.RANK.EQ(Tabel424[[#This Row],[Kolom18]],X$5:X$35)),0)</f>
        <v>0</v>
      </c>
      <c r="BZ19" s="135">
        <f>Tabel424[[#This Row],[Kolom29130]]*BY$2</f>
        <v>0</v>
      </c>
      <c r="CA19" s="135">
        <f>IF(Y$2="x",(_xlfn.RANK.EQ(Tabel424[[#This Row],[Kolom19]],Y$5:Y$35)),0)</f>
        <v>11</v>
      </c>
      <c r="CB19" s="135">
        <f>Tabel424[[#This Row],[Kolom29131]]*CA$2</f>
        <v>11</v>
      </c>
      <c r="CC19" s="135">
        <f>IF(Z$2="x",(_xlfn.RANK.EQ(Tabel424[[#This Row],[Kolom20]],Z$5:Z$35)),0)</f>
        <v>0</v>
      </c>
      <c r="CD19" s="135">
        <f>Tabel424[[#This Row],[Kolom29132]]*CC$2</f>
        <v>0</v>
      </c>
      <c r="CE19" s="135">
        <f>IF(AA$2="x",(_xlfn.RANK.EQ(Tabel424[[#This Row],[Kolom21]],AA$5:AA$35)),0)</f>
        <v>0</v>
      </c>
      <c r="CF19" s="135">
        <f>Tabel424[[#This Row],[Kolom29133]]*CE$2</f>
        <v>0</v>
      </c>
      <c r="CG19" s="135">
        <f>IF(AB$2="x",(_xlfn.RANK.EQ(Tabel424[[#This Row],[Kolom22]],AB$5:AB$35)),0)</f>
        <v>0</v>
      </c>
      <c r="CH19" s="135">
        <f>Tabel424[[#This Row],[Kolom29134]]*CG$2</f>
        <v>0</v>
      </c>
      <c r="CI19" s="135">
        <f>IF(AC$2="x",(_xlfn.RANK.EQ(Tabel424[[#This Row],[Kolom223]],AC$5:AC$35)),0)</f>
        <v>0</v>
      </c>
      <c r="CJ19" s="135">
        <f>Tabel424[[#This Row],[Kolom29135]]*CI$2</f>
        <v>0</v>
      </c>
      <c r="CK19" s="135">
        <f>IF(AD$2="x",(_xlfn.RANK.EQ(Tabel424[[#This Row],[Kolom222]],AD$5:AD$35)),0)</f>
        <v>0</v>
      </c>
      <c r="CL19" s="135">
        <f>Tabel424[[#This Row],[Kolom29136]]*CK$2</f>
        <v>0</v>
      </c>
      <c r="CM19" s="135">
        <f t="shared" si="13"/>
        <v>4</v>
      </c>
      <c r="CN19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Row],[Kolom29130]]+CA19+Tabel424[[#This Row],[Kolom29132]]+Tabel424[[#This Row],[Kolom29133]]+Tabel424[[#This Row],[Kolom29134]]+Tabel424[[#This Row],[Kolom29135]]+Tabel424[[#This Row],[Kolom29136]])/Tabel424[[#This Row],[Kolom29137]]</f>
        <v>14</v>
      </c>
      <c r="CO19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Row],[Kolom291302]]+CB19+Tabel424[[#This Row],[Kolom291322]]+Tabel424[[#This Row],[Kolom291332]]+Tabel424[[#This Row],[Kolom291342]]+Tabel424[[#This Row],[Kolom291352]]+Tabel424[[#This Row],[Kolom291362]])/Tabel424[[#This Row],[Kolom29137]]</f>
        <v>45</v>
      </c>
      <c r="CP19" s="142">
        <f>_xlfn.RANK.EQ(Tabel424[[#This Row],[Kolom29138]],CN$5:CN$35,1)</f>
        <v>27</v>
      </c>
      <c r="CQ19" s="142">
        <f>_xlfn.RANK.EQ(Tabel424[[#This Row],[Kolom291382]],CO$5:CO$35,1)</f>
        <v>27</v>
      </c>
    </row>
    <row r="20" spans="1:95">
      <c r="B20" s="21" t="str">
        <f>'Symptomen (alle)'!A17</f>
        <v>Fungus (mostly Saprolegnia)</v>
      </c>
      <c r="C20">
        <f>'Symptomen (alle)'!B17</f>
        <v>3</v>
      </c>
      <c r="D20" s="21" t="str">
        <f>IF(D$2="x",'Symptomen (alle)'!C17,0)</f>
        <v>x</v>
      </c>
      <c r="E20" s="21">
        <f>IF(E$2="x",'Symptomen (alle)'!D17,0)</f>
        <v>0</v>
      </c>
      <c r="F20" s="21">
        <f>IF(F$2="x",'Symptomen (alle)'!E17,0)</f>
        <v>0</v>
      </c>
      <c r="G20" s="21">
        <f>IF(G$2="x",'Symptomen (alle)'!F17,0)</f>
        <v>0</v>
      </c>
      <c r="H20" s="21">
        <f>IF(H$2="x",'Symptomen (alle)'!G17,0)</f>
        <v>0</v>
      </c>
      <c r="I20" s="21">
        <f>IF(I$2="x",'Symptomen (alle)'!H17,0)</f>
        <v>0</v>
      </c>
      <c r="J20" s="21">
        <f>IF(J$2="x",'Symptomen (alle)'!I17,0)</f>
        <v>2</v>
      </c>
      <c r="K20" s="21">
        <f>IF(K$2="x",'Symptomen (alle)'!J17,0)</f>
        <v>0</v>
      </c>
      <c r="L20" s="21">
        <f>IF(L$2="x",'Symptomen (alle)'!K17,0)</f>
        <v>0</v>
      </c>
      <c r="M20" s="21">
        <f>IF(M$2="x",'Symptomen (alle)'!L17,0)</f>
        <v>0</v>
      </c>
      <c r="N20" s="21">
        <f>IF(N$2="x",'Symptomen (alle)'!M17,0)</f>
        <v>0</v>
      </c>
      <c r="O20" s="21">
        <f>IF(O$2="x",'Symptomen (alle)'!N17,0)</f>
        <v>0</v>
      </c>
      <c r="P20" s="21">
        <f>IF(P$2="x",'Symptomen (alle)'!O17,0)</f>
        <v>0</v>
      </c>
      <c r="Q20" s="21">
        <f>IF(Q$2="x",'Symptomen (alle)'!P17,0)</f>
        <v>0</v>
      </c>
      <c r="R20" s="21">
        <f>IF(R$2="x",'Symptomen (alle)'!Q17,0)</f>
        <v>0</v>
      </c>
      <c r="S20" s="21">
        <f>IF(S$2="x",'Symptomen (alle)'!R17,0)</f>
        <v>0</v>
      </c>
      <c r="T20" s="21">
        <f>IF(T$2="x",'Symptomen (alle)'!S17,0)</f>
        <v>0</v>
      </c>
      <c r="U20" s="21">
        <f>IF(U$2="x",'Symptomen (alle)'!T17,0)</f>
        <v>0</v>
      </c>
      <c r="V20" s="21">
        <f>IF(V$2="x",'Symptomen (alle)'!U17,0)</f>
        <v>0</v>
      </c>
      <c r="W20" s="21">
        <f>IF(W$2="x",'Symptomen (alle)'!V17,0)</f>
        <v>0</v>
      </c>
      <c r="X20" s="21">
        <f>IF(X$2="x",'Symptomen (alle)'!W17,0)</f>
        <v>0</v>
      </c>
      <c r="Y20" s="21">
        <f>IF(Y$2="x",'Symptomen (alle)'!X17,0)</f>
        <v>0</v>
      </c>
      <c r="Z20" s="21">
        <f>IF(Z$2="x",'Symptomen (alle)'!Y17,0)</f>
        <v>0</v>
      </c>
      <c r="AA20" s="21">
        <f>IF(AA$2="x",'Symptomen (alle)'!Z17,0)</f>
        <v>0</v>
      </c>
      <c r="AB20" s="21">
        <f>IF(AB$2="x",'Symptomen (alle)'!AA17,0)</f>
        <v>0</v>
      </c>
      <c r="AC20" s="21">
        <f>IF(AC$2="x",'Symptomen (alle)'!AB17,0)</f>
        <v>0</v>
      </c>
      <c r="AD20" s="21">
        <f>IF(AD$2="x",'Symptomen (alle)'!AC17,0)</f>
        <v>0</v>
      </c>
      <c r="AE20" s="21">
        <f t="shared" si="11"/>
        <v>2</v>
      </c>
      <c r="AF20" s="21">
        <f>HLOOKUP($B$2,ZiekteFam!$B$1:$T$32,AG20,FALSE)</f>
        <v>3</v>
      </c>
      <c r="AG20" s="32">
        <f t="shared" si="12"/>
        <v>17</v>
      </c>
      <c r="AH20" s="32">
        <f>SUM('Symptomen (alle)'!D17:AC17)</f>
        <v>28</v>
      </c>
      <c r="AI20" s="22">
        <f>Tabel424[[#This Row],[Kolom25]]/Tabel424[[#This Row],[Kolom28]]</f>
        <v>7.1428571428571425E-2</v>
      </c>
      <c r="AJ20" s="22"/>
      <c r="AK20" s="22">
        <f>Tabel424[[#This Row],[Kolom29]]</f>
        <v>7.1428571428571425E-2</v>
      </c>
      <c r="AL20" s="36">
        <f>_xlfn.RANK.EQ(Tabel424[[#This Row],[Kolom29]],$AI$5:$AI$35)</f>
        <v>19</v>
      </c>
      <c r="AM20" s="135">
        <f>IF(E$2="x",(_xlfn.RANK.EQ(Tabel424[[#This Row],[Kolom3]],E$5:E$35)),0)</f>
        <v>0</v>
      </c>
      <c r="AN20" s="135">
        <f>Tabel424[[#This Row],[Kolom2911]]*AM$2</f>
        <v>0</v>
      </c>
      <c r="AO20" s="135">
        <f>IF(F$2="x",(_xlfn.RANK.EQ(Tabel424[[#This Row],[Kolom4]],F$5:F$35)),0)</f>
        <v>0</v>
      </c>
      <c r="AP20" s="135">
        <f>Tabel424[[#This Row],[Kolom29112]]*AO$2</f>
        <v>0</v>
      </c>
      <c r="AQ20" s="135">
        <f>IF(G$2="x",(_xlfn.RANK.EQ(Tabel424[[#This Row],[Kolom5]],G$5:G$35)),0)</f>
        <v>0</v>
      </c>
      <c r="AR20" s="135">
        <f>Tabel424[[#This Row],[Kolom29113]]*AQ$2</f>
        <v>0</v>
      </c>
      <c r="AS20" s="135">
        <f>IF(H$2="x",(_xlfn.RANK.EQ(Tabel424[[#This Row],[Kolom6]],H$5:H$35)),0)</f>
        <v>0</v>
      </c>
      <c r="AT20" s="135">
        <f>Tabel424[[#This Row],[Kolom29114]]*AS$2</f>
        <v>0</v>
      </c>
      <c r="AU20" s="135">
        <f>IF(I$2="x",(_xlfn.RANK.EQ(Tabel424[[#This Row],[Kolom62]],I$5:I$35)),0)</f>
        <v>0</v>
      </c>
      <c r="AV20" s="135">
        <f>Tabel424[[#This Row],[Kolom29115]]*AU$2</f>
        <v>0</v>
      </c>
      <c r="AW20" s="135">
        <f>IF(J$2="x",(_xlfn.RANK.EQ(Tabel424[[#This Row],[Kolom7]],J$5:J$35)),0)</f>
        <v>7</v>
      </c>
      <c r="AX20" s="135">
        <f>Tabel424[[#This Row],[Kolom29116]]*AW$2</f>
        <v>35</v>
      </c>
      <c r="AY20" s="135">
        <f>IF(K$2="x",(_xlfn.RANK.EQ(Tabel424[[#This Row],[Kolom72]],K$5:K$35)),0)</f>
        <v>0</v>
      </c>
      <c r="AZ20" s="135">
        <f>Tabel424[[#This Row],[Kolom29117]]*AY$2</f>
        <v>0</v>
      </c>
      <c r="BA20" s="135">
        <f>IF(L$2="x",(_xlfn.RANK.EQ(Tabel424[[#This Row],[Kolom8]],L$5:L$35)),0)</f>
        <v>0</v>
      </c>
      <c r="BB20" s="135">
        <f>Tabel424[[#This Row],[Kolom29118]]*BA$2</f>
        <v>0</v>
      </c>
      <c r="BC20" s="135">
        <f>IF(M$2="x",(_xlfn.RANK.EQ(Tabel424[[#This Row],[Kolom9]],M$5:M$35)),0)</f>
        <v>0</v>
      </c>
      <c r="BD20" s="135">
        <f>Tabel424[[#This Row],[Kolom29119]]*BC$2</f>
        <v>0</v>
      </c>
      <c r="BE20" s="135">
        <f>IF(N$2="x",(_xlfn.RANK.EQ(Tabel424[[#This Row],[Kolom10]],N$5:N$35)),0)</f>
        <v>0</v>
      </c>
      <c r="BF20" s="135">
        <f>Tabel424[[#This Row],[Kolom29120]]*BE$2</f>
        <v>0</v>
      </c>
      <c r="BG20" s="135">
        <f>IF(O$2="x",(_xlfn.RANK.EQ(Tabel424[[#This Row],[Kolom11]],O$5:O$35)),0)</f>
        <v>0</v>
      </c>
      <c r="BH20" s="135">
        <f>Tabel424[[#This Row],[Kolom29121]]*BG$2</f>
        <v>0</v>
      </c>
      <c r="BI20" s="135">
        <f>IF(P$2="x",(_xlfn.RANK.EQ(Tabel424[[#This Row],[Kolom12]],P$5:P$35)),0)</f>
        <v>0</v>
      </c>
      <c r="BJ20" s="135">
        <f>Tabel424[[#This Row],[Kolom29122]]*BI$2</f>
        <v>0</v>
      </c>
      <c r="BK20" s="135">
        <f>IF(Q$2="x",(_xlfn.RANK.EQ(Tabel424[[#This Row],[Kolom13]],Q$5:Q$35)),0)</f>
        <v>0</v>
      </c>
      <c r="BL20" s="135">
        <f>Tabel424[[#This Row],[Kolom29123]]*BK$2</f>
        <v>0</v>
      </c>
      <c r="BM20" s="135">
        <f>IF(R$2="x",(_xlfn.RANK.EQ(Tabel424[[#This Row],[Kolom133]],R$5:R$35)),0)</f>
        <v>0</v>
      </c>
      <c r="BN20" s="135">
        <f>Tabel424[[#This Row],[Kolom29124]]*BM$2</f>
        <v>0</v>
      </c>
      <c r="BO20" s="135">
        <f>IF(S$2="x",(_xlfn.RANK.EQ(Tabel424[[#This Row],[Kolom132]],S$5:S$35)),0)</f>
        <v>0</v>
      </c>
      <c r="BP20" s="135">
        <f>Tabel424[[#This Row],[Kolom29125]]*BO$2</f>
        <v>0</v>
      </c>
      <c r="BQ20" s="135">
        <f>IF(T$2="x",(_xlfn.RANK.EQ(Tabel424[[#This Row],[Kolom14]],T$5:T$35)),0)</f>
        <v>8</v>
      </c>
      <c r="BR20" s="135">
        <f>Tabel424[[#This Row],[Kolom29126]]*BQ$2</f>
        <v>40</v>
      </c>
      <c r="BS20" s="135">
        <f>IF(U$2="x",(_xlfn.RANK.EQ(Tabel424[[#This Row],[Kolom16]],U$5:U$35)),0)</f>
        <v>0</v>
      </c>
      <c r="BT20" s="135">
        <f>Tabel424[[#This Row],[Kolom29127]]*BS$2</f>
        <v>0</v>
      </c>
      <c r="BU20" s="135">
        <f>IF(V$2="x",(_xlfn.RANK.EQ(Tabel424[[#This Row],[Kolom173]],V$5:V$35)),0)</f>
        <v>0</v>
      </c>
      <c r="BV20" s="135">
        <f>Tabel424[[#This Row],[Kolom29128]]*BU$2</f>
        <v>0</v>
      </c>
      <c r="BW20" s="135">
        <f>IF(W$2="x",(_xlfn.RANK.EQ(Tabel424[[#This Row],[Kolom172]],W$5:W$35)),0)</f>
        <v>14</v>
      </c>
      <c r="BX20" s="135">
        <f>Tabel424[[#This Row],[Kolom29129]]*BW$2</f>
        <v>14</v>
      </c>
      <c r="BY20" s="135">
        <f>IF(X$2="x",(_xlfn.RANK.EQ(Tabel424[[#This Row],[Kolom18]],X$5:X$35)),0)</f>
        <v>0</v>
      </c>
      <c r="BZ20" s="135">
        <f>Tabel424[[#This Row],[Kolom29130]]*BY$2</f>
        <v>0</v>
      </c>
      <c r="CA20" s="135">
        <f>IF(Y$2="x",(_xlfn.RANK.EQ(Tabel424[[#This Row],[Kolom19]],Y$5:Y$35)),0)</f>
        <v>11</v>
      </c>
      <c r="CB20" s="135">
        <f>Tabel424[[#This Row],[Kolom29131]]*CA$2</f>
        <v>11</v>
      </c>
      <c r="CC20" s="135">
        <f>IF(Z$2="x",(_xlfn.RANK.EQ(Tabel424[[#This Row],[Kolom20]],Z$5:Z$35)),0)</f>
        <v>0</v>
      </c>
      <c r="CD20" s="135">
        <f>Tabel424[[#This Row],[Kolom29132]]*CC$2</f>
        <v>0</v>
      </c>
      <c r="CE20" s="135">
        <f>IF(AA$2="x",(_xlfn.RANK.EQ(Tabel424[[#This Row],[Kolom21]],AA$5:AA$35)),0)</f>
        <v>0</v>
      </c>
      <c r="CF20" s="135">
        <f>Tabel424[[#This Row],[Kolom29133]]*CE$2</f>
        <v>0</v>
      </c>
      <c r="CG20" s="135">
        <f>IF(AB$2="x",(_xlfn.RANK.EQ(Tabel424[[#This Row],[Kolom22]],AB$5:AB$35)),0)</f>
        <v>0</v>
      </c>
      <c r="CH20" s="135">
        <f>Tabel424[[#This Row],[Kolom29134]]*CG$2</f>
        <v>0</v>
      </c>
      <c r="CI20" s="135">
        <f>IF(AC$2="x",(_xlfn.RANK.EQ(Tabel424[[#This Row],[Kolom223]],AC$5:AC$35)),0)</f>
        <v>0</v>
      </c>
      <c r="CJ20" s="135">
        <f>Tabel424[[#This Row],[Kolom29135]]*CI$2</f>
        <v>0</v>
      </c>
      <c r="CK20" s="135">
        <f>IF(AD$2="x",(_xlfn.RANK.EQ(Tabel424[[#This Row],[Kolom222]],AD$5:AD$35)),0)</f>
        <v>0</v>
      </c>
      <c r="CL20" s="135">
        <f>Tabel424[[#This Row],[Kolom29136]]*CK$2</f>
        <v>0</v>
      </c>
      <c r="CM20" s="135">
        <f t="shared" si="13"/>
        <v>4</v>
      </c>
      <c r="CN20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Row],[Kolom29130]]+CA20+Tabel424[[#This Row],[Kolom29132]]+Tabel424[[#This Row],[Kolom29133]]+Tabel424[[#This Row],[Kolom29134]]+Tabel424[[#This Row],[Kolom29135]]+Tabel424[[#This Row],[Kolom29136]])/Tabel424[[#This Row],[Kolom29137]]</f>
        <v>10</v>
      </c>
      <c r="CO20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Row],[Kolom291302]]+CB20+Tabel424[[#This Row],[Kolom291322]]+Tabel424[[#This Row],[Kolom291332]]+Tabel424[[#This Row],[Kolom291342]]+Tabel424[[#This Row],[Kolom291352]]+Tabel424[[#This Row],[Kolom291362]])/Tabel424[[#This Row],[Kolom29137]]</f>
        <v>25</v>
      </c>
      <c r="CP20" s="142">
        <f>_xlfn.RANK.EQ(Tabel424[[#This Row],[Kolom29138]],CN$5:CN$35,1)</f>
        <v>15</v>
      </c>
      <c r="CQ20" s="142">
        <f>_xlfn.RANK.EQ(Tabel424[[#This Row],[Kolom291382]],CO$5:CO$35,1)</f>
        <v>12</v>
      </c>
    </row>
    <row r="21" spans="1:95">
      <c r="B21" s="21" t="str">
        <f>'Symptomen (alle)'!A18</f>
        <v>False Fungal Parasites (Stalked ciliates)</v>
      </c>
      <c r="C21" s="77">
        <f>'Symptomen (alle)'!B18</f>
        <v>3</v>
      </c>
      <c r="D21" s="21" t="str">
        <f>IF(D$2="x",'Symptomen (alle)'!C18,0)</f>
        <v>x</v>
      </c>
      <c r="E21" s="21">
        <f>IF(E$2="x",'Symptomen (alle)'!D18,0)</f>
        <v>0</v>
      </c>
      <c r="F21" s="21">
        <f>IF(F$2="x",'Symptomen (alle)'!E18,0)</f>
        <v>0</v>
      </c>
      <c r="G21" s="21">
        <f>IF(G$2="x",'Symptomen (alle)'!F18,0)</f>
        <v>0</v>
      </c>
      <c r="H21" s="21">
        <f>IF(H$2="x",'Symptomen (alle)'!G18,0)</f>
        <v>0</v>
      </c>
      <c r="I21" s="21">
        <f>IF(I$2="x",'Symptomen (alle)'!H18,0)</f>
        <v>0</v>
      </c>
      <c r="J21" s="21">
        <f>IF(J$2="x",'Symptomen (alle)'!I18,0)</f>
        <v>1</v>
      </c>
      <c r="K21" s="21">
        <f>IF(K$2="x",'Symptomen (alle)'!J18,0)</f>
        <v>0</v>
      </c>
      <c r="L21" s="21">
        <f>IF(L$2="x",'Symptomen (alle)'!K18,0)</f>
        <v>0</v>
      </c>
      <c r="M21" s="21">
        <f>IF(M$2="x",'Symptomen (alle)'!L18,0)</f>
        <v>0</v>
      </c>
      <c r="N21" s="21">
        <f>IF(N$2="x",'Symptomen (alle)'!M18,0)</f>
        <v>0</v>
      </c>
      <c r="O21" s="21">
        <f>IF(O$2="x",'Symptomen (alle)'!N18,0)</f>
        <v>0</v>
      </c>
      <c r="P21" s="21">
        <f>IF(P$2="x",'Symptomen (alle)'!O18,0)</f>
        <v>0</v>
      </c>
      <c r="Q21" s="21">
        <f>IF(Q$2="x",'Symptomen (alle)'!P18,0)</f>
        <v>0</v>
      </c>
      <c r="R21" s="21">
        <f>IF(R$2="x",'Symptomen (alle)'!Q18,0)</f>
        <v>0</v>
      </c>
      <c r="S21" s="21">
        <f>IF(S$2="x",'Symptomen (alle)'!R18,0)</f>
        <v>0</v>
      </c>
      <c r="T21" s="21">
        <f>IF(T$2="x",'Symptomen (alle)'!S18,0)</f>
        <v>0</v>
      </c>
      <c r="U21" s="21">
        <f>IF(U$2="x",'Symptomen (alle)'!T18,0)</f>
        <v>0</v>
      </c>
      <c r="V21" s="21">
        <f>IF(V$2="x",'Symptomen (alle)'!U18,0)</f>
        <v>0</v>
      </c>
      <c r="W21" s="21">
        <f>IF(W$2="x",'Symptomen (alle)'!V18,0)</f>
        <v>0</v>
      </c>
      <c r="X21" s="21">
        <f>IF(X$2="x",'Symptomen (alle)'!W18,0)</f>
        <v>0</v>
      </c>
      <c r="Y21" s="21">
        <f>IF(Y$2="x",'Symptomen (alle)'!X18,0)</f>
        <v>0</v>
      </c>
      <c r="Z21" s="21">
        <f>IF(Z$2="x",'Symptomen (alle)'!Y18,0)</f>
        <v>0</v>
      </c>
      <c r="AA21" s="21">
        <f>IF(AA$2="x",'Symptomen (alle)'!Z18,0)</f>
        <v>0</v>
      </c>
      <c r="AB21" s="21">
        <f>IF(AB$2="x",'Symptomen (alle)'!AA18,0)</f>
        <v>0</v>
      </c>
      <c r="AC21" s="21">
        <f>IF(AC$2="x",'Symptomen (alle)'!AB18,0)</f>
        <v>0</v>
      </c>
      <c r="AD21" s="21">
        <f>IF(AD$2="x",'Symptomen (alle)'!AC18,0)</f>
        <v>0</v>
      </c>
      <c r="AE21" s="21">
        <f t="shared" si="11"/>
        <v>1</v>
      </c>
      <c r="AF21" s="21">
        <f>HLOOKUP($B$2,ZiekteFam!$B$1:$T$32,AG21,FALSE)</f>
        <v>0</v>
      </c>
      <c r="AG21" s="32">
        <f t="shared" si="12"/>
        <v>18</v>
      </c>
      <c r="AH21" s="32">
        <f>SUM('Symptomen (alle)'!D18:AC18)</f>
        <v>28</v>
      </c>
      <c r="AI21" s="22">
        <f>Tabel424[[#This Row],[Kolom25]]/Tabel424[[#This Row],[Kolom28]]</f>
        <v>3.5714285714285712E-2</v>
      </c>
      <c r="AJ21" s="22"/>
      <c r="AK21" s="22">
        <f>Tabel424[[#This Row],[Kolom29]]</f>
        <v>3.5714285714285712E-2</v>
      </c>
      <c r="AL21" s="36">
        <f>_xlfn.RANK.EQ(Tabel424[[#This Row],[Kolom29]],$AI$5:$AI$35)</f>
        <v>24</v>
      </c>
      <c r="AM21" s="135">
        <f>IF(E$2="x",(_xlfn.RANK.EQ(Tabel424[[#This Row],[Kolom3]],E$5:E$35)),0)</f>
        <v>0</v>
      </c>
      <c r="AN21" s="135">
        <f>Tabel424[[#This Row],[Kolom2911]]*AM$2</f>
        <v>0</v>
      </c>
      <c r="AO21" s="135">
        <f>IF(F$2="x",(_xlfn.RANK.EQ(Tabel424[[#This Row],[Kolom4]],F$5:F$35)),0)</f>
        <v>0</v>
      </c>
      <c r="AP21" s="135">
        <f>Tabel424[[#This Row],[Kolom29112]]*AO$2</f>
        <v>0</v>
      </c>
      <c r="AQ21" s="135">
        <f>IF(G$2="x",(_xlfn.RANK.EQ(Tabel424[[#This Row],[Kolom5]],G$5:G$35)),0)</f>
        <v>0</v>
      </c>
      <c r="AR21" s="135">
        <f>Tabel424[[#This Row],[Kolom29113]]*AQ$2</f>
        <v>0</v>
      </c>
      <c r="AS21" s="135">
        <f>IF(H$2="x",(_xlfn.RANK.EQ(Tabel424[[#This Row],[Kolom6]],H$5:H$35)),0)</f>
        <v>0</v>
      </c>
      <c r="AT21" s="135">
        <f>Tabel424[[#This Row],[Kolom29114]]*AS$2</f>
        <v>0</v>
      </c>
      <c r="AU21" s="135">
        <f>IF(I$2="x",(_xlfn.RANK.EQ(Tabel424[[#This Row],[Kolom62]],I$5:I$35)),0)</f>
        <v>0</v>
      </c>
      <c r="AV21" s="135">
        <f>Tabel424[[#This Row],[Kolom29115]]*AU$2</f>
        <v>0</v>
      </c>
      <c r="AW21" s="135">
        <f>IF(J$2="x",(_xlfn.RANK.EQ(Tabel424[[#This Row],[Kolom7]],J$5:J$35)),0)</f>
        <v>16</v>
      </c>
      <c r="AX21" s="135">
        <f>Tabel424[[#This Row],[Kolom29116]]*AW$2</f>
        <v>80</v>
      </c>
      <c r="AY21" s="135">
        <f>IF(K$2="x",(_xlfn.RANK.EQ(Tabel424[[#This Row],[Kolom72]],K$5:K$35)),0)</f>
        <v>0</v>
      </c>
      <c r="AZ21" s="135">
        <f>Tabel424[[#This Row],[Kolom29117]]*AY$2</f>
        <v>0</v>
      </c>
      <c r="BA21" s="135">
        <f>IF(L$2="x",(_xlfn.RANK.EQ(Tabel424[[#This Row],[Kolom8]],L$5:L$35)),0)</f>
        <v>0</v>
      </c>
      <c r="BB21" s="135">
        <f>Tabel424[[#This Row],[Kolom29118]]*BA$2</f>
        <v>0</v>
      </c>
      <c r="BC21" s="135">
        <f>IF(M$2="x",(_xlfn.RANK.EQ(Tabel424[[#This Row],[Kolom9]],M$5:M$35)),0)</f>
        <v>0</v>
      </c>
      <c r="BD21" s="135">
        <f>Tabel424[[#This Row],[Kolom29119]]*BC$2</f>
        <v>0</v>
      </c>
      <c r="BE21" s="135">
        <f>IF(N$2="x",(_xlfn.RANK.EQ(Tabel424[[#This Row],[Kolom10]],N$5:N$35)),0)</f>
        <v>0</v>
      </c>
      <c r="BF21" s="135">
        <f>Tabel424[[#This Row],[Kolom29120]]*BE$2</f>
        <v>0</v>
      </c>
      <c r="BG21" s="135">
        <f>IF(O$2="x",(_xlfn.RANK.EQ(Tabel424[[#This Row],[Kolom11]],O$5:O$35)),0)</f>
        <v>0</v>
      </c>
      <c r="BH21" s="135">
        <f>Tabel424[[#This Row],[Kolom29121]]*BG$2</f>
        <v>0</v>
      </c>
      <c r="BI21" s="135">
        <f>IF(P$2="x",(_xlfn.RANK.EQ(Tabel424[[#This Row],[Kolom12]],P$5:P$35)),0)</f>
        <v>0</v>
      </c>
      <c r="BJ21" s="135">
        <f>Tabel424[[#This Row],[Kolom29122]]*BI$2</f>
        <v>0</v>
      </c>
      <c r="BK21" s="135">
        <f>IF(Q$2="x",(_xlfn.RANK.EQ(Tabel424[[#This Row],[Kolom13]],Q$5:Q$35)),0)</f>
        <v>0</v>
      </c>
      <c r="BL21" s="135">
        <f>Tabel424[[#This Row],[Kolom29123]]*BK$2</f>
        <v>0</v>
      </c>
      <c r="BM21" s="135">
        <f>IF(R$2="x",(_xlfn.RANK.EQ(Tabel424[[#This Row],[Kolom133]],R$5:R$35)),0)</f>
        <v>0</v>
      </c>
      <c r="BN21" s="135">
        <f>Tabel424[[#This Row],[Kolom29124]]*BM$2</f>
        <v>0</v>
      </c>
      <c r="BO21" s="135">
        <f>IF(S$2="x",(_xlfn.RANK.EQ(Tabel424[[#This Row],[Kolom132]],S$5:S$35)),0)</f>
        <v>0</v>
      </c>
      <c r="BP21" s="135">
        <f>Tabel424[[#This Row],[Kolom29125]]*BO$2</f>
        <v>0</v>
      </c>
      <c r="BQ21" s="135">
        <f>IF(T$2="x",(_xlfn.RANK.EQ(Tabel424[[#This Row],[Kolom14]],T$5:T$35)),0)</f>
        <v>8</v>
      </c>
      <c r="BR21" s="135">
        <f>Tabel424[[#This Row],[Kolom29126]]*BQ$2</f>
        <v>40</v>
      </c>
      <c r="BS21" s="135">
        <f>IF(U$2="x",(_xlfn.RANK.EQ(Tabel424[[#This Row],[Kolom16]],U$5:U$35)),0)</f>
        <v>0</v>
      </c>
      <c r="BT21" s="135">
        <f>Tabel424[[#This Row],[Kolom29127]]*BS$2</f>
        <v>0</v>
      </c>
      <c r="BU21" s="135">
        <f>IF(V$2="x",(_xlfn.RANK.EQ(Tabel424[[#This Row],[Kolom173]],V$5:V$35)),0)</f>
        <v>0</v>
      </c>
      <c r="BV21" s="135">
        <f>Tabel424[[#This Row],[Kolom29128]]*BU$2</f>
        <v>0</v>
      </c>
      <c r="BW21" s="135">
        <f>IF(W$2="x",(_xlfn.RANK.EQ(Tabel424[[#This Row],[Kolom172]],W$5:W$35)),0)</f>
        <v>14</v>
      </c>
      <c r="BX21" s="135">
        <f>Tabel424[[#This Row],[Kolom29129]]*BW$2</f>
        <v>14</v>
      </c>
      <c r="BY21" s="135">
        <f>IF(X$2="x",(_xlfn.RANK.EQ(Tabel424[[#This Row],[Kolom18]],X$5:X$35)),0)</f>
        <v>0</v>
      </c>
      <c r="BZ21" s="135">
        <f>Tabel424[[#This Row],[Kolom29130]]*BY$2</f>
        <v>0</v>
      </c>
      <c r="CA21" s="135">
        <f>IF(Y$2="x",(_xlfn.RANK.EQ(Tabel424[[#This Row],[Kolom19]],Y$5:Y$35)),0)</f>
        <v>11</v>
      </c>
      <c r="CB21" s="135">
        <f>Tabel424[[#This Row],[Kolom29131]]*CA$2</f>
        <v>11</v>
      </c>
      <c r="CC21" s="135">
        <f>IF(Z$2="x",(_xlfn.RANK.EQ(Tabel424[[#This Row],[Kolom20]],Z$5:Z$35)),0)</f>
        <v>0</v>
      </c>
      <c r="CD21" s="135">
        <f>Tabel424[[#This Row],[Kolom29132]]*CC$2</f>
        <v>0</v>
      </c>
      <c r="CE21" s="135">
        <f>IF(AA$2="x",(_xlfn.RANK.EQ(Tabel424[[#This Row],[Kolom21]],AA$5:AA$35)),0)</f>
        <v>0</v>
      </c>
      <c r="CF21" s="135">
        <f>Tabel424[[#This Row],[Kolom29133]]*CE$2</f>
        <v>0</v>
      </c>
      <c r="CG21" s="135">
        <f>IF(AB$2="x",(_xlfn.RANK.EQ(Tabel424[[#This Row],[Kolom22]],AB$5:AB$35)),0)</f>
        <v>0</v>
      </c>
      <c r="CH21" s="135">
        <f>Tabel424[[#This Row],[Kolom29134]]*CG$2</f>
        <v>0</v>
      </c>
      <c r="CI21" s="135">
        <f>IF(AC$2="x",(_xlfn.RANK.EQ(Tabel424[[#This Row],[Kolom223]],AC$5:AC$35)),0)</f>
        <v>0</v>
      </c>
      <c r="CJ21" s="135">
        <f>Tabel424[[#This Row],[Kolom29135]]*CI$2</f>
        <v>0</v>
      </c>
      <c r="CK21" s="135">
        <f>IF(AD$2="x",(_xlfn.RANK.EQ(Tabel424[[#This Row],[Kolom222]],AD$5:AD$35)),0)</f>
        <v>0</v>
      </c>
      <c r="CL21" s="135">
        <f>Tabel424[[#This Row],[Kolom29136]]*CK$2</f>
        <v>0</v>
      </c>
      <c r="CM21" s="135">
        <f t="shared" si="13"/>
        <v>4</v>
      </c>
      <c r="CN21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Row],[Kolom29130]]+CA21+Tabel424[[#This Row],[Kolom29132]]+Tabel424[[#This Row],[Kolom29133]]+Tabel424[[#This Row],[Kolom29134]]+Tabel424[[#This Row],[Kolom29135]]+Tabel424[[#This Row],[Kolom29136]])/Tabel424[[#This Row],[Kolom29137]]</f>
        <v>12.25</v>
      </c>
      <c r="CO21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Row],[Kolom291302]]+CB21+Tabel424[[#This Row],[Kolom291322]]+Tabel424[[#This Row],[Kolom291332]]+Tabel424[[#This Row],[Kolom291342]]+Tabel424[[#This Row],[Kolom291352]]+Tabel424[[#This Row],[Kolom291362]])/Tabel424[[#This Row],[Kolom29137]]</f>
        <v>36.25</v>
      </c>
      <c r="CP21" s="142">
        <f>_xlfn.RANK.EQ(Tabel424[[#This Row],[Kolom29138]],CN$5:CN$35,1)</f>
        <v>24</v>
      </c>
      <c r="CQ21" s="142">
        <f>_xlfn.RANK.EQ(Tabel424[[#This Row],[Kolom291382]],CO$5:CO$35,1)</f>
        <v>21</v>
      </c>
    </row>
    <row r="22" spans="1:95">
      <c r="B22" s="21" t="str">
        <f>'Symptomen (alle)'!A19</f>
        <v>Sporozoa parasites</v>
      </c>
      <c r="C22" s="21">
        <f>'Symptomen (alle)'!B19</f>
        <v>4</v>
      </c>
      <c r="D22" s="21">
        <f>IF(D$2="x",'Symptomen (alle)'!C19,0)</f>
        <v>0</v>
      </c>
      <c r="E22" s="21">
        <f>IF(E$2="x",'Symptomen (alle)'!D19,0)</f>
        <v>0</v>
      </c>
      <c r="F22" s="21">
        <f>IF(F$2="x",'Symptomen (alle)'!E19,0)</f>
        <v>0</v>
      </c>
      <c r="G22" s="21">
        <f>IF(G$2="x",'Symptomen (alle)'!F19,0)</f>
        <v>0</v>
      </c>
      <c r="H22" s="21">
        <f>IF(H$2="x",'Symptomen (alle)'!G19,0)</f>
        <v>0</v>
      </c>
      <c r="I22" s="21">
        <f>IF(I$2="x",'Symptomen (alle)'!H19,0)</f>
        <v>0</v>
      </c>
      <c r="J22" s="21">
        <f>IF(J$2="x",'Symptomen (alle)'!I19,0)</f>
        <v>3</v>
      </c>
      <c r="K22" s="21">
        <f>IF(K$2="x",'Symptomen (alle)'!J19,0)</f>
        <v>0</v>
      </c>
      <c r="L22" s="21">
        <f>IF(L$2="x",'Symptomen (alle)'!K19,0)</f>
        <v>0</v>
      </c>
      <c r="M22" s="21">
        <f>IF(M$2="x",'Symptomen (alle)'!L19,0)</f>
        <v>0</v>
      </c>
      <c r="N22" s="21">
        <f>IF(N$2="x",'Symptomen (alle)'!M19,0)</f>
        <v>0</v>
      </c>
      <c r="O22" s="21">
        <f>IF(O$2="x",'Symptomen (alle)'!N19,0)</f>
        <v>0</v>
      </c>
      <c r="P22" s="21">
        <f>IF(P$2="x",'Symptomen (alle)'!O19,0)</f>
        <v>0</v>
      </c>
      <c r="Q22" s="21">
        <f>IF(Q$2="x",'Symptomen (alle)'!P19,0)</f>
        <v>0</v>
      </c>
      <c r="R22" s="21">
        <f>IF(R$2="x",'Symptomen (alle)'!Q19,0)</f>
        <v>0</v>
      </c>
      <c r="S22" s="21">
        <f>IF(S$2="x",'Symptomen (alle)'!R19,0)</f>
        <v>0</v>
      </c>
      <c r="T22" s="21">
        <f>IF(T$2="x",'Symptomen (alle)'!S19,0)</f>
        <v>0</v>
      </c>
      <c r="U22" s="21">
        <f>IF(U$2="x",'Symptomen (alle)'!T19,0)</f>
        <v>0</v>
      </c>
      <c r="V22" s="21">
        <f>IF(V$2="x",'Symptomen (alle)'!U19,0)</f>
        <v>0</v>
      </c>
      <c r="W22" s="21">
        <f>IF(W$2="x",'Symptomen (alle)'!V19,0)</f>
        <v>0</v>
      </c>
      <c r="X22" s="21">
        <f>IF(X$2="x",'Symptomen (alle)'!W19,0)</f>
        <v>0</v>
      </c>
      <c r="Y22" s="21">
        <f>IF(Y$2="x",'Symptomen (alle)'!X19,0)</f>
        <v>0</v>
      </c>
      <c r="Z22" s="21">
        <f>IF(Z$2="x",'Symptomen (alle)'!Y19,0)</f>
        <v>0</v>
      </c>
      <c r="AA22" s="21">
        <f>IF(AA$2="x",'Symptomen (alle)'!Z19,0)</f>
        <v>0</v>
      </c>
      <c r="AB22" s="21">
        <f>IF(AB$2="x",'Symptomen (alle)'!AA19,0)</f>
        <v>0</v>
      </c>
      <c r="AC22" s="21">
        <f>IF(AC$2="x",'Symptomen (alle)'!AB19,0)</f>
        <v>0</v>
      </c>
      <c r="AD22" s="21">
        <f>IF(AD$2="x",'Symptomen (alle)'!AC19,0)</f>
        <v>0</v>
      </c>
      <c r="AE22" s="21">
        <f t="shared" si="11"/>
        <v>3</v>
      </c>
      <c r="AF22" s="21">
        <f>HLOOKUP($B$2,ZiekteFam!$B$1:$T$32,AG22,FALSE)</f>
        <v>10</v>
      </c>
      <c r="AG22" s="32">
        <f t="shared" si="12"/>
        <v>19</v>
      </c>
      <c r="AH22" s="32">
        <f>SUM('Symptomen (alle)'!D19:AC19)</f>
        <v>18</v>
      </c>
      <c r="AI22" s="22">
        <f>Tabel424[[#This Row],[Kolom25]]/Tabel424[[#This Row],[Kolom28]]</f>
        <v>0.16666666666666666</v>
      </c>
      <c r="AJ22" s="22"/>
      <c r="AK22" s="22">
        <f>Tabel424[[#This Row],[Kolom29]]</f>
        <v>0.16666666666666666</v>
      </c>
      <c r="AL22" s="36">
        <f>_xlfn.RANK.EQ(Tabel424[[#This Row],[Kolom29]],$AI$5:$AI$35)</f>
        <v>11</v>
      </c>
      <c r="AM22" s="135">
        <f>IF(E$2="x",(_xlfn.RANK.EQ(Tabel424[[#This Row],[Kolom3]],E$5:E$35)),0)</f>
        <v>0</v>
      </c>
      <c r="AN22" s="135">
        <f>Tabel424[[#This Row],[Kolom2911]]*AM$2</f>
        <v>0</v>
      </c>
      <c r="AO22" s="135">
        <f>IF(F$2="x",(_xlfn.RANK.EQ(Tabel424[[#This Row],[Kolom4]],F$5:F$35)),0)</f>
        <v>0</v>
      </c>
      <c r="AP22" s="135">
        <f>Tabel424[[#This Row],[Kolom29112]]*AO$2</f>
        <v>0</v>
      </c>
      <c r="AQ22" s="135">
        <f>IF(G$2="x",(_xlfn.RANK.EQ(Tabel424[[#This Row],[Kolom5]],G$5:G$35)),0)</f>
        <v>0</v>
      </c>
      <c r="AR22" s="135">
        <f>Tabel424[[#This Row],[Kolom29113]]*AQ$2</f>
        <v>0</v>
      </c>
      <c r="AS22" s="135">
        <f>IF(H$2="x",(_xlfn.RANK.EQ(Tabel424[[#This Row],[Kolom6]],H$5:H$35)),0)</f>
        <v>0</v>
      </c>
      <c r="AT22" s="135">
        <f>Tabel424[[#This Row],[Kolom29114]]*AS$2</f>
        <v>0</v>
      </c>
      <c r="AU22" s="135">
        <f>IF(I$2="x",(_xlfn.RANK.EQ(Tabel424[[#This Row],[Kolom62]],I$5:I$35)),0)</f>
        <v>0</v>
      </c>
      <c r="AV22" s="135">
        <f>Tabel424[[#This Row],[Kolom29115]]*AU$2</f>
        <v>0</v>
      </c>
      <c r="AW22" s="135">
        <f>IF(J$2="x",(_xlfn.RANK.EQ(Tabel424[[#This Row],[Kolom7]],J$5:J$35)),0)</f>
        <v>5</v>
      </c>
      <c r="AX22" s="135">
        <f>Tabel424[[#This Row],[Kolom29116]]*AW$2</f>
        <v>25</v>
      </c>
      <c r="AY22" s="135">
        <f>IF(K$2="x",(_xlfn.RANK.EQ(Tabel424[[#This Row],[Kolom72]],K$5:K$35)),0)</f>
        <v>0</v>
      </c>
      <c r="AZ22" s="135">
        <f>Tabel424[[#This Row],[Kolom29117]]*AY$2</f>
        <v>0</v>
      </c>
      <c r="BA22" s="135">
        <f>IF(L$2="x",(_xlfn.RANK.EQ(Tabel424[[#This Row],[Kolom8]],L$5:L$35)),0)</f>
        <v>0</v>
      </c>
      <c r="BB22" s="135">
        <f>Tabel424[[#This Row],[Kolom29118]]*BA$2</f>
        <v>0</v>
      </c>
      <c r="BC22" s="135">
        <f>IF(M$2="x",(_xlfn.RANK.EQ(Tabel424[[#This Row],[Kolom9]],M$5:M$35)),0)</f>
        <v>0</v>
      </c>
      <c r="BD22" s="135">
        <f>Tabel424[[#This Row],[Kolom29119]]*BC$2</f>
        <v>0</v>
      </c>
      <c r="BE22" s="135">
        <f>IF(N$2="x",(_xlfn.RANK.EQ(Tabel424[[#This Row],[Kolom10]],N$5:N$35)),0)</f>
        <v>0</v>
      </c>
      <c r="BF22" s="135">
        <f>Tabel424[[#This Row],[Kolom29120]]*BE$2</f>
        <v>0</v>
      </c>
      <c r="BG22" s="135">
        <f>IF(O$2="x",(_xlfn.RANK.EQ(Tabel424[[#This Row],[Kolom11]],O$5:O$35)),0)</f>
        <v>0</v>
      </c>
      <c r="BH22" s="135">
        <f>Tabel424[[#This Row],[Kolom29121]]*BG$2</f>
        <v>0</v>
      </c>
      <c r="BI22" s="135">
        <f>IF(P$2="x",(_xlfn.RANK.EQ(Tabel424[[#This Row],[Kolom12]],P$5:P$35)),0)</f>
        <v>0</v>
      </c>
      <c r="BJ22" s="135">
        <f>Tabel424[[#This Row],[Kolom29122]]*BI$2</f>
        <v>0</v>
      </c>
      <c r="BK22" s="135">
        <f>IF(Q$2="x",(_xlfn.RANK.EQ(Tabel424[[#This Row],[Kolom13]],Q$5:Q$35)),0)</f>
        <v>0</v>
      </c>
      <c r="BL22" s="135">
        <f>Tabel424[[#This Row],[Kolom29123]]*BK$2</f>
        <v>0</v>
      </c>
      <c r="BM22" s="135">
        <f>IF(R$2="x",(_xlfn.RANK.EQ(Tabel424[[#This Row],[Kolom133]],R$5:R$35)),0)</f>
        <v>0</v>
      </c>
      <c r="BN22" s="135">
        <f>Tabel424[[#This Row],[Kolom29124]]*BM$2</f>
        <v>0</v>
      </c>
      <c r="BO22" s="135">
        <f>IF(S$2="x",(_xlfn.RANK.EQ(Tabel424[[#This Row],[Kolom132]],S$5:S$35)),0)</f>
        <v>0</v>
      </c>
      <c r="BP22" s="135">
        <f>Tabel424[[#This Row],[Kolom29125]]*BO$2</f>
        <v>0</v>
      </c>
      <c r="BQ22" s="135">
        <f>IF(T$2="x",(_xlfn.RANK.EQ(Tabel424[[#This Row],[Kolom14]],T$5:T$35)),0)</f>
        <v>8</v>
      </c>
      <c r="BR22" s="135">
        <f>Tabel424[[#This Row],[Kolom29126]]*BQ$2</f>
        <v>40</v>
      </c>
      <c r="BS22" s="135">
        <f>IF(U$2="x",(_xlfn.RANK.EQ(Tabel424[[#This Row],[Kolom16]],U$5:U$35)),0)</f>
        <v>0</v>
      </c>
      <c r="BT22" s="135">
        <f>Tabel424[[#This Row],[Kolom29127]]*BS$2</f>
        <v>0</v>
      </c>
      <c r="BU22" s="135">
        <f>IF(V$2="x",(_xlfn.RANK.EQ(Tabel424[[#This Row],[Kolom173]],V$5:V$35)),0)</f>
        <v>0</v>
      </c>
      <c r="BV22" s="135">
        <f>Tabel424[[#This Row],[Kolom29128]]*BU$2</f>
        <v>0</v>
      </c>
      <c r="BW22" s="135">
        <f>IF(W$2="x",(_xlfn.RANK.EQ(Tabel424[[#This Row],[Kolom172]],W$5:W$35)),0)</f>
        <v>14</v>
      </c>
      <c r="BX22" s="135">
        <f>Tabel424[[#This Row],[Kolom29129]]*BW$2</f>
        <v>14</v>
      </c>
      <c r="BY22" s="135">
        <f>IF(X$2="x",(_xlfn.RANK.EQ(Tabel424[[#This Row],[Kolom18]],X$5:X$35)),0)</f>
        <v>0</v>
      </c>
      <c r="BZ22" s="135">
        <f>Tabel424[[#This Row],[Kolom29130]]*BY$2</f>
        <v>0</v>
      </c>
      <c r="CA22" s="135">
        <f>IF(Y$2="x",(_xlfn.RANK.EQ(Tabel424[[#This Row],[Kolom19]],Y$5:Y$35)),0)</f>
        <v>11</v>
      </c>
      <c r="CB22" s="135">
        <f>Tabel424[[#This Row],[Kolom29131]]*CA$2</f>
        <v>11</v>
      </c>
      <c r="CC22" s="135">
        <f>IF(Z$2="x",(_xlfn.RANK.EQ(Tabel424[[#This Row],[Kolom20]],Z$5:Z$35)),0)</f>
        <v>0</v>
      </c>
      <c r="CD22" s="135">
        <f>Tabel424[[#This Row],[Kolom29132]]*CC$2</f>
        <v>0</v>
      </c>
      <c r="CE22" s="135">
        <f>IF(AA$2="x",(_xlfn.RANK.EQ(Tabel424[[#This Row],[Kolom21]],AA$5:AA$35)),0)</f>
        <v>0</v>
      </c>
      <c r="CF22" s="135">
        <f>Tabel424[[#This Row],[Kolom29133]]*CE$2</f>
        <v>0</v>
      </c>
      <c r="CG22" s="135">
        <f>IF(AB$2="x",(_xlfn.RANK.EQ(Tabel424[[#This Row],[Kolom22]],AB$5:AB$35)),0)</f>
        <v>0</v>
      </c>
      <c r="CH22" s="135">
        <f>Tabel424[[#This Row],[Kolom29134]]*CG$2</f>
        <v>0</v>
      </c>
      <c r="CI22" s="135">
        <f>IF(AC$2="x",(_xlfn.RANK.EQ(Tabel424[[#This Row],[Kolom223]],AC$5:AC$35)),0)</f>
        <v>0</v>
      </c>
      <c r="CJ22" s="135">
        <f>Tabel424[[#This Row],[Kolom29135]]*CI$2</f>
        <v>0</v>
      </c>
      <c r="CK22" s="135">
        <f>IF(AD$2="x",(_xlfn.RANK.EQ(Tabel424[[#This Row],[Kolom222]],AD$5:AD$35)),0)</f>
        <v>0</v>
      </c>
      <c r="CL22" s="135">
        <f>Tabel424[[#This Row],[Kolom29136]]*CK$2</f>
        <v>0</v>
      </c>
      <c r="CM22" s="135">
        <f t="shared" si="13"/>
        <v>4</v>
      </c>
      <c r="CN22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Row],[Kolom29130]]+CA22+Tabel424[[#This Row],[Kolom29132]]+Tabel424[[#This Row],[Kolom29133]]+Tabel424[[#This Row],[Kolom29134]]+Tabel424[[#This Row],[Kolom29135]]+Tabel424[[#This Row],[Kolom29136]])/Tabel424[[#This Row],[Kolom29137]]</f>
        <v>9.5</v>
      </c>
      <c r="CO22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Row],[Kolom291302]]+CB22+Tabel424[[#This Row],[Kolom291322]]+Tabel424[[#This Row],[Kolom291332]]+Tabel424[[#This Row],[Kolom291342]]+Tabel424[[#This Row],[Kolom291352]]+Tabel424[[#This Row],[Kolom291362]])/Tabel424[[#This Row],[Kolom29137]]</f>
        <v>22.5</v>
      </c>
      <c r="CP22" s="142">
        <f>_xlfn.RANK.EQ(Tabel424[[#This Row],[Kolom29138]],CN$5:CN$35,1)</f>
        <v>14</v>
      </c>
      <c r="CQ22" s="142">
        <f>_xlfn.RANK.EQ(Tabel424[[#This Row],[Kolom291382]],CO$5:CO$35,1)</f>
        <v>10</v>
      </c>
    </row>
    <row r="23" spans="1:95">
      <c r="B23" s="21" t="str">
        <f>'Symptomen (alle)'!A20</f>
        <v>Plistophora (real Neon disease)</v>
      </c>
      <c r="C23" s="21">
        <f>'Symptomen (alle)'!B20</f>
        <v>4</v>
      </c>
      <c r="D23" s="21">
        <f>IF(D$2="x",'Symptomen (alle)'!C20,0)</f>
        <v>0</v>
      </c>
      <c r="E23" s="21">
        <f>IF(E$2="x",'Symptomen (alle)'!D20,0)</f>
        <v>0</v>
      </c>
      <c r="F23" s="21">
        <f>IF(F$2="x",'Symptomen (alle)'!E20,0)</f>
        <v>0</v>
      </c>
      <c r="G23" s="21">
        <f>IF(G$2="x",'Symptomen (alle)'!F20,0)</f>
        <v>0</v>
      </c>
      <c r="H23" s="21">
        <f>IF(H$2="x",'Symptomen (alle)'!G20,0)</f>
        <v>0</v>
      </c>
      <c r="I23" s="21">
        <f>IF(I$2="x",'Symptomen (alle)'!H20,0)</f>
        <v>0</v>
      </c>
      <c r="J23" s="21">
        <f>IF(J$2="x",'Symptomen (alle)'!I20,0)</f>
        <v>10</v>
      </c>
      <c r="K23" s="21">
        <f>IF(K$2="x",'Symptomen (alle)'!J20,0)</f>
        <v>0</v>
      </c>
      <c r="L23" s="21">
        <f>IF(L$2="x",'Symptomen (alle)'!K20,0)</f>
        <v>0</v>
      </c>
      <c r="M23" s="21">
        <f>IF(M$2="x",'Symptomen (alle)'!L20,0)</f>
        <v>0</v>
      </c>
      <c r="N23" s="21">
        <f>IF(N$2="x",'Symptomen (alle)'!M20,0)</f>
        <v>0</v>
      </c>
      <c r="O23" s="21">
        <f>IF(O$2="x",'Symptomen (alle)'!N20,0)</f>
        <v>0</v>
      </c>
      <c r="P23" s="21">
        <f>IF(P$2="x",'Symptomen (alle)'!O20,0)</f>
        <v>0</v>
      </c>
      <c r="Q23" s="21">
        <f>IF(Q$2="x",'Symptomen (alle)'!P20,0)</f>
        <v>0</v>
      </c>
      <c r="R23" s="21">
        <f>IF(R$2="x",'Symptomen (alle)'!Q20,0)</f>
        <v>0</v>
      </c>
      <c r="S23" s="21">
        <f>IF(S$2="x",'Symptomen (alle)'!R20,0)</f>
        <v>0</v>
      </c>
      <c r="T23" s="21">
        <f>IF(T$2="x",'Symptomen (alle)'!S20,0)</f>
        <v>0</v>
      </c>
      <c r="U23" s="21">
        <f>IF(U$2="x",'Symptomen (alle)'!T20,0)</f>
        <v>0</v>
      </c>
      <c r="V23" s="21">
        <f>IF(V$2="x",'Symptomen (alle)'!U20,0)</f>
        <v>0</v>
      </c>
      <c r="W23" s="21">
        <f>IF(W$2="x",'Symptomen (alle)'!V20,0)</f>
        <v>0</v>
      </c>
      <c r="X23" s="21">
        <f>IF(X$2="x",'Symptomen (alle)'!W20,0)</f>
        <v>0</v>
      </c>
      <c r="Y23" s="21">
        <f>IF(Y$2="x",'Symptomen (alle)'!X20,0)</f>
        <v>0</v>
      </c>
      <c r="Z23" s="21">
        <f>IF(Z$2="x",'Symptomen (alle)'!Y20,0)</f>
        <v>0</v>
      </c>
      <c r="AA23" s="21">
        <f>IF(AA$2="x",'Symptomen (alle)'!Z20,0)</f>
        <v>0</v>
      </c>
      <c r="AB23" s="21">
        <f>IF(AB$2="x",'Symptomen (alle)'!AA20,0)</f>
        <v>0</v>
      </c>
      <c r="AC23" s="21">
        <f>IF(AC$2="x",'Symptomen (alle)'!AB20,0)</f>
        <v>0</v>
      </c>
      <c r="AD23" s="21">
        <f>IF(AD$2="x",'Symptomen (alle)'!AC20,0)</f>
        <v>0</v>
      </c>
      <c r="AE23" s="21">
        <f t="shared" si="11"/>
        <v>10</v>
      </c>
      <c r="AF23" s="21">
        <f>HLOOKUP($B$2,ZiekteFam!$B$1:$T$32,AG23,FALSE)</f>
        <v>10</v>
      </c>
      <c r="AG23" s="32">
        <f t="shared" si="12"/>
        <v>20</v>
      </c>
      <c r="AH23" s="32">
        <f>SUM('Symptomen (alle)'!D20:AC20)</f>
        <v>14</v>
      </c>
      <c r="AI23" s="22">
        <f>Tabel424[[#This Row],[Kolom25]]/Tabel424[[#This Row],[Kolom28]]</f>
        <v>0.7142857142857143</v>
      </c>
      <c r="AJ23" s="22"/>
      <c r="AK23" s="22">
        <f>Tabel424[[#This Row],[Kolom29]]</f>
        <v>0.7142857142857143</v>
      </c>
      <c r="AL23" s="36">
        <f>_xlfn.RANK.EQ(Tabel424[[#This Row],[Kolom29]],$AI$5:$AI$35)</f>
        <v>1</v>
      </c>
      <c r="AM23" s="135">
        <f>IF(E$2="x",(_xlfn.RANK.EQ(Tabel424[[#This Row],[Kolom3]],E$5:E$35)),0)</f>
        <v>0</v>
      </c>
      <c r="AN23" s="135">
        <f>Tabel424[[#This Row],[Kolom2911]]*AM$2</f>
        <v>0</v>
      </c>
      <c r="AO23" s="135">
        <f>IF(F$2="x",(_xlfn.RANK.EQ(Tabel424[[#This Row],[Kolom4]],F$5:F$35)),0)</f>
        <v>0</v>
      </c>
      <c r="AP23" s="135">
        <f>Tabel424[[#This Row],[Kolom29112]]*AO$2</f>
        <v>0</v>
      </c>
      <c r="AQ23" s="135">
        <f>IF(G$2="x",(_xlfn.RANK.EQ(Tabel424[[#This Row],[Kolom5]],G$5:G$35)),0)</f>
        <v>0</v>
      </c>
      <c r="AR23" s="135">
        <f>Tabel424[[#This Row],[Kolom29113]]*AQ$2</f>
        <v>0</v>
      </c>
      <c r="AS23" s="135">
        <f>IF(H$2="x",(_xlfn.RANK.EQ(Tabel424[[#This Row],[Kolom6]],H$5:H$35)),0)</f>
        <v>0</v>
      </c>
      <c r="AT23" s="135">
        <f>Tabel424[[#This Row],[Kolom29114]]*AS$2</f>
        <v>0</v>
      </c>
      <c r="AU23" s="135">
        <f>IF(I$2="x",(_xlfn.RANK.EQ(Tabel424[[#This Row],[Kolom62]],I$5:I$35)),0)</f>
        <v>0</v>
      </c>
      <c r="AV23" s="135">
        <f>Tabel424[[#This Row],[Kolom29115]]*AU$2</f>
        <v>0</v>
      </c>
      <c r="AW23" s="135">
        <f>IF(J$2="x",(_xlfn.RANK.EQ(Tabel424[[#This Row],[Kolom7]],J$5:J$35)),0)</f>
        <v>1</v>
      </c>
      <c r="AX23" s="135">
        <f>Tabel424[[#This Row],[Kolom29116]]*AW$2</f>
        <v>5</v>
      </c>
      <c r="AY23" s="135">
        <f>IF(K$2="x",(_xlfn.RANK.EQ(Tabel424[[#This Row],[Kolom72]],K$5:K$35)),0)</f>
        <v>0</v>
      </c>
      <c r="AZ23" s="135">
        <f>Tabel424[[#This Row],[Kolom29117]]*AY$2</f>
        <v>0</v>
      </c>
      <c r="BA23" s="135">
        <f>IF(L$2="x",(_xlfn.RANK.EQ(Tabel424[[#This Row],[Kolom8]],L$5:L$35)),0)</f>
        <v>0</v>
      </c>
      <c r="BB23" s="135">
        <f>Tabel424[[#This Row],[Kolom29118]]*BA$2</f>
        <v>0</v>
      </c>
      <c r="BC23" s="135">
        <f>IF(M$2="x",(_xlfn.RANK.EQ(Tabel424[[#This Row],[Kolom9]],M$5:M$35)),0)</f>
        <v>0</v>
      </c>
      <c r="BD23" s="135">
        <f>Tabel424[[#This Row],[Kolom29119]]*BC$2</f>
        <v>0</v>
      </c>
      <c r="BE23" s="135">
        <f>IF(N$2="x",(_xlfn.RANK.EQ(Tabel424[[#This Row],[Kolom10]],N$5:N$35)),0)</f>
        <v>0</v>
      </c>
      <c r="BF23" s="135">
        <f>Tabel424[[#This Row],[Kolom29120]]*BE$2</f>
        <v>0</v>
      </c>
      <c r="BG23" s="135">
        <f>IF(O$2="x",(_xlfn.RANK.EQ(Tabel424[[#This Row],[Kolom11]],O$5:O$35)),0)</f>
        <v>0</v>
      </c>
      <c r="BH23" s="135">
        <f>Tabel424[[#This Row],[Kolom29121]]*BG$2</f>
        <v>0</v>
      </c>
      <c r="BI23" s="135">
        <f>IF(P$2="x",(_xlfn.RANK.EQ(Tabel424[[#This Row],[Kolom12]],P$5:P$35)),0)</f>
        <v>0</v>
      </c>
      <c r="BJ23" s="135">
        <f>Tabel424[[#This Row],[Kolom29122]]*BI$2</f>
        <v>0</v>
      </c>
      <c r="BK23" s="135">
        <f>IF(Q$2="x",(_xlfn.RANK.EQ(Tabel424[[#This Row],[Kolom13]],Q$5:Q$35)),0)</f>
        <v>0</v>
      </c>
      <c r="BL23" s="135">
        <f>Tabel424[[#This Row],[Kolom29123]]*BK$2</f>
        <v>0</v>
      </c>
      <c r="BM23" s="135">
        <f>IF(R$2="x",(_xlfn.RANK.EQ(Tabel424[[#This Row],[Kolom133]],R$5:R$35)),0)</f>
        <v>0</v>
      </c>
      <c r="BN23" s="135">
        <f>Tabel424[[#This Row],[Kolom29124]]*BM$2</f>
        <v>0</v>
      </c>
      <c r="BO23" s="135">
        <f>IF(S$2="x",(_xlfn.RANK.EQ(Tabel424[[#This Row],[Kolom132]],S$5:S$35)),0)</f>
        <v>0</v>
      </c>
      <c r="BP23" s="135">
        <f>Tabel424[[#This Row],[Kolom29125]]*BO$2</f>
        <v>0</v>
      </c>
      <c r="BQ23" s="135">
        <f>IF(T$2="x",(_xlfn.RANK.EQ(Tabel424[[#This Row],[Kolom14]],T$5:T$35)),0)</f>
        <v>8</v>
      </c>
      <c r="BR23" s="135">
        <f>Tabel424[[#This Row],[Kolom29126]]*BQ$2</f>
        <v>40</v>
      </c>
      <c r="BS23" s="135">
        <f>IF(U$2="x",(_xlfn.RANK.EQ(Tabel424[[#This Row],[Kolom16]],U$5:U$35)),0)</f>
        <v>0</v>
      </c>
      <c r="BT23" s="135">
        <f>Tabel424[[#This Row],[Kolom29127]]*BS$2</f>
        <v>0</v>
      </c>
      <c r="BU23" s="135">
        <f>IF(V$2="x",(_xlfn.RANK.EQ(Tabel424[[#This Row],[Kolom173]],V$5:V$35)),0)</f>
        <v>0</v>
      </c>
      <c r="BV23" s="135">
        <f>Tabel424[[#This Row],[Kolom29128]]*BU$2</f>
        <v>0</v>
      </c>
      <c r="BW23" s="135">
        <f>IF(W$2="x",(_xlfn.RANK.EQ(Tabel424[[#This Row],[Kolom172]],W$5:W$35)),0)</f>
        <v>14</v>
      </c>
      <c r="BX23" s="135">
        <f>Tabel424[[#This Row],[Kolom29129]]*BW$2</f>
        <v>14</v>
      </c>
      <c r="BY23" s="135">
        <f>IF(X$2="x",(_xlfn.RANK.EQ(Tabel424[[#This Row],[Kolom18]],X$5:X$35)),0)</f>
        <v>0</v>
      </c>
      <c r="BZ23" s="135">
        <f>Tabel424[[#This Row],[Kolom29130]]*BY$2</f>
        <v>0</v>
      </c>
      <c r="CA23" s="135">
        <f>IF(Y$2="x",(_xlfn.RANK.EQ(Tabel424[[#This Row],[Kolom19]],Y$5:Y$35)),0)</f>
        <v>11</v>
      </c>
      <c r="CB23" s="135">
        <f>Tabel424[[#This Row],[Kolom29131]]*CA$2</f>
        <v>11</v>
      </c>
      <c r="CC23" s="135">
        <f>IF(Z$2="x",(_xlfn.RANK.EQ(Tabel424[[#This Row],[Kolom20]],Z$5:Z$35)),0)</f>
        <v>0</v>
      </c>
      <c r="CD23" s="135">
        <f>Tabel424[[#This Row],[Kolom29132]]*CC$2</f>
        <v>0</v>
      </c>
      <c r="CE23" s="135">
        <f>IF(AA$2="x",(_xlfn.RANK.EQ(Tabel424[[#This Row],[Kolom21]],AA$5:AA$35)),0)</f>
        <v>0</v>
      </c>
      <c r="CF23" s="135">
        <f>Tabel424[[#This Row],[Kolom29133]]*CE$2</f>
        <v>0</v>
      </c>
      <c r="CG23" s="135">
        <f>IF(AB$2="x",(_xlfn.RANK.EQ(Tabel424[[#This Row],[Kolom22]],AB$5:AB$35)),0)</f>
        <v>0</v>
      </c>
      <c r="CH23" s="135">
        <f>Tabel424[[#This Row],[Kolom29134]]*CG$2</f>
        <v>0</v>
      </c>
      <c r="CI23" s="135">
        <f>IF(AC$2="x",(_xlfn.RANK.EQ(Tabel424[[#This Row],[Kolom223]],AC$5:AC$35)),0)</f>
        <v>0</v>
      </c>
      <c r="CJ23" s="135">
        <f>Tabel424[[#This Row],[Kolom29135]]*CI$2</f>
        <v>0</v>
      </c>
      <c r="CK23" s="135">
        <f>IF(AD$2="x",(_xlfn.RANK.EQ(Tabel424[[#This Row],[Kolom222]],AD$5:AD$35)),0)</f>
        <v>0</v>
      </c>
      <c r="CL23" s="135">
        <f>Tabel424[[#This Row],[Kolom29136]]*CK$2</f>
        <v>0</v>
      </c>
      <c r="CM23" s="135">
        <f t="shared" si="13"/>
        <v>4</v>
      </c>
      <c r="CN23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Row],[Kolom29130]]+CA23+Tabel424[[#This Row],[Kolom29132]]+Tabel424[[#This Row],[Kolom29133]]+Tabel424[[#This Row],[Kolom29134]]+Tabel424[[#This Row],[Kolom29135]]+Tabel424[[#This Row],[Kolom29136]])/Tabel424[[#This Row],[Kolom29137]]</f>
        <v>8.5</v>
      </c>
      <c r="CO23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Row],[Kolom291302]]+CB23+Tabel424[[#This Row],[Kolom291322]]+Tabel424[[#This Row],[Kolom291332]]+Tabel424[[#This Row],[Kolom291342]]+Tabel424[[#This Row],[Kolom291352]]+Tabel424[[#This Row],[Kolom291362]])/Tabel424[[#This Row],[Kolom29137]]</f>
        <v>17.5</v>
      </c>
      <c r="CP23" s="142">
        <f>_xlfn.RANK.EQ(Tabel424[[#This Row],[Kolom29138]],CN$5:CN$35,1)</f>
        <v>11</v>
      </c>
      <c r="CQ23" s="142">
        <f>_xlfn.RANK.EQ(Tabel424[[#This Row],[Kolom291382]],CO$5:CO$35,1)</f>
        <v>7</v>
      </c>
    </row>
    <row r="24" spans="1:95">
      <c r="B24" s="21" t="str">
        <f>'Symptomen (alle)'!A21</f>
        <v>Columnaris/Flavobacteria (also: false neon disease)</v>
      </c>
      <c r="C24" s="21">
        <f>'Symptomen (alle)'!B21</f>
        <v>4</v>
      </c>
      <c r="D24" s="21">
        <f>IF(D$2="x",'Symptomen (alle)'!C21,0)</f>
        <v>0</v>
      </c>
      <c r="E24" s="21">
        <f>IF(E$2="x",'Symptomen (alle)'!D21,0)</f>
        <v>0</v>
      </c>
      <c r="F24" s="21">
        <f>IF(F$2="x",'Symptomen (alle)'!E21,0)</f>
        <v>0</v>
      </c>
      <c r="G24" s="21">
        <f>IF(G$2="x",'Symptomen (alle)'!F21,0)</f>
        <v>0</v>
      </c>
      <c r="H24" s="21">
        <f>IF(H$2="x",'Symptomen (alle)'!G21,0)</f>
        <v>0</v>
      </c>
      <c r="I24" s="21">
        <f>IF(I$2="x",'Symptomen (alle)'!H21,0)</f>
        <v>0</v>
      </c>
      <c r="J24" s="21">
        <f>IF(J$2="x",'Symptomen (alle)'!I21,0)</f>
        <v>10</v>
      </c>
      <c r="K24" s="21">
        <f>IF(K$2="x",'Symptomen (alle)'!J21,0)</f>
        <v>0</v>
      </c>
      <c r="L24" s="21">
        <f>IF(L$2="x",'Symptomen (alle)'!K21,0)</f>
        <v>0</v>
      </c>
      <c r="M24" s="21">
        <f>IF(M$2="x",'Symptomen (alle)'!L21,0)</f>
        <v>0</v>
      </c>
      <c r="N24" s="21">
        <f>IF(N$2="x",'Symptomen (alle)'!M21,0)</f>
        <v>0</v>
      </c>
      <c r="O24" s="21">
        <f>IF(O$2="x",'Symptomen (alle)'!N21,0)</f>
        <v>0</v>
      </c>
      <c r="P24" s="21">
        <f>IF(P$2="x",'Symptomen (alle)'!O21,0)</f>
        <v>0</v>
      </c>
      <c r="Q24" s="21">
        <f>IF(Q$2="x",'Symptomen (alle)'!P21,0)</f>
        <v>0</v>
      </c>
      <c r="R24" s="21">
        <f>IF(R$2="x",'Symptomen (alle)'!Q21,0)</f>
        <v>0</v>
      </c>
      <c r="S24" s="21">
        <f>IF(S$2="x",'Symptomen (alle)'!R21,0)</f>
        <v>0</v>
      </c>
      <c r="T24" s="21">
        <f>IF(T$2="x",'Symptomen (alle)'!S21,0)</f>
        <v>1</v>
      </c>
      <c r="U24" s="21">
        <f>IF(U$2="x",'Symptomen (alle)'!T21,0)</f>
        <v>0</v>
      </c>
      <c r="V24" s="21">
        <f>IF(V$2="x",'Symptomen (alle)'!U21,0)</f>
        <v>0</v>
      </c>
      <c r="W24" s="21">
        <f>IF(W$2="x",'Symptomen (alle)'!V21,0)</f>
        <v>1</v>
      </c>
      <c r="X24" s="21">
        <f>IF(X$2="x",'Symptomen (alle)'!W21,0)</f>
        <v>0</v>
      </c>
      <c r="Y24" s="21">
        <f>IF(Y$2="x",'Symptomen (alle)'!X21,0)</f>
        <v>0</v>
      </c>
      <c r="Z24" s="21">
        <f>IF(Z$2="x",'Symptomen (alle)'!Y21,0)</f>
        <v>0</v>
      </c>
      <c r="AA24" s="21">
        <f>IF(AA$2="x",'Symptomen (alle)'!Z21,0)</f>
        <v>0</v>
      </c>
      <c r="AB24" s="21">
        <f>IF(AB$2="x",'Symptomen (alle)'!AA21,0)</f>
        <v>0</v>
      </c>
      <c r="AC24" s="21">
        <f>IF(AC$2="x",'Symptomen (alle)'!AB21,0)</f>
        <v>0</v>
      </c>
      <c r="AD24" s="21">
        <f>IF(AD$2="x",'Symptomen (alle)'!AC21,0)</f>
        <v>0</v>
      </c>
      <c r="AE24" s="21">
        <f t="shared" si="11"/>
        <v>12</v>
      </c>
      <c r="AF24" s="21">
        <f>HLOOKUP($B$2,ZiekteFam!$B$1:$T$32,AG24,FALSE)</f>
        <v>10</v>
      </c>
      <c r="AG24" s="32">
        <f t="shared" si="12"/>
        <v>21</v>
      </c>
      <c r="AH24" s="32">
        <f>SUM('Symptomen (alle)'!D21:AC21)</f>
        <v>66</v>
      </c>
      <c r="AI24" s="22">
        <f>Tabel424[[#This Row],[Kolom25]]/Tabel424[[#This Row],[Kolom28]]</f>
        <v>0.18181818181818182</v>
      </c>
      <c r="AJ24" s="22"/>
      <c r="AK24" s="22">
        <f>Tabel424[[#This Row],[Kolom29]]</f>
        <v>0.18181818181818182</v>
      </c>
      <c r="AL24" s="36">
        <f>_xlfn.RANK.EQ(Tabel424[[#This Row],[Kolom29]],$AI$5:$AI$35)</f>
        <v>9</v>
      </c>
      <c r="AM24" s="135">
        <f>IF(E$2="x",(_xlfn.RANK.EQ(Tabel424[[#This Row],[Kolom3]],E$5:E$35)),0)</f>
        <v>0</v>
      </c>
      <c r="AN24" s="135">
        <f>Tabel424[[#This Row],[Kolom2911]]*AM$2</f>
        <v>0</v>
      </c>
      <c r="AO24" s="135">
        <f>IF(F$2="x",(_xlfn.RANK.EQ(Tabel424[[#This Row],[Kolom4]],F$5:F$35)),0)</f>
        <v>0</v>
      </c>
      <c r="AP24" s="135">
        <f>Tabel424[[#This Row],[Kolom29112]]*AO$2</f>
        <v>0</v>
      </c>
      <c r="AQ24" s="135">
        <f>IF(G$2="x",(_xlfn.RANK.EQ(Tabel424[[#This Row],[Kolom5]],G$5:G$35)),0)</f>
        <v>0</v>
      </c>
      <c r="AR24" s="135">
        <f>Tabel424[[#This Row],[Kolom29113]]*AQ$2</f>
        <v>0</v>
      </c>
      <c r="AS24" s="135">
        <f>IF(H$2="x",(_xlfn.RANK.EQ(Tabel424[[#This Row],[Kolom6]],H$5:H$35)),0)</f>
        <v>0</v>
      </c>
      <c r="AT24" s="135">
        <f>Tabel424[[#This Row],[Kolom29114]]*AS$2</f>
        <v>0</v>
      </c>
      <c r="AU24" s="135">
        <f>IF(I$2="x",(_xlfn.RANK.EQ(Tabel424[[#This Row],[Kolom62]],I$5:I$35)),0)</f>
        <v>0</v>
      </c>
      <c r="AV24" s="135">
        <f>Tabel424[[#This Row],[Kolom29115]]*AU$2</f>
        <v>0</v>
      </c>
      <c r="AW24" s="135">
        <f>IF(J$2="x",(_xlfn.RANK.EQ(Tabel424[[#This Row],[Kolom7]],J$5:J$35)),0)</f>
        <v>1</v>
      </c>
      <c r="AX24" s="135">
        <f>Tabel424[[#This Row],[Kolom29116]]*AW$2</f>
        <v>5</v>
      </c>
      <c r="AY24" s="135">
        <f>IF(K$2="x",(_xlfn.RANK.EQ(Tabel424[[#This Row],[Kolom72]],K$5:K$35)),0)</f>
        <v>0</v>
      </c>
      <c r="AZ24" s="135">
        <f>Tabel424[[#This Row],[Kolom29117]]*AY$2</f>
        <v>0</v>
      </c>
      <c r="BA24" s="135">
        <f>IF(L$2="x",(_xlfn.RANK.EQ(Tabel424[[#This Row],[Kolom8]],L$5:L$35)),0)</f>
        <v>0</v>
      </c>
      <c r="BB24" s="135">
        <f>Tabel424[[#This Row],[Kolom29118]]*BA$2</f>
        <v>0</v>
      </c>
      <c r="BC24" s="135">
        <f>IF(M$2="x",(_xlfn.RANK.EQ(Tabel424[[#This Row],[Kolom9]],M$5:M$35)),0)</f>
        <v>0</v>
      </c>
      <c r="BD24" s="135">
        <f>Tabel424[[#This Row],[Kolom29119]]*BC$2</f>
        <v>0</v>
      </c>
      <c r="BE24" s="135">
        <f>IF(N$2="x",(_xlfn.RANK.EQ(Tabel424[[#This Row],[Kolom10]],N$5:N$35)),0)</f>
        <v>0</v>
      </c>
      <c r="BF24" s="135">
        <f>Tabel424[[#This Row],[Kolom29120]]*BE$2</f>
        <v>0</v>
      </c>
      <c r="BG24" s="135">
        <f>IF(O$2="x",(_xlfn.RANK.EQ(Tabel424[[#This Row],[Kolom11]],O$5:O$35)),0)</f>
        <v>0</v>
      </c>
      <c r="BH24" s="135">
        <f>Tabel424[[#This Row],[Kolom29121]]*BG$2</f>
        <v>0</v>
      </c>
      <c r="BI24" s="135">
        <f>IF(P$2="x",(_xlfn.RANK.EQ(Tabel424[[#This Row],[Kolom12]],P$5:P$35)),0)</f>
        <v>0</v>
      </c>
      <c r="BJ24" s="135">
        <f>Tabel424[[#This Row],[Kolom29122]]*BI$2</f>
        <v>0</v>
      </c>
      <c r="BK24" s="135">
        <f>IF(Q$2="x",(_xlfn.RANK.EQ(Tabel424[[#This Row],[Kolom13]],Q$5:Q$35)),0)</f>
        <v>0</v>
      </c>
      <c r="BL24" s="135">
        <f>Tabel424[[#This Row],[Kolom29123]]*BK$2</f>
        <v>0</v>
      </c>
      <c r="BM24" s="135">
        <f>IF(R$2="x",(_xlfn.RANK.EQ(Tabel424[[#This Row],[Kolom133]],R$5:R$35)),0)</f>
        <v>0</v>
      </c>
      <c r="BN24" s="135">
        <f>Tabel424[[#This Row],[Kolom29124]]*BM$2</f>
        <v>0</v>
      </c>
      <c r="BO24" s="135">
        <f>IF(S$2="x",(_xlfn.RANK.EQ(Tabel424[[#This Row],[Kolom132]],S$5:S$35)),0)</f>
        <v>0</v>
      </c>
      <c r="BP24" s="135">
        <f>Tabel424[[#This Row],[Kolom29125]]*BO$2</f>
        <v>0</v>
      </c>
      <c r="BQ24" s="135">
        <f>IF(T$2="x",(_xlfn.RANK.EQ(Tabel424[[#This Row],[Kolom14]],T$5:T$35)),0)</f>
        <v>4</v>
      </c>
      <c r="BR24" s="135">
        <f>Tabel424[[#This Row],[Kolom29126]]*BQ$2</f>
        <v>20</v>
      </c>
      <c r="BS24" s="135">
        <f>IF(U$2="x",(_xlfn.RANK.EQ(Tabel424[[#This Row],[Kolom16]],U$5:U$35)),0)</f>
        <v>0</v>
      </c>
      <c r="BT24" s="135">
        <f>Tabel424[[#This Row],[Kolom29127]]*BS$2</f>
        <v>0</v>
      </c>
      <c r="BU24" s="135">
        <f>IF(V$2="x",(_xlfn.RANK.EQ(Tabel424[[#This Row],[Kolom173]],V$5:V$35)),0)</f>
        <v>0</v>
      </c>
      <c r="BV24" s="135">
        <f>Tabel424[[#This Row],[Kolom29128]]*BU$2</f>
        <v>0</v>
      </c>
      <c r="BW24" s="135">
        <f>IF(W$2="x",(_xlfn.RANK.EQ(Tabel424[[#This Row],[Kolom172]],W$5:W$35)),0)</f>
        <v>10</v>
      </c>
      <c r="BX24" s="135">
        <f>Tabel424[[#This Row],[Kolom29129]]*BW$2</f>
        <v>10</v>
      </c>
      <c r="BY24" s="135">
        <f>IF(X$2="x",(_xlfn.RANK.EQ(Tabel424[[#This Row],[Kolom18]],X$5:X$35)),0)</f>
        <v>0</v>
      </c>
      <c r="BZ24" s="135">
        <f>Tabel424[[#This Row],[Kolom29130]]*BY$2</f>
        <v>0</v>
      </c>
      <c r="CA24" s="135">
        <f>IF(Y$2="x",(_xlfn.RANK.EQ(Tabel424[[#This Row],[Kolom19]],Y$5:Y$35)),0)</f>
        <v>11</v>
      </c>
      <c r="CB24" s="135">
        <f>Tabel424[[#This Row],[Kolom29131]]*CA$2</f>
        <v>11</v>
      </c>
      <c r="CC24" s="135">
        <f>IF(Z$2="x",(_xlfn.RANK.EQ(Tabel424[[#This Row],[Kolom20]],Z$5:Z$35)),0)</f>
        <v>0</v>
      </c>
      <c r="CD24" s="135">
        <f>Tabel424[[#This Row],[Kolom29132]]*CC$2</f>
        <v>0</v>
      </c>
      <c r="CE24" s="135">
        <f>IF(AA$2="x",(_xlfn.RANK.EQ(Tabel424[[#This Row],[Kolom21]],AA$5:AA$35)),0)</f>
        <v>0</v>
      </c>
      <c r="CF24" s="135">
        <f>Tabel424[[#This Row],[Kolom29133]]*CE$2</f>
        <v>0</v>
      </c>
      <c r="CG24" s="135">
        <f>IF(AB$2="x",(_xlfn.RANK.EQ(Tabel424[[#This Row],[Kolom22]],AB$5:AB$35)),0)</f>
        <v>0</v>
      </c>
      <c r="CH24" s="135">
        <f>Tabel424[[#This Row],[Kolom29134]]*CG$2</f>
        <v>0</v>
      </c>
      <c r="CI24" s="135">
        <f>IF(AC$2="x",(_xlfn.RANK.EQ(Tabel424[[#This Row],[Kolom223]],AC$5:AC$35)),0)</f>
        <v>0</v>
      </c>
      <c r="CJ24" s="135">
        <f>Tabel424[[#This Row],[Kolom29135]]*CI$2</f>
        <v>0</v>
      </c>
      <c r="CK24" s="135">
        <f>IF(AD$2="x",(_xlfn.RANK.EQ(Tabel424[[#This Row],[Kolom222]],AD$5:AD$35)),0)</f>
        <v>0</v>
      </c>
      <c r="CL24" s="135">
        <f>Tabel424[[#This Row],[Kolom29136]]*CK$2</f>
        <v>0</v>
      </c>
      <c r="CM24" s="135">
        <f t="shared" si="13"/>
        <v>4</v>
      </c>
      <c r="CN24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Row],[Kolom29130]]+CA24+Tabel424[[#This Row],[Kolom29132]]+Tabel424[[#This Row],[Kolom29133]]+Tabel424[[#This Row],[Kolom29134]]+Tabel424[[#This Row],[Kolom29135]]+Tabel424[[#This Row],[Kolom29136]])/Tabel424[[#This Row],[Kolom29137]]</f>
        <v>6.5</v>
      </c>
      <c r="CO24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Row],[Kolom291302]]+CB24+Tabel424[[#This Row],[Kolom291322]]+Tabel424[[#This Row],[Kolom291332]]+Tabel424[[#This Row],[Kolom291342]]+Tabel424[[#This Row],[Kolom291352]]+Tabel424[[#This Row],[Kolom291362]])/Tabel424[[#This Row],[Kolom29137]]</f>
        <v>11.5</v>
      </c>
      <c r="CP24" s="142">
        <f>_xlfn.RANK.EQ(Tabel424[[#This Row],[Kolom29138]],CN$5:CN$35,1)</f>
        <v>5</v>
      </c>
      <c r="CQ24" s="142">
        <f>_xlfn.RANK.EQ(Tabel424[[#This Row],[Kolom291382]],CO$5:CO$35,1)</f>
        <v>2</v>
      </c>
    </row>
    <row r="25" spans="1:95">
      <c r="B25" s="21" t="str">
        <f>'Symptomen (alle)'!A22</f>
        <v xml:space="preserve">Dropsy/Septicaemia/Ascites </v>
      </c>
      <c r="C25">
        <f>'Symptomen (alle)'!B22</f>
        <v>0</v>
      </c>
      <c r="D25" s="21">
        <f>IF(D$2="x",'Symptomen (alle)'!C22,0)</f>
        <v>0</v>
      </c>
      <c r="E25" s="21">
        <f>IF(E$2="x",'Symptomen (alle)'!D22,0)</f>
        <v>0</v>
      </c>
      <c r="F25" s="21">
        <f>IF(F$2="x",'Symptomen (alle)'!E22,0)</f>
        <v>0</v>
      </c>
      <c r="G25" s="21">
        <f>IF(G$2="x",'Symptomen (alle)'!F22,0)</f>
        <v>0</v>
      </c>
      <c r="H25" s="21">
        <f>IF(H$2="x",'Symptomen (alle)'!G22,0)</f>
        <v>0</v>
      </c>
      <c r="I25" s="21">
        <f>IF(I$2="x",'Symptomen (alle)'!H22,0)</f>
        <v>0</v>
      </c>
      <c r="J25" s="21">
        <f>IF(J$2="x",'Symptomen (alle)'!I22,0)</f>
        <v>1</v>
      </c>
      <c r="K25" s="21">
        <f>IF(K$2="x",'Symptomen (alle)'!J22,0)</f>
        <v>0</v>
      </c>
      <c r="L25" s="21">
        <f>IF(L$2="x",'Symptomen (alle)'!K22,0)</f>
        <v>0</v>
      </c>
      <c r="M25" s="21">
        <f>IF(M$2="x",'Symptomen (alle)'!L22,0)</f>
        <v>0</v>
      </c>
      <c r="N25" s="21">
        <f>IF(N$2="x",'Symptomen (alle)'!M22,0)</f>
        <v>0</v>
      </c>
      <c r="O25" s="21">
        <f>IF(O$2="x",'Symptomen (alle)'!N22,0)</f>
        <v>0</v>
      </c>
      <c r="P25" s="21">
        <f>IF(P$2="x",'Symptomen (alle)'!O22,0)</f>
        <v>0</v>
      </c>
      <c r="Q25" s="21">
        <f>IF(Q$2="x",'Symptomen (alle)'!P22,0)</f>
        <v>0</v>
      </c>
      <c r="R25" s="21">
        <f>IF(R$2="x",'Symptomen (alle)'!Q22,0)</f>
        <v>0</v>
      </c>
      <c r="S25" s="21">
        <f>IF(S$2="x",'Symptomen (alle)'!R22,0)</f>
        <v>0</v>
      </c>
      <c r="T25" s="21">
        <f>IF(T$2="x",'Symptomen (alle)'!S22,0)</f>
        <v>0</v>
      </c>
      <c r="U25" s="21">
        <f>IF(U$2="x",'Symptomen (alle)'!T22,0)</f>
        <v>0</v>
      </c>
      <c r="V25" s="21">
        <f>IF(V$2="x",'Symptomen (alle)'!U22,0)</f>
        <v>0</v>
      </c>
      <c r="W25" s="21">
        <f>IF(W$2="x",'Symptomen (alle)'!V22,0)</f>
        <v>0</v>
      </c>
      <c r="X25" s="21">
        <f>IF(X$2="x",'Symptomen (alle)'!W22,0)</f>
        <v>0</v>
      </c>
      <c r="Y25" s="21">
        <f>IF(Y$2="x",'Symptomen (alle)'!X22,0)</f>
        <v>0</v>
      </c>
      <c r="Z25" s="21">
        <f>IF(Z$2="x",'Symptomen (alle)'!Y22,0)</f>
        <v>0</v>
      </c>
      <c r="AA25" s="21">
        <f>IF(AA$2="x",'Symptomen (alle)'!Z22,0)</f>
        <v>0</v>
      </c>
      <c r="AB25" s="21">
        <f>IF(AB$2="x",'Symptomen (alle)'!AA22,0)</f>
        <v>0</v>
      </c>
      <c r="AC25" s="21">
        <f>IF(AC$2="x",'Symptomen (alle)'!AB22,0)</f>
        <v>0</v>
      </c>
      <c r="AD25" s="21">
        <f>IF(AD$2="x",'Symptomen (alle)'!AC22,0)</f>
        <v>0</v>
      </c>
      <c r="AE25" s="21">
        <f t="shared" si="11"/>
        <v>1</v>
      </c>
      <c r="AF25" s="21">
        <f>HLOOKUP($B$2,ZiekteFam!$B$1:$T$32,AG25,FALSE)</f>
        <v>3</v>
      </c>
      <c r="AG25" s="32">
        <f t="shared" si="12"/>
        <v>22</v>
      </c>
      <c r="AH25" s="32">
        <f>SUM('Symptomen (alle)'!D22:AC22)</f>
        <v>44</v>
      </c>
      <c r="AI25" s="22">
        <f>Tabel424[[#This Row],[Kolom25]]/Tabel424[[#This Row],[Kolom28]]</f>
        <v>2.2727272727272728E-2</v>
      </c>
      <c r="AJ25" s="22"/>
      <c r="AK25" s="22">
        <f>Tabel424[[#This Row],[Kolom29]]</f>
        <v>2.2727272727272728E-2</v>
      </c>
      <c r="AL25" s="36">
        <f>_xlfn.RANK.EQ(Tabel424[[#This Row],[Kolom29]],$AI$5:$AI$35)</f>
        <v>25</v>
      </c>
      <c r="AM25" s="135">
        <f>IF(E$2="x",(_xlfn.RANK.EQ(Tabel424[[#This Row],[Kolom3]],E$5:E$35)),0)</f>
        <v>0</v>
      </c>
      <c r="AN25" s="135">
        <f>Tabel424[[#This Row],[Kolom2911]]*AM$2</f>
        <v>0</v>
      </c>
      <c r="AO25" s="135">
        <f>IF(F$2="x",(_xlfn.RANK.EQ(Tabel424[[#This Row],[Kolom4]],F$5:F$35)),0)</f>
        <v>0</v>
      </c>
      <c r="AP25" s="135">
        <f>Tabel424[[#This Row],[Kolom29112]]*AO$2</f>
        <v>0</v>
      </c>
      <c r="AQ25" s="135">
        <f>IF(G$2="x",(_xlfn.RANK.EQ(Tabel424[[#This Row],[Kolom5]],G$5:G$35)),0)</f>
        <v>0</v>
      </c>
      <c r="AR25" s="135">
        <f>Tabel424[[#This Row],[Kolom29113]]*AQ$2</f>
        <v>0</v>
      </c>
      <c r="AS25" s="135">
        <f>IF(H$2="x",(_xlfn.RANK.EQ(Tabel424[[#This Row],[Kolom6]],H$5:H$35)),0)</f>
        <v>0</v>
      </c>
      <c r="AT25" s="135">
        <f>Tabel424[[#This Row],[Kolom29114]]*AS$2</f>
        <v>0</v>
      </c>
      <c r="AU25" s="135">
        <f>IF(I$2="x",(_xlfn.RANK.EQ(Tabel424[[#This Row],[Kolom62]],I$5:I$35)),0)</f>
        <v>0</v>
      </c>
      <c r="AV25" s="135">
        <f>Tabel424[[#This Row],[Kolom29115]]*AU$2</f>
        <v>0</v>
      </c>
      <c r="AW25" s="135">
        <f>IF(J$2="x",(_xlfn.RANK.EQ(Tabel424[[#This Row],[Kolom7]],J$5:J$35)),0)</f>
        <v>16</v>
      </c>
      <c r="AX25" s="135">
        <f>Tabel424[[#This Row],[Kolom29116]]*AW$2</f>
        <v>80</v>
      </c>
      <c r="AY25" s="135">
        <f>IF(K$2="x",(_xlfn.RANK.EQ(Tabel424[[#This Row],[Kolom72]],K$5:K$35)),0)</f>
        <v>0</v>
      </c>
      <c r="AZ25" s="135">
        <f>Tabel424[[#This Row],[Kolom29117]]*AY$2</f>
        <v>0</v>
      </c>
      <c r="BA25" s="135">
        <f>IF(L$2="x",(_xlfn.RANK.EQ(Tabel424[[#This Row],[Kolom8]],L$5:L$35)),0)</f>
        <v>0</v>
      </c>
      <c r="BB25" s="135">
        <f>Tabel424[[#This Row],[Kolom29118]]*BA$2</f>
        <v>0</v>
      </c>
      <c r="BC25" s="135">
        <f>IF(M$2="x",(_xlfn.RANK.EQ(Tabel424[[#This Row],[Kolom9]],M$5:M$35)),0)</f>
        <v>0</v>
      </c>
      <c r="BD25" s="135">
        <f>Tabel424[[#This Row],[Kolom29119]]*BC$2</f>
        <v>0</v>
      </c>
      <c r="BE25" s="135">
        <f>IF(N$2="x",(_xlfn.RANK.EQ(Tabel424[[#This Row],[Kolom10]],N$5:N$35)),0)</f>
        <v>0</v>
      </c>
      <c r="BF25" s="135">
        <f>Tabel424[[#This Row],[Kolom29120]]*BE$2</f>
        <v>0</v>
      </c>
      <c r="BG25" s="135">
        <f>IF(O$2="x",(_xlfn.RANK.EQ(Tabel424[[#This Row],[Kolom11]],O$5:O$35)),0)</f>
        <v>0</v>
      </c>
      <c r="BH25" s="135">
        <f>Tabel424[[#This Row],[Kolom29121]]*BG$2</f>
        <v>0</v>
      </c>
      <c r="BI25" s="135">
        <f>IF(P$2="x",(_xlfn.RANK.EQ(Tabel424[[#This Row],[Kolom12]],P$5:P$35)),0)</f>
        <v>0</v>
      </c>
      <c r="BJ25" s="135">
        <f>Tabel424[[#This Row],[Kolom29122]]*BI$2</f>
        <v>0</v>
      </c>
      <c r="BK25" s="135">
        <f>IF(Q$2="x",(_xlfn.RANK.EQ(Tabel424[[#This Row],[Kolom13]],Q$5:Q$35)),0)</f>
        <v>0</v>
      </c>
      <c r="BL25" s="135">
        <f>Tabel424[[#This Row],[Kolom29123]]*BK$2</f>
        <v>0</v>
      </c>
      <c r="BM25" s="135">
        <f>IF(R$2="x",(_xlfn.RANK.EQ(Tabel424[[#This Row],[Kolom133]],R$5:R$35)),0)</f>
        <v>0</v>
      </c>
      <c r="BN25" s="135">
        <f>Tabel424[[#This Row],[Kolom29124]]*BM$2</f>
        <v>0</v>
      </c>
      <c r="BO25" s="135">
        <f>IF(S$2="x",(_xlfn.RANK.EQ(Tabel424[[#This Row],[Kolom132]],S$5:S$35)),0)</f>
        <v>0</v>
      </c>
      <c r="BP25" s="135">
        <f>Tabel424[[#This Row],[Kolom29125]]*BO$2</f>
        <v>0</v>
      </c>
      <c r="BQ25" s="135">
        <f>IF(T$2="x",(_xlfn.RANK.EQ(Tabel424[[#This Row],[Kolom14]],T$5:T$35)),0)</f>
        <v>8</v>
      </c>
      <c r="BR25" s="135">
        <f>Tabel424[[#This Row],[Kolom29126]]*BQ$2</f>
        <v>40</v>
      </c>
      <c r="BS25" s="135">
        <f>IF(U$2="x",(_xlfn.RANK.EQ(Tabel424[[#This Row],[Kolom16]],U$5:U$35)),0)</f>
        <v>0</v>
      </c>
      <c r="BT25" s="135">
        <f>Tabel424[[#This Row],[Kolom29127]]*BS$2</f>
        <v>0</v>
      </c>
      <c r="BU25" s="135">
        <f>IF(V$2="x",(_xlfn.RANK.EQ(Tabel424[[#This Row],[Kolom173]],V$5:V$35)),0)</f>
        <v>0</v>
      </c>
      <c r="BV25" s="135">
        <f>Tabel424[[#This Row],[Kolom29128]]*BU$2</f>
        <v>0</v>
      </c>
      <c r="BW25" s="135">
        <f>IF(W$2="x",(_xlfn.RANK.EQ(Tabel424[[#This Row],[Kolom172]],W$5:W$35)),0)</f>
        <v>14</v>
      </c>
      <c r="BX25" s="135">
        <f>Tabel424[[#This Row],[Kolom29129]]*BW$2</f>
        <v>14</v>
      </c>
      <c r="BY25" s="135">
        <f>IF(X$2="x",(_xlfn.RANK.EQ(Tabel424[[#This Row],[Kolom18]],X$5:X$35)),0)</f>
        <v>0</v>
      </c>
      <c r="BZ25" s="135">
        <f>Tabel424[[#This Row],[Kolom29130]]*BY$2</f>
        <v>0</v>
      </c>
      <c r="CA25" s="135">
        <f>IF(Y$2="x",(_xlfn.RANK.EQ(Tabel424[[#This Row],[Kolom19]],Y$5:Y$35)),0)</f>
        <v>11</v>
      </c>
      <c r="CB25" s="135">
        <f>Tabel424[[#This Row],[Kolom29131]]*CA$2</f>
        <v>11</v>
      </c>
      <c r="CC25" s="135">
        <f>IF(Z$2="x",(_xlfn.RANK.EQ(Tabel424[[#This Row],[Kolom20]],Z$5:Z$35)),0)</f>
        <v>0</v>
      </c>
      <c r="CD25" s="135">
        <f>Tabel424[[#This Row],[Kolom29132]]*CC$2</f>
        <v>0</v>
      </c>
      <c r="CE25" s="135">
        <f>IF(AA$2="x",(_xlfn.RANK.EQ(Tabel424[[#This Row],[Kolom21]],AA$5:AA$35)),0)</f>
        <v>0</v>
      </c>
      <c r="CF25" s="135">
        <f>Tabel424[[#This Row],[Kolom29133]]*CE$2</f>
        <v>0</v>
      </c>
      <c r="CG25" s="135">
        <f>IF(AB$2="x",(_xlfn.RANK.EQ(Tabel424[[#This Row],[Kolom22]],AB$5:AB$35)),0)</f>
        <v>0</v>
      </c>
      <c r="CH25" s="135">
        <f>Tabel424[[#This Row],[Kolom29134]]*CG$2</f>
        <v>0</v>
      </c>
      <c r="CI25" s="135">
        <f>IF(AC$2="x",(_xlfn.RANK.EQ(Tabel424[[#This Row],[Kolom223]],AC$5:AC$35)),0)</f>
        <v>0</v>
      </c>
      <c r="CJ25" s="135">
        <f>Tabel424[[#This Row],[Kolom29135]]*CI$2</f>
        <v>0</v>
      </c>
      <c r="CK25" s="135">
        <f>IF(AD$2="x",(_xlfn.RANK.EQ(Tabel424[[#This Row],[Kolom222]],AD$5:AD$35)),0)</f>
        <v>0</v>
      </c>
      <c r="CL25" s="135">
        <f>Tabel424[[#This Row],[Kolom29136]]*CK$2</f>
        <v>0</v>
      </c>
      <c r="CM25" s="135">
        <f t="shared" si="13"/>
        <v>4</v>
      </c>
      <c r="CN25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Row],[Kolom29130]]+CA25+Tabel424[[#This Row],[Kolom29132]]+Tabel424[[#This Row],[Kolom29133]]+Tabel424[[#This Row],[Kolom29134]]+Tabel424[[#This Row],[Kolom29135]]+Tabel424[[#This Row],[Kolom29136]])/Tabel424[[#This Row],[Kolom29137]]</f>
        <v>12.25</v>
      </c>
      <c r="CO25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Row],[Kolom291302]]+CB25+Tabel424[[#This Row],[Kolom291322]]+Tabel424[[#This Row],[Kolom291332]]+Tabel424[[#This Row],[Kolom291342]]+Tabel424[[#This Row],[Kolom291352]]+Tabel424[[#This Row],[Kolom291362]])/Tabel424[[#This Row],[Kolom29137]]</f>
        <v>36.25</v>
      </c>
      <c r="CP25" s="142">
        <f>_xlfn.RANK.EQ(Tabel424[[#This Row],[Kolom29138]],CN$5:CN$35,1)</f>
        <v>24</v>
      </c>
      <c r="CQ25" s="142">
        <f>_xlfn.RANK.EQ(Tabel424[[#This Row],[Kolom291382]],CO$5:CO$35,1)</f>
        <v>21</v>
      </c>
    </row>
    <row r="26" spans="1:95" s="61" customFormat="1">
      <c r="A26" s="86"/>
      <c r="B26" s="59" t="str">
        <f>'Symptomen (alle)'!A23</f>
        <v>Mycobacteria, Fish tuberculosis, TB, FishTB, FishMB</v>
      </c>
      <c r="C26" s="83">
        <f>'Symptomen (alle)'!B23</f>
        <v>0</v>
      </c>
      <c r="D26" s="21">
        <f>IF(D$2="x",'Symptomen (alle)'!C23,0)</f>
        <v>0</v>
      </c>
      <c r="E26" s="21">
        <f>IF(E$2="x",'Symptomen (alle)'!D23,0)</f>
        <v>0</v>
      </c>
      <c r="F26" s="21">
        <f>IF(F$2="x",'Symptomen (alle)'!E23,0)</f>
        <v>0</v>
      </c>
      <c r="G26" s="21">
        <f>IF(G$2="x",'Symptomen (alle)'!F23,0)</f>
        <v>0</v>
      </c>
      <c r="H26" s="21">
        <f>IF(H$2="x",'Symptomen (alle)'!G23,0)</f>
        <v>0</v>
      </c>
      <c r="I26" s="21">
        <f>IF(I$2="x",'Symptomen (alle)'!H23,0)</f>
        <v>0</v>
      </c>
      <c r="J26" s="21">
        <f>IF(J$2="x",'Symptomen (alle)'!I23,0)</f>
        <v>2</v>
      </c>
      <c r="K26" s="21">
        <f>IF(K$2="x",'Symptomen (alle)'!J23,0)</f>
        <v>0</v>
      </c>
      <c r="L26" s="21">
        <f>IF(L$2="x",'Symptomen (alle)'!K23,0)</f>
        <v>0</v>
      </c>
      <c r="M26" s="21">
        <f>IF(M$2="x",'Symptomen (alle)'!L23,0)</f>
        <v>0</v>
      </c>
      <c r="N26" s="21">
        <f>IF(N$2="x",'Symptomen (alle)'!M23,0)</f>
        <v>0</v>
      </c>
      <c r="O26" s="21">
        <f>IF(O$2="x",'Symptomen (alle)'!N23,0)</f>
        <v>0</v>
      </c>
      <c r="P26" s="21">
        <f>IF(P$2="x",'Symptomen (alle)'!O23,0)</f>
        <v>0</v>
      </c>
      <c r="Q26" s="21">
        <f>IF(Q$2="x",'Symptomen (alle)'!P23,0)</f>
        <v>0</v>
      </c>
      <c r="R26" s="21">
        <f>IF(R$2="x",'Symptomen (alle)'!Q23,0)</f>
        <v>0</v>
      </c>
      <c r="S26" s="21">
        <f>IF(S$2="x",'Symptomen (alle)'!R23,0)</f>
        <v>0</v>
      </c>
      <c r="T26" s="21">
        <f>IF(T$2="x",'Symptomen (alle)'!S23,0)</f>
        <v>0</v>
      </c>
      <c r="U26" s="21">
        <f>IF(U$2="x",'Symptomen (alle)'!T23,0)</f>
        <v>0</v>
      </c>
      <c r="V26" s="21">
        <f>IF(V$2="x",'Symptomen (alle)'!U23,0)</f>
        <v>0</v>
      </c>
      <c r="W26" s="21">
        <f>IF(W$2="x",'Symptomen (alle)'!V23,0)</f>
        <v>0</v>
      </c>
      <c r="X26" s="21">
        <f>IF(X$2="x",'Symptomen (alle)'!W23,0)</f>
        <v>0</v>
      </c>
      <c r="Y26" s="21">
        <f>IF(Y$2="x",'Symptomen (alle)'!X23,0)</f>
        <v>0</v>
      </c>
      <c r="Z26" s="21">
        <f>IF(Z$2="x",'Symptomen (alle)'!Y23,0)</f>
        <v>0</v>
      </c>
      <c r="AA26" s="21">
        <f>IF(AA$2="x",'Symptomen (alle)'!Z23,0)</f>
        <v>0</v>
      </c>
      <c r="AB26" s="21">
        <f>IF(AB$2="x",'Symptomen (alle)'!AA23,0)</f>
        <v>0</v>
      </c>
      <c r="AC26" s="21">
        <f>IF(AC$2="x",'Symptomen (alle)'!AB23,0)</f>
        <v>0</v>
      </c>
      <c r="AD26" s="21">
        <f>IF(AD$2="x",'Symptomen (alle)'!AC23,0)</f>
        <v>0</v>
      </c>
      <c r="AE26" s="21">
        <f t="shared" si="11"/>
        <v>2</v>
      </c>
      <c r="AF26" s="21">
        <f>HLOOKUP($B$2,ZiekteFam!$B$1:$T$32,AG26,FALSE)</f>
        <v>3</v>
      </c>
      <c r="AG26" s="32">
        <f t="shared" si="12"/>
        <v>23</v>
      </c>
      <c r="AH26" s="32">
        <f>SUM('Symptomen (alle)'!D23:AC23)</f>
        <v>50</v>
      </c>
      <c r="AI26" s="85">
        <f>Tabel424[[#This Row],[Kolom25]]/Tabel424[[#This Row],[Kolom28]]</f>
        <v>0.04</v>
      </c>
      <c r="AJ26" s="85"/>
      <c r="AK26" s="85">
        <f>Tabel424[[#This Row],[Kolom29]]</f>
        <v>0.04</v>
      </c>
      <c r="AL26" s="136">
        <f>_xlfn.RANK.EQ(Tabel424[[#This Row],[Kolom29]],$AI$5:$AI$35)</f>
        <v>23</v>
      </c>
      <c r="AM26" s="135">
        <f>IF(E$2="x",(_xlfn.RANK.EQ(Tabel424[[#This Row],[Kolom3]],E$5:E$35)),0)</f>
        <v>0</v>
      </c>
      <c r="AN26" s="135">
        <f>Tabel424[[#This Row],[Kolom2911]]*AM$2</f>
        <v>0</v>
      </c>
      <c r="AO26" s="135">
        <f>IF(F$2="x",(_xlfn.RANK.EQ(Tabel424[[#This Row],[Kolom4]],F$5:F$35)),0)</f>
        <v>0</v>
      </c>
      <c r="AP26" s="135">
        <f>Tabel424[[#This Row],[Kolom29112]]*AO$2</f>
        <v>0</v>
      </c>
      <c r="AQ26" s="135">
        <f>IF(G$2="x",(_xlfn.RANK.EQ(Tabel424[[#This Row],[Kolom5]],G$5:G$35)),0)</f>
        <v>0</v>
      </c>
      <c r="AR26" s="135">
        <f>Tabel424[[#This Row],[Kolom29113]]*AQ$2</f>
        <v>0</v>
      </c>
      <c r="AS26" s="135">
        <f>IF(H$2="x",(_xlfn.RANK.EQ(Tabel424[[#This Row],[Kolom6]],H$5:H$35)),0)</f>
        <v>0</v>
      </c>
      <c r="AT26" s="135">
        <f>Tabel424[[#This Row],[Kolom29114]]*AS$2</f>
        <v>0</v>
      </c>
      <c r="AU26" s="135">
        <f>IF(I$2="x",(_xlfn.RANK.EQ(Tabel424[[#This Row],[Kolom62]],I$5:I$35)),0)</f>
        <v>0</v>
      </c>
      <c r="AV26" s="135">
        <f>Tabel424[[#This Row],[Kolom29115]]*AU$2</f>
        <v>0</v>
      </c>
      <c r="AW26" s="135">
        <f>IF(J$2="x",(_xlfn.RANK.EQ(Tabel424[[#This Row],[Kolom7]],J$5:J$35)),0)</f>
        <v>7</v>
      </c>
      <c r="AX26" s="135">
        <f>Tabel424[[#This Row],[Kolom29116]]*AW$2</f>
        <v>35</v>
      </c>
      <c r="AY26" s="135">
        <f>IF(K$2="x",(_xlfn.RANK.EQ(Tabel424[[#This Row],[Kolom72]],K$5:K$35)),0)</f>
        <v>0</v>
      </c>
      <c r="AZ26" s="135">
        <f>Tabel424[[#This Row],[Kolom29117]]*AY$2</f>
        <v>0</v>
      </c>
      <c r="BA26" s="135">
        <f>IF(L$2="x",(_xlfn.RANK.EQ(Tabel424[[#This Row],[Kolom8]],L$5:L$35)),0)</f>
        <v>0</v>
      </c>
      <c r="BB26" s="135">
        <f>Tabel424[[#This Row],[Kolom29118]]*BA$2</f>
        <v>0</v>
      </c>
      <c r="BC26" s="135">
        <f>IF(M$2="x",(_xlfn.RANK.EQ(Tabel424[[#This Row],[Kolom9]],M$5:M$35)),0)</f>
        <v>0</v>
      </c>
      <c r="BD26" s="135">
        <f>Tabel424[[#This Row],[Kolom29119]]*BC$2</f>
        <v>0</v>
      </c>
      <c r="BE26" s="135">
        <f>IF(N$2="x",(_xlfn.RANK.EQ(Tabel424[[#This Row],[Kolom10]],N$5:N$35)),0)</f>
        <v>0</v>
      </c>
      <c r="BF26" s="135">
        <f>Tabel424[[#This Row],[Kolom29120]]*BE$2</f>
        <v>0</v>
      </c>
      <c r="BG26" s="135">
        <f>IF(O$2="x",(_xlfn.RANK.EQ(Tabel424[[#This Row],[Kolom11]],O$5:O$35)),0)</f>
        <v>0</v>
      </c>
      <c r="BH26" s="135">
        <f>Tabel424[[#This Row],[Kolom29121]]*BG$2</f>
        <v>0</v>
      </c>
      <c r="BI26" s="135">
        <f>IF(P$2="x",(_xlfn.RANK.EQ(Tabel424[[#This Row],[Kolom12]],P$5:P$35)),0)</f>
        <v>0</v>
      </c>
      <c r="BJ26" s="135">
        <f>Tabel424[[#This Row],[Kolom29122]]*BI$2</f>
        <v>0</v>
      </c>
      <c r="BK26" s="135">
        <f>IF(Q$2="x",(_xlfn.RANK.EQ(Tabel424[[#This Row],[Kolom13]],Q$5:Q$35)),0)</f>
        <v>0</v>
      </c>
      <c r="BL26" s="135">
        <f>Tabel424[[#This Row],[Kolom29123]]*BK$2</f>
        <v>0</v>
      </c>
      <c r="BM26" s="135">
        <f>IF(R$2="x",(_xlfn.RANK.EQ(Tabel424[[#This Row],[Kolom133]],R$5:R$35)),0)</f>
        <v>0</v>
      </c>
      <c r="BN26" s="135">
        <f>Tabel424[[#This Row],[Kolom29124]]*BM$2</f>
        <v>0</v>
      </c>
      <c r="BO26" s="135">
        <f>IF(S$2="x",(_xlfn.RANK.EQ(Tabel424[[#This Row],[Kolom132]],S$5:S$35)),0)</f>
        <v>0</v>
      </c>
      <c r="BP26" s="135">
        <f>Tabel424[[#This Row],[Kolom29125]]*BO$2</f>
        <v>0</v>
      </c>
      <c r="BQ26" s="135">
        <f>IF(T$2="x",(_xlfn.RANK.EQ(Tabel424[[#This Row],[Kolom14]],T$5:T$35)),0)</f>
        <v>8</v>
      </c>
      <c r="BR26" s="135">
        <f>Tabel424[[#This Row],[Kolom29126]]*BQ$2</f>
        <v>40</v>
      </c>
      <c r="BS26" s="135">
        <f>IF(U$2="x",(_xlfn.RANK.EQ(Tabel424[[#This Row],[Kolom16]],U$5:U$35)),0)</f>
        <v>0</v>
      </c>
      <c r="BT26" s="135">
        <f>Tabel424[[#This Row],[Kolom29127]]*BS$2</f>
        <v>0</v>
      </c>
      <c r="BU26" s="135">
        <f>IF(V$2="x",(_xlfn.RANK.EQ(Tabel424[[#This Row],[Kolom173]],V$5:V$35)),0)</f>
        <v>0</v>
      </c>
      <c r="BV26" s="135">
        <f>Tabel424[[#This Row],[Kolom29128]]*BU$2</f>
        <v>0</v>
      </c>
      <c r="BW26" s="135">
        <f>IF(W$2="x",(_xlfn.RANK.EQ(Tabel424[[#This Row],[Kolom172]],W$5:W$35)),0)</f>
        <v>14</v>
      </c>
      <c r="BX26" s="135">
        <f>Tabel424[[#This Row],[Kolom29129]]*BW$2</f>
        <v>14</v>
      </c>
      <c r="BY26" s="135">
        <f>IF(X$2="x",(_xlfn.RANK.EQ(Tabel424[[#This Row],[Kolom18]],X$5:X$35)),0)</f>
        <v>0</v>
      </c>
      <c r="BZ26" s="135">
        <f>Tabel424[[#This Row],[Kolom29130]]*BY$2</f>
        <v>0</v>
      </c>
      <c r="CA26" s="135">
        <f>IF(Y$2="x",(_xlfn.RANK.EQ(Tabel424[[#This Row],[Kolom19]],Y$5:Y$35)),0)</f>
        <v>11</v>
      </c>
      <c r="CB26" s="135">
        <f>Tabel424[[#This Row],[Kolom29131]]*CA$2</f>
        <v>11</v>
      </c>
      <c r="CC26" s="135">
        <f>IF(Z$2="x",(_xlfn.RANK.EQ(Tabel424[[#This Row],[Kolom20]],Z$5:Z$35)),0)</f>
        <v>0</v>
      </c>
      <c r="CD26" s="135">
        <f>Tabel424[[#This Row],[Kolom29132]]*CC$2</f>
        <v>0</v>
      </c>
      <c r="CE26" s="135">
        <f>IF(AA$2="x",(_xlfn.RANK.EQ(Tabel424[[#This Row],[Kolom21]],AA$5:AA$35)),0)</f>
        <v>0</v>
      </c>
      <c r="CF26" s="135">
        <f>Tabel424[[#This Row],[Kolom29133]]*CE$2</f>
        <v>0</v>
      </c>
      <c r="CG26" s="135">
        <f>IF(AB$2="x",(_xlfn.RANK.EQ(Tabel424[[#This Row],[Kolom22]],AB$5:AB$35)),0)</f>
        <v>0</v>
      </c>
      <c r="CH26" s="135">
        <f>Tabel424[[#This Row],[Kolom29134]]*CG$2</f>
        <v>0</v>
      </c>
      <c r="CI26" s="135">
        <f>IF(AC$2="x",(_xlfn.RANK.EQ(Tabel424[[#This Row],[Kolom223]],AC$5:AC$35)),0)</f>
        <v>0</v>
      </c>
      <c r="CJ26" s="135">
        <f>Tabel424[[#This Row],[Kolom29135]]*CI$2</f>
        <v>0</v>
      </c>
      <c r="CK26" s="135">
        <f>IF(AD$2="x",(_xlfn.RANK.EQ(Tabel424[[#This Row],[Kolom222]],AD$5:AD$35)),0)</f>
        <v>0</v>
      </c>
      <c r="CL26" s="135">
        <f>Tabel424[[#This Row],[Kolom29136]]*CK$2</f>
        <v>0</v>
      </c>
      <c r="CM26" s="135">
        <f t="shared" si="13"/>
        <v>4</v>
      </c>
      <c r="CN26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Row],[Kolom29130]]+CA26+Tabel424[[#This Row],[Kolom29132]]+Tabel424[[#This Row],[Kolom29133]]+Tabel424[[#This Row],[Kolom29134]]+Tabel424[[#This Row],[Kolom29135]]+Tabel424[[#This Row],[Kolom29136]])/Tabel424[[#This Row],[Kolom29137]]</f>
        <v>10</v>
      </c>
      <c r="CO26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Row],[Kolom291302]]+CB26+Tabel424[[#This Row],[Kolom291322]]+Tabel424[[#This Row],[Kolom291332]]+Tabel424[[#This Row],[Kolom291342]]+Tabel424[[#This Row],[Kolom291352]]+Tabel424[[#This Row],[Kolom291362]])/Tabel424[[#This Row],[Kolom29137]]</f>
        <v>25</v>
      </c>
      <c r="CP26" s="143">
        <f>_xlfn.RANK.EQ(Tabel424[[#This Row],[Kolom29138]],CN$5:CN$35,1)</f>
        <v>15</v>
      </c>
      <c r="CQ26" s="143">
        <f>_xlfn.RANK.EQ(Tabel424[[#This Row],[Kolom291382]],CO$5:CO$35,1)</f>
        <v>12</v>
      </c>
    </row>
    <row r="27" spans="1:95" s="61" customFormat="1">
      <c r="A27" s="86"/>
      <c r="B27" s="59" t="str">
        <f>'Symptomen (alle)'!A24</f>
        <v>Bacterial infection, Other</v>
      </c>
      <c r="C27" s="83">
        <f>'Symptomen (alle)'!B24</f>
        <v>0</v>
      </c>
      <c r="D27" s="21">
        <f>IF(D$2="x",'Symptomen (alle)'!C24,0)</f>
        <v>0</v>
      </c>
      <c r="E27" s="21">
        <f>IF(E$2="x",'Symptomen (alle)'!D24,0)</f>
        <v>0</v>
      </c>
      <c r="F27" s="21">
        <f>IF(F$2="x",'Symptomen (alle)'!E24,0)</f>
        <v>0</v>
      </c>
      <c r="G27" s="21">
        <f>IF(G$2="x",'Symptomen (alle)'!F24,0)</f>
        <v>0</v>
      </c>
      <c r="H27" s="21">
        <f>IF(H$2="x",'Symptomen (alle)'!G24,0)</f>
        <v>0</v>
      </c>
      <c r="I27" s="21">
        <f>IF(I$2="x",'Symptomen (alle)'!H24,0)</f>
        <v>0</v>
      </c>
      <c r="J27" s="21">
        <f>IF(J$2="x",'Symptomen (alle)'!I24,0)</f>
        <v>2</v>
      </c>
      <c r="K27" s="21">
        <f>IF(K$2="x",'Symptomen (alle)'!J24,0)</f>
        <v>0</v>
      </c>
      <c r="L27" s="21">
        <f>IF(L$2="x",'Symptomen (alle)'!K24,0)</f>
        <v>0</v>
      </c>
      <c r="M27" s="21">
        <f>IF(M$2="x",'Symptomen (alle)'!L24,0)</f>
        <v>0</v>
      </c>
      <c r="N27" s="21">
        <f>IF(N$2="x",'Symptomen (alle)'!M24,0)</f>
        <v>0</v>
      </c>
      <c r="O27" s="21">
        <f>IF(O$2="x",'Symptomen (alle)'!N24,0)</f>
        <v>0</v>
      </c>
      <c r="P27" s="21">
        <f>IF(P$2="x",'Symptomen (alle)'!O24,0)</f>
        <v>0</v>
      </c>
      <c r="Q27" s="21">
        <f>IF(Q$2="x",'Symptomen (alle)'!P24,0)</f>
        <v>0</v>
      </c>
      <c r="R27" s="21">
        <f>IF(R$2="x",'Symptomen (alle)'!Q24,0)</f>
        <v>0</v>
      </c>
      <c r="S27" s="21">
        <f>IF(S$2="x",'Symptomen (alle)'!R24,0)</f>
        <v>0</v>
      </c>
      <c r="T27" s="21">
        <f>IF(T$2="x",'Symptomen (alle)'!S24,0)</f>
        <v>0</v>
      </c>
      <c r="U27" s="21">
        <f>IF(U$2="x",'Symptomen (alle)'!T24,0)</f>
        <v>0</v>
      </c>
      <c r="V27" s="21">
        <f>IF(V$2="x",'Symptomen (alle)'!U24,0)</f>
        <v>0</v>
      </c>
      <c r="W27" s="21">
        <f>IF(W$2="x",'Symptomen (alle)'!V24,0)</f>
        <v>0</v>
      </c>
      <c r="X27" s="21">
        <f>IF(X$2="x",'Symptomen (alle)'!W24,0)</f>
        <v>0</v>
      </c>
      <c r="Y27" s="21">
        <f>IF(Y$2="x",'Symptomen (alle)'!X24,0)</f>
        <v>0</v>
      </c>
      <c r="Z27" s="21">
        <f>IF(Z$2="x",'Symptomen (alle)'!Y24,0)</f>
        <v>0</v>
      </c>
      <c r="AA27" s="21">
        <f>IF(AA$2="x",'Symptomen (alle)'!Z24,0)</f>
        <v>0</v>
      </c>
      <c r="AB27" s="21">
        <f>IF(AB$2="x",'Symptomen (alle)'!AA24,0)</f>
        <v>0</v>
      </c>
      <c r="AC27" s="21">
        <f>IF(AC$2="x",'Symptomen (alle)'!AB24,0)</f>
        <v>0</v>
      </c>
      <c r="AD27" s="21">
        <f>IF(AD$2="x",'Symptomen (alle)'!AC24,0)</f>
        <v>0</v>
      </c>
      <c r="AE27" s="21">
        <f t="shared" si="11"/>
        <v>2</v>
      </c>
      <c r="AF27" s="21">
        <f>HLOOKUP($B$2,ZiekteFam!$B$1:$T$32,AG27,FALSE)</f>
        <v>3</v>
      </c>
      <c r="AG27" s="32">
        <f t="shared" si="12"/>
        <v>24</v>
      </c>
      <c r="AH27" s="32">
        <f>SUM('Symptomen (alle)'!D24:AC24)</f>
        <v>34</v>
      </c>
      <c r="AI27" s="85">
        <f>Tabel424[[#This Row],[Kolom25]]/Tabel424[[#This Row],[Kolom28]]</f>
        <v>5.8823529411764705E-2</v>
      </c>
      <c r="AJ27" s="85"/>
      <c r="AK27" s="85">
        <f>Tabel424[[#This Row],[Kolom29]]</f>
        <v>5.8823529411764705E-2</v>
      </c>
      <c r="AL27" s="136">
        <f>_xlfn.RANK.EQ(Tabel424[[#This Row],[Kolom29]],$AI$5:$AI$35)</f>
        <v>20</v>
      </c>
      <c r="AM27" s="135">
        <f>IF(E$2="x",(_xlfn.RANK.EQ(Tabel424[[#This Row],[Kolom3]],E$5:E$35)),0)</f>
        <v>0</v>
      </c>
      <c r="AN27" s="135">
        <f>Tabel424[[#This Row],[Kolom2911]]*AM$2</f>
        <v>0</v>
      </c>
      <c r="AO27" s="135">
        <f>IF(F$2="x",(_xlfn.RANK.EQ(Tabel424[[#This Row],[Kolom4]],F$5:F$35)),0)</f>
        <v>0</v>
      </c>
      <c r="AP27" s="135">
        <f>Tabel424[[#This Row],[Kolom29112]]*AO$2</f>
        <v>0</v>
      </c>
      <c r="AQ27" s="135">
        <f>IF(G$2="x",(_xlfn.RANK.EQ(Tabel424[[#This Row],[Kolom5]],G$5:G$35)),0)</f>
        <v>0</v>
      </c>
      <c r="AR27" s="135">
        <f>Tabel424[[#This Row],[Kolom29113]]*AQ$2</f>
        <v>0</v>
      </c>
      <c r="AS27" s="135">
        <f>IF(H$2="x",(_xlfn.RANK.EQ(Tabel424[[#This Row],[Kolom6]],H$5:H$35)),0)</f>
        <v>0</v>
      </c>
      <c r="AT27" s="135">
        <f>Tabel424[[#This Row],[Kolom29114]]*AS$2</f>
        <v>0</v>
      </c>
      <c r="AU27" s="135">
        <f>IF(I$2="x",(_xlfn.RANK.EQ(Tabel424[[#This Row],[Kolom62]],I$5:I$35)),0)</f>
        <v>0</v>
      </c>
      <c r="AV27" s="135">
        <f>Tabel424[[#This Row],[Kolom29115]]*AU$2</f>
        <v>0</v>
      </c>
      <c r="AW27" s="135">
        <f>IF(J$2="x",(_xlfn.RANK.EQ(Tabel424[[#This Row],[Kolom7]],J$5:J$35)),0)</f>
        <v>7</v>
      </c>
      <c r="AX27" s="135">
        <f>Tabel424[[#This Row],[Kolom29116]]*AW$2</f>
        <v>35</v>
      </c>
      <c r="AY27" s="135">
        <f>IF(K$2="x",(_xlfn.RANK.EQ(Tabel424[[#This Row],[Kolom72]],K$5:K$35)),0)</f>
        <v>0</v>
      </c>
      <c r="AZ27" s="135">
        <f>Tabel424[[#This Row],[Kolom29117]]*AY$2</f>
        <v>0</v>
      </c>
      <c r="BA27" s="135">
        <f>IF(L$2="x",(_xlfn.RANK.EQ(Tabel424[[#This Row],[Kolom8]],L$5:L$35)),0)</f>
        <v>0</v>
      </c>
      <c r="BB27" s="135">
        <f>Tabel424[[#This Row],[Kolom29118]]*BA$2</f>
        <v>0</v>
      </c>
      <c r="BC27" s="135">
        <f>IF(M$2="x",(_xlfn.RANK.EQ(Tabel424[[#This Row],[Kolom9]],M$5:M$35)),0)</f>
        <v>0</v>
      </c>
      <c r="BD27" s="135">
        <f>Tabel424[[#This Row],[Kolom29119]]*BC$2</f>
        <v>0</v>
      </c>
      <c r="BE27" s="135">
        <f>IF(N$2="x",(_xlfn.RANK.EQ(Tabel424[[#This Row],[Kolom10]],N$5:N$35)),0)</f>
        <v>0</v>
      </c>
      <c r="BF27" s="135">
        <f>Tabel424[[#This Row],[Kolom29120]]*BE$2</f>
        <v>0</v>
      </c>
      <c r="BG27" s="135">
        <f>IF(O$2="x",(_xlfn.RANK.EQ(Tabel424[[#This Row],[Kolom11]],O$5:O$35)),0)</f>
        <v>0</v>
      </c>
      <c r="BH27" s="135">
        <f>Tabel424[[#This Row],[Kolom29121]]*BG$2</f>
        <v>0</v>
      </c>
      <c r="BI27" s="135">
        <f>IF(P$2="x",(_xlfn.RANK.EQ(Tabel424[[#This Row],[Kolom12]],P$5:P$35)),0)</f>
        <v>0</v>
      </c>
      <c r="BJ27" s="135">
        <f>Tabel424[[#This Row],[Kolom29122]]*BI$2</f>
        <v>0</v>
      </c>
      <c r="BK27" s="135">
        <f>IF(Q$2="x",(_xlfn.RANK.EQ(Tabel424[[#This Row],[Kolom13]],Q$5:Q$35)),0)</f>
        <v>0</v>
      </c>
      <c r="BL27" s="135">
        <f>Tabel424[[#This Row],[Kolom29123]]*BK$2</f>
        <v>0</v>
      </c>
      <c r="BM27" s="135">
        <f>IF(R$2="x",(_xlfn.RANK.EQ(Tabel424[[#This Row],[Kolom133]],R$5:R$35)),0)</f>
        <v>0</v>
      </c>
      <c r="BN27" s="135">
        <f>Tabel424[[#This Row],[Kolom29124]]*BM$2</f>
        <v>0</v>
      </c>
      <c r="BO27" s="135">
        <f>IF(S$2="x",(_xlfn.RANK.EQ(Tabel424[[#This Row],[Kolom132]],S$5:S$35)),0)</f>
        <v>0</v>
      </c>
      <c r="BP27" s="135">
        <f>Tabel424[[#This Row],[Kolom29125]]*BO$2</f>
        <v>0</v>
      </c>
      <c r="BQ27" s="135">
        <f>IF(T$2="x",(_xlfn.RANK.EQ(Tabel424[[#This Row],[Kolom14]],T$5:T$35)),0)</f>
        <v>8</v>
      </c>
      <c r="BR27" s="135">
        <f>Tabel424[[#This Row],[Kolom29126]]*BQ$2</f>
        <v>40</v>
      </c>
      <c r="BS27" s="135">
        <f>IF(U$2="x",(_xlfn.RANK.EQ(Tabel424[[#This Row],[Kolom16]],U$5:U$35)),0)</f>
        <v>0</v>
      </c>
      <c r="BT27" s="135">
        <f>Tabel424[[#This Row],[Kolom29127]]*BS$2</f>
        <v>0</v>
      </c>
      <c r="BU27" s="135">
        <f>IF(V$2="x",(_xlfn.RANK.EQ(Tabel424[[#This Row],[Kolom173]],V$5:V$35)),0)</f>
        <v>0</v>
      </c>
      <c r="BV27" s="135">
        <f>Tabel424[[#This Row],[Kolom29128]]*BU$2</f>
        <v>0</v>
      </c>
      <c r="BW27" s="135">
        <f>IF(W$2="x",(_xlfn.RANK.EQ(Tabel424[[#This Row],[Kolom172]],W$5:W$35)),0)</f>
        <v>14</v>
      </c>
      <c r="BX27" s="135">
        <f>Tabel424[[#This Row],[Kolom29129]]*BW$2</f>
        <v>14</v>
      </c>
      <c r="BY27" s="135">
        <f>IF(X$2="x",(_xlfn.RANK.EQ(Tabel424[[#This Row],[Kolom18]],X$5:X$35)),0)</f>
        <v>0</v>
      </c>
      <c r="BZ27" s="135">
        <f>Tabel424[[#This Row],[Kolom29130]]*BY$2</f>
        <v>0</v>
      </c>
      <c r="CA27" s="135">
        <f>IF(Y$2="x",(_xlfn.RANK.EQ(Tabel424[[#This Row],[Kolom19]],Y$5:Y$35)),0)</f>
        <v>11</v>
      </c>
      <c r="CB27" s="135">
        <f>Tabel424[[#This Row],[Kolom29131]]*CA$2</f>
        <v>11</v>
      </c>
      <c r="CC27" s="135">
        <f>IF(Z$2="x",(_xlfn.RANK.EQ(Tabel424[[#This Row],[Kolom20]],Z$5:Z$35)),0)</f>
        <v>0</v>
      </c>
      <c r="CD27" s="135">
        <f>Tabel424[[#This Row],[Kolom29132]]*CC$2</f>
        <v>0</v>
      </c>
      <c r="CE27" s="135">
        <f>IF(AA$2="x",(_xlfn.RANK.EQ(Tabel424[[#This Row],[Kolom21]],AA$5:AA$35)),0)</f>
        <v>0</v>
      </c>
      <c r="CF27" s="135">
        <f>Tabel424[[#This Row],[Kolom29133]]*CE$2</f>
        <v>0</v>
      </c>
      <c r="CG27" s="135">
        <f>IF(AB$2="x",(_xlfn.RANK.EQ(Tabel424[[#This Row],[Kolom22]],AB$5:AB$35)),0)</f>
        <v>0</v>
      </c>
      <c r="CH27" s="135">
        <f>Tabel424[[#This Row],[Kolom29134]]*CG$2</f>
        <v>0</v>
      </c>
      <c r="CI27" s="135">
        <f>IF(AC$2="x",(_xlfn.RANK.EQ(Tabel424[[#This Row],[Kolom223]],AC$5:AC$35)),0)</f>
        <v>0</v>
      </c>
      <c r="CJ27" s="135">
        <f>Tabel424[[#This Row],[Kolom29135]]*CI$2</f>
        <v>0</v>
      </c>
      <c r="CK27" s="135">
        <f>IF(AD$2="x",(_xlfn.RANK.EQ(Tabel424[[#This Row],[Kolom222]],AD$5:AD$35)),0)</f>
        <v>0</v>
      </c>
      <c r="CL27" s="135">
        <f>Tabel424[[#This Row],[Kolom29136]]*CK$2</f>
        <v>0</v>
      </c>
      <c r="CM27" s="135">
        <f t="shared" si="13"/>
        <v>4</v>
      </c>
      <c r="CN27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Row],[Kolom29130]]+CA27+Tabel424[[#This Row],[Kolom29132]]+Tabel424[[#This Row],[Kolom29133]]+Tabel424[[#This Row],[Kolom29134]]+Tabel424[[#This Row],[Kolom29135]]+Tabel424[[#This Row],[Kolom29136]])/Tabel424[[#This Row],[Kolom29137]]</f>
        <v>10</v>
      </c>
      <c r="CO27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Row],[Kolom291302]]+CB27+Tabel424[[#This Row],[Kolom291322]]+Tabel424[[#This Row],[Kolom291332]]+Tabel424[[#This Row],[Kolom291342]]+Tabel424[[#This Row],[Kolom291352]]+Tabel424[[#This Row],[Kolom291362]])/Tabel424[[#This Row],[Kolom29137]]</f>
        <v>25</v>
      </c>
      <c r="CP27" s="143">
        <f>_xlfn.RANK.EQ(Tabel424[[#This Row],[Kolom29138]],CN$5:CN$35,1)</f>
        <v>15</v>
      </c>
      <c r="CQ27" s="143">
        <f>_xlfn.RANK.EQ(Tabel424[[#This Row],[Kolom291382]],CO$5:CO$35,1)</f>
        <v>12</v>
      </c>
    </row>
    <row r="28" spans="1:95">
      <c r="B28" s="21" t="str">
        <f>'Symptomen (alle)'!A25</f>
        <v>Lymphocystis/Cauliflower disease</v>
      </c>
      <c r="C28" s="21">
        <f>'Symptomen (alle)'!B25</f>
        <v>1</v>
      </c>
      <c r="D28" s="21" t="str">
        <f>IF(D$2="x",'Symptomen (alle)'!C25,0)</f>
        <v>x</v>
      </c>
      <c r="E28" s="21">
        <f>IF(E$2="x",'Symptomen (alle)'!D25,0)</f>
        <v>0</v>
      </c>
      <c r="F28" s="21">
        <f>IF(F$2="x",'Symptomen (alle)'!E25,0)</f>
        <v>0</v>
      </c>
      <c r="G28" s="21">
        <f>IF(G$2="x",'Symptomen (alle)'!F25,0)</f>
        <v>0</v>
      </c>
      <c r="H28" s="21">
        <f>IF(H$2="x",'Symptomen (alle)'!G25,0)</f>
        <v>0</v>
      </c>
      <c r="I28" s="21">
        <f>IF(I$2="x",'Symptomen (alle)'!H25,0)</f>
        <v>0</v>
      </c>
      <c r="J28" s="21">
        <f>IF(J$2="x",'Symptomen (alle)'!I25,0)</f>
        <v>1</v>
      </c>
      <c r="K28" s="21">
        <f>IF(K$2="x",'Symptomen (alle)'!J25,0)</f>
        <v>0</v>
      </c>
      <c r="L28" s="21">
        <f>IF(L$2="x",'Symptomen (alle)'!K25,0)</f>
        <v>0</v>
      </c>
      <c r="M28" s="21">
        <f>IF(M$2="x",'Symptomen (alle)'!L25,0)</f>
        <v>0</v>
      </c>
      <c r="N28" s="21">
        <f>IF(N$2="x",'Symptomen (alle)'!M25,0)</f>
        <v>0</v>
      </c>
      <c r="O28" s="21">
        <f>IF(O$2="x",'Symptomen (alle)'!N25,0)</f>
        <v>0</v>
      </c>
      <c r="P28" s="21">
        <f>IF(P$2="x",'Symptomen (alle)'!O25,0)</f>
        <v>0</v>
      </c>
      <c r="Q28" s="21">
        <f>IF(Q$2="x",'Symptomen (alle)'!P25,0)</f>
        <v>0</v>
      </c>
      <c r="R28" s="21">
        <f>IF(R$2="x",'Symptomen (alle)'!Q25,0)</f>
        <v>0</v>
      </c>
      <c r="S28" s="21">
        <f>IF(S$2="x",'Symptomen (alle)'!R25,0)</f>
        <v>0</v>
      </c>
      <c r="T28" s="21">
        <f>IF(T$2="x",'Symptomen (alle)'!S25,0)</f>
        <v>1</v>
      </c>
      <c r="U28" s="21">
        <f>IF(U$2="x",'Symptomen (alle)'!T25,0)</f>
        <v>0</v>
      </c>
      <c r="V28" s="21">
        <f>IF(V$2="x",'Symptomen (alle)'!U25,0)</f>
        <v>0</v>
      </c>
      <c r="W28" s="21">
        <f>IF(W$2="x",'Symptomen (alle)'!V25,0)</f>
        <v>0</v>
      </c>
      <c r="X28" s="21">
        <f>IF(X$2="x",'Symptomen (alle)'!W25,0)</f>
        <v>0</v>
      </c>
      <c r="Y28" s="21">
        <f>IF(Y$2="x",'Symptomen (alle)'!X25,0)</f>
        <v>0</v>
      </c>
      <c r="Z28" s="21">
        <f>IF(Z$2="x",'Symptomen (alle)'!Y25,0)</f>
        <v>0</v>
      </c>
      <c r="AA28" s="21">
        <f>IF(AA$2="x",'Symptomen (alle)'!Z25,0)</f>
        <v>0</v>
      </c>
      <c r="AB28" s="21">
        <f>IF(AB$2="x",'Symptomen (alle)'!AA25,0)</f>
        <v>0</v>
      </c>
      <c r="AC28" s="21">
        <f>IF(AC$2="x",'Symptomen (alle)'!AB25,0)</f>
        <v>0</v>
      </c>
      <c r="AD28" s="21">
        <f>IF(AD$2="x",'Symptomen (alle)'!AC25,0)</f>
        <v>0</v>
      </c>
      <c r="AE28" s="21">
        <f t="shared" si="11"/>
        <v>2</v>
      </c>
      <c r="AF28" s="21">
        <f>HLOOKUP($B$2,ZiekteFam!$B$1:$T$32,AG28,FALSE)</f>
        <v>0</v>
      </c>
      <c r="AG28" s="32">
        <f t="shared" si="12"/>
        <v>25</v>
      </c>
      <c r="AH28" s="32">
        <f>SUM('Symptomen (alle)'!D25:AC25)</f>
        <v>40</v>
      </c>
      <c r="AI28" s="22">
        <f>Tabel424[[#This Row],[Kolom25]]/Tabel424[[#This Row],[Kolom28]]</f>
        <v>0.05</v>
      </c>
      <c r="AJ28" s="22"/>
      <c r="AK28" s="22">
        <f>Tabel424[[#This Row],[Kolom29]]</f>
        <v>0.05</v>
      </c>
      <c r="AL28" s="36">
        <f>_xlfn.RANK.EQ(Tabel424[[#This Row],[Kolom29]],$AI$5:$AI$35)</f>
        <v>22</v>
      </c>
      <c r="AM28" s="135">
        <f>IF(E$2="x",(_xlfn.RANK.EQ(Tabel424[[#This Row],[Kolom3]],E$5:E$35)),0)</f>
        <v>0</v>
      </c>
      <c r="AN28" s="135">
        <f>Tabel424[[#This Row],[Kolom2911]]*AM$2</f>
        <v>0</v>
      </c>
      <c r="AO28" s="135">
        <f>IF(F$2="x",(_xlfn.RANK.EQ(Tabel424[[#This Row],[Kolom4]],F$5:F$35)),0)</f>
        <v>0</v>
      </c>
      <c r="AP28" s="135">
        <f>Tabel424[[#This Row],[Kolom29112]]*AO$2</f>
        <v>0</v>
      </c>
      <c r="AQ28" s="135">
        <f>IF(G$2="x",(_xlfn.RANK.EQ(Tabel424[[#This Row],[Kolom5]],G$5:G$35)),0)</f>
        <v>0</v>
      </c>
      <c r="AR28" s="135">
        <f>Tabel424[[#This Row],[Kolom29113]]*AQ$2</f>
        <v>0</v>
      </c>
      <c r="AS28" s="135">
        <f>IF(H$2="x",(_xlfn.RANK.EQ(Tabel424[[#This Row],[Kolom6]],H$5:H$35)),0)</f>
        <v>0</v>
      </c>
      <c r="AT28" s="135">
        <f>Tabel424[[#This Row],[Kolom29114]]*AS$2</f>
        <v>0</v>
      </c>
      <c r="AU28" s="135">
        <f>IF(I$2="x",(_xlfn.RANK.EQ(Tabel424[[#This Row],[Kolom62]],I$5:I$35)),0)</f>
        <v>0</v>
      </c>
      <c r="AV28" s="135">
        <f>Tabel424[[#This Row],[Kolom29115]]*AU$2</f>
        <v>0</v>
      </c>
      <c r="AW28" s="135">
        <f>IF(J$2="x",(_xlfn.RANK.EQ(Tabel424[[#This Row],[Kolom7]],J$5:J$35)),0)</f>
        <v>16</v>
      </c>
      <c r="AX28" s="135">
        <f>Tabel424[[#This Row],[Kolom29116]]*AW$2</f>
        <v>80</v>
      </c>
      <c r="AY28" s="135">
        <f>IF(K$2="x",(_xlfn.RANK.EQ(Tabel424[[#This Row],[Kolom72]],K$5:K$35)),0)</f>
        <v>0</v>
      </c>
      <c r="AZ28" s="135">
        <f>Tabel424[[#This Row],[Kolom29117]]*AY$2</f>
        <v>0</v>
      </c>
      <c r="BA28" s="135">
        <f>IF(L$2="x",(_xlfn.RANK.EQ(Tabel424[[#This Row],[Kolom8]],L$5:L$35)),0)</f>
        <v>0</v>
      </c>
      <c r="BB28" s="135">
        <f>Tabel424[[#This Row],[Kolom29118]]*BA$2</f>
        <v>0</v>
      </c>
      <c r="BC28" s="135">
        <f>IF(M$2="x",(_xlfn.RANK.EQ(Tabel424[[#This Row],[Kolom9]],M$5:M$35)),0)</f>
        <v>0</v>
      </c>
      <c r="BD28" s="135">
        <f>Tabel424[[#This Row],[Kolom29119]]*BC$2</f>
        <v>0</v>
      </c>
      <c r="BE28" s="135">
        <f>IF(N$2="x",(_xlfn.RANK.EQ(Tabel424[[#This Row],[Kolom10]],N$5:N$35)),0)</f>
        <v>0</v>
      </c>
      <c r="BF28" s="135">
        <f>Tabel424[[#This Row],[Kolom29120]]*BE$2</f>
        <v>0</v>
      </c>
      <c r="BG28" s="135">
        <f>IF(O$2="x",(_xlfn.RANK.EQ(Tabel424[[#This Row],[Kolom11]],O$5:O$35)),0)</f>
        <v>0</v>
      </c>
      <c r="BH28" s="135">
        <f>Tabel424[[#This Row],[Kolom29121]]*BG$2</f>
        <v>0</v>
      </c>
      <c r="BI28" s="135">
        <f>IF(P$2="x",(_xlfn.RANK.EQ(Tabel424[[#This Row],[Kolom12]],P$5:P$35)),0)</f>
        <v>0</v>
      </c>
      <c r="BJ28" s="135">
        <f>Tabel424[[#This Row],[Kolom29122]]*BI$2</f>
        <v>0</v>
      </c>
      <c r="BK28" s="135">
        <f>IF(Q$2="x",(_xlfn.RANK.EQ(Tabel424[[#This Row],[Kolom13]],Q$5:Q$35)),0)</f>
        <v>0</v>
      </c>
      <c r="BL28" s="135">
        <f>Tabel424[[#This Row],[Kolom29123]]*BK$2</f>
        <v>0</v>
      </c>
      <c r="BM28" s="135">
        <f>IF(R$2="x",(_xlfn.RANK.EQ(Tabel424[[#This Row],[Kolom133]],R$5:R$35)),0)</f>
        <v>0</v>
      </c>
      <c r="BN28" s="135">
        <f>Tabel424[[#This Row],[Kolom29124]]*BM$2</f>
        <v>0</v>
      </c>
      <c r="BO28" s="135">
        <f>IF(S$2="x",(_xlfn.RANK.EQ(Tabel424[[#This Row],[Kolom132]],S$5:S$35)),0)</f>
        <v>0</v>
      </c>
      <c r="BP28" s="135">
        <f>Tabel424[[#This Row],[Kolom29125]]*BO$2</f>
        <v>0</v>
      </c>
      <c r="BQ28" s="135">
        <f>IF(T$2="x",(_xlfn.RANK.EQ(Tabel424[[#This Row],[Kolom14]],T$5:T$35)),0)</f>
        <v>4</v>
      </c>
      <c r="BR28" s="135">
        <f>Tabel424[[#This Row],[Kolom29126]]*BQ$2</f>
        <v>20</v>
      </c>
      <c r="BS28" s="135">
        <f>IF(U$2="x",(_xlfn.RANK.EQ(Tabel424[[#This Row],[Kolom16]],U$5:U$35)),0)</f>
        <v>0</v>
      </c>
      <c r="BT28" s="135">
        <f>Tabel424[[#This Row],[Kolom29127]]*BS$2</f>
        <v>0</v>
      </c>
      <c r="BU28" s="135">
        <f>IF(V$2="x",(_xlfn.RANK.EQ(Tabel424[[#This Row],[Kolom173]],V$5:V$35)),0)</f>
        <v>0</v>
      </c>
      <c r="BV28" s="135">
        <f>Tabel424[[#This Row],[Kolom29128]]*BU$2</f>
        <v>0</v>
      </c>
      <c r="BW28" s="135">
        <f>IF(W$2="x",(_xlfn.RANK.EQ(Tabel424[[#This Row],[Kolom172]],W$5:W$35)),0)</f>
        <v>14</v>
      </c>
      <c r="BX28" s="135">
        <f>Tabel424[[#This Row],[Kolom29129]]*BW$2</f>
        <v>14</v>
      </c>
      <c r="BY28" s="135">
        <f>IF(X$2="x",(_xlfn.RANK.EQ(Tabel424[[#This Row],[Kolom18]],X$5:X$35)),0)</f>
        <v>0</v>
      </c>
      <c r="BZ28" s="135">
        <f>Tabel424[[#This Row],[Kolom29130]]*BY$2</f>
        <v>0</v>
      </c>
      <c r="CA28" s="135">
        <f>IF(Y$2="x",(_xlfn.RANK.EQ(Tabel424[[#This Row],[Kolom19]],Y$5:Y$35)),0)</f>
        <v>11</v>
      </c>
      <c r="CB28" s="135">
        <f>Tabel424[[#This Row],[Kolom29131]]*CA$2</f>
        <v>11</v>
      </c>
      <c r="CC28" s="135">
        <f>IF(Z$2="x",(_xlfn.RANK.EQ(Tabel424[[#This Row],[Kolom20]],Z$5:Z$35)),0)</f>
        <v>0</v>
      </c>
      <c r="CD28" s="135">
        <f>Tabel424[[#This Row],[Kolom29132]]*CC$2</f>
        <v>0</v>
      </c>
      <c r="CE28" s="135">
        <f>IF(AA$2="x",(_xlfn.RANK.EQ(Tabel424[[#This Row],[Kolom21]],AA$5:AA$35)),0)</f>
        <v>0</v>
      </c>
      <c r="CF28" s="135">
        <f>Tabel424[[#This Row],[Kolom29133]]*CE$2</f>
        <v>0</v>
      </c>
      <c r="CG28" s="135">
        <f>IF(AB$2="x",(_xlfn.RANK.EQ(Tabel424[[#This Row],[Kolom22]],AB$5:AB$35)),0)</f>
        <v>0</v>
      </c>
      <c r="CH28" s="135">
        <f>Tabel424[[#This Row],[Kolom29134]]*CG$2</f>
        <v>0</v>
      </c>
      <c r="CI28" s="135">
        <f>IF(AC$2="x",(_xlfn.RANK.EQ(Tabel424[[#This Row],[Kolom223]],AC$5:AC$35)),0)</f>
        <v>0</v>
      </c>
      <c r="CJ28" s="135">
        <f>Tabel424[[#This Row],[Kolom29135]]*CI$2</f>
        <v>0</v>
      </c>
      <c r="CK28" s="135">
        <f>IF(AD$2="x",(_xlfn.RANK.EQ(Tabel424[[#This Row],[Kolom222]],AD$5:AD$35)),0)</f>
        <v>0</v>
      </c>
      <c r="CL28" s="135">
        <f>Tabel424[[#This Row],[Kolom29136]]*CK$2</f>
        <v>0</v>
      </c>
      <c r="CM28" s="135">
        <f t="shared" si="13"/>
        <v>4</v>
      </c>
      <c r="CN28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Row],[Kolom29130]]+CA28+Tabel424[[#This Row],[Kolom29132]]+Tabel424[[#This Row],[Kolom29133]]+Tabel424[[#This Row],[Kolom29134]]+Tabel424[[#This Row],[Kolom29135]]+Tabel424[[#This Row],[Kolom29136]])/Tabel424[[#This Row],[Kolom29137]]</f>
        <v>11.25</v>
      </c>
      <c r="CO28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Row],[Kolom291302]]+CB28+Tabel424[[#This Row],[Kolom291322]]+Tabel424[[#This Row],[Kolom291332]]+Tabel424[[#This Row],[Kolom291342]]+Tabel424[[#This Row],[Kolom291352]]+Tabel424[[#This Row],[Kolom291362]])/Tabel424[[#This Row],[Kolom29137]]</f>
        <v>31.25</v>
      </c>
      <c r="CP28" s="142">
        <f>_xlfn.RANK.EQ(Tabel424[[#This Row],[Kolom29138]],CN$5:CN$35,1)</f>
        <v>23</v>
      </c>
      <c r="CQ28" s="142">
        <f>_xlfn.RANK.EQ(Tabel424[[#This Row],[Kolom291382]],CO$5:CO$35,1)</f>
        <v>17</v>
      </c>
    </row>
    <row r="29" spans="1:95">
      <c r="B29" s="21" t="str">
        <f>'Symptomen (alle)'!A26</f>
        <v>Discus /Angel fish pest</v>
      </c>
      <c r="C29" s="21">
        <f>'Symptomen (alle)'!B26</f>
        <v>0</v>
      </c>
      <c r="D29" s="21">
        <f>IF(D$2="x",'Symptomen (alle)'!C26,0)</f>
        <v>0</v>
      </c>
      <c r="E29" s="21">
        <f>IF(E$2="x",'Symptomen (alle)'!D26,0)</f>
        <v>0</v>
      </c>
      <c r="F29" s="21">
        <f>IF(F$2="x",'Symptomen (alle)'!E26,0)</f>
        <v>0</v>
      </c>
      <c r="G29" s="21">
        <f>IF(G$2="x",'Symptomen (alle)'!F26,0)</f>
        <v>0</v>
      </c>
      <c r="H29" s="21">
        <f>IF(H$2="x",'Symptomen (alle)'!G26,0)</f>
        <v>0</v>
      </c>
      <c r="I29" s="21">
        <f>IF(I$2="x",'Symptomen (alle)'!H26,0)</f>
        <v>0</v>
      </c>
      <c r="J29" s="21">
        <f>IF(J$2="x",'Symptomen (alle)'!I26,0)</f>
        <v>2</v>
      </c>
      <c r="K29" s="21">
        <f>IF(K$2="x",'Symptomen (alle)'!J26,0)</f>
        <v>0</v>
      </c>
      <c r="L29" s="21">
        <f>IF(L$2="x",'Symptomen (alle)'!K26,0)</f>
        <v>0</v>
      </c>
      <c r="M29" s="21">
        <f>IF(M$2="x",'Symptomen (alle)'!L26,0)</f>
        <v>0</v>
      </c>
      <c r="N29" s="21">
        <f>IF(N$2="x",'Symptomen (alle)'!M26,0)</f>
        <v>0</v>
      </c>
      <c r="O29" s="21">
        <f>IF(O$2="x",'Symptomen (alle)'!N26,0)</f>
        <v>0</v>
      </c>
      <c r="P29" s="21">
        <f>IF(P$2="x",'Symptomen (alle)'!O26,0)</f>
        <v>0</v>
      </c>
      <c r="Q29" s="21">
        <f>IF(Q$2="x",'Symptomen (alle)'!P26,0)</f>
        <v>0</v>
      </c>
      <c r="R29" s="21">
        <f>IF(R$2="x",'Symptomen (alle)'!Q26,0)</f>
        <v>0</v>
      </c>
      <c r="S29" s="21">
        <f>IF(S$2="x",'Symptomen (alle)'!R26,0)</f>
        <v>0</v>
      </c>
      <c r="T29" s="21">
        <f>IF(T$2="x",'Symptomen (alle)'!S26,0)</f>
        <v>0</v>
      </c>
      <c r="U29" s="21">
        <f>IF(U$2="x",'Symptomen (alle)'!T26,0)</f>
        <v>0</v>
      </c>
      <c r="V29" s="21">
        <f>IF(V$2="x",'Symptomen (alle)'!U26,0)</f>
        <v>0</v>
      </c>
      <c r="W29" s="21">
        <f>IF(W$2="x",'Symptomen (alle)'!V26,0)</f>
        <v>0</v>
      </c>
      <c r="X29" s="21">
        <f>IF(X$2="x",'Symptomen (alle)'!W26,0)</f>
        <v>0</v>
      </c>
      <c r="Y29" s="21">
        <f>IF(Y$2="x",'Symptomen (alle)'!X26,0)</f>
        <v>0</v>
      </c>
      <c r="Z29" s="21">
        <f>IF(Z$2="x",'Symptomen (alle)'!Y26,0)</f>
        <v>0</v>
      </c>
      <c r="AA29" s="21">
        <f>IF(AA$2="x",'Symptomen (alle)'!Z26,0)</f>
        <v>0</v>
      </c>
      <c r="AB29" s="21">
        <f>IF(AB$2="x",'Symptomen (alle)'!AA26,0)</f>
        <v>0</v>
      </c>
      <c r="AC29" s="21">
        <f>IF(AC$2="x",'Symptomen (alle)'!AB26,0)</f>
        <v>0</v>
      </c>
      <c r="AD29" s="21">
        <f>IF(AD$2="x",'Symptomen (alle)'!AC26,0)</f>
        <v>0</v>
      </c>
      <c r="AE29" s="21">
        <f t="shared" si="11"/>
        <v>2</v>
      </c>
      <c r="AF29" s="21">
        <f>HLOOKUP($B$2,ZiekteFam!$B$1:$T$32,AG29,FALSE)</f>
        <v>0</v>
      </c>
      <c r="AG29" s="32">
        <f t="shared" si="12"/>
        <v>26</v>
      </c>
      <c r="AH29" s="32">
        <f>SUM('Symptomen (alle)'!D26:AC26)</f>
        <v>38</v>
      </c>
      <c r="AI29" s="22">
        <f>Tabel424[[#This Row],[Kolom25]]/Tabel424[[#This Row],[Kolom28]]</f>
        <v>5.2631578947368418E-2</v>
      </c>
      <c r="AJ29" s="22"/>
      <c r="AK29" s="22">
        <f>Tabel424[[#This Row],[Kolom29]]</f>
        <v>5.2631578947368418E-2</v>
      </c>
      <c r="AL29" s="36">
        <f>_xlfn.RANK.EQ(Tabel424[[#This Row],[Kolom29]],$AI$5:$AI$35)</f>
        <v>21</v>
      </c>
      <c r="AM29" s="135">
        <f>IF(E$2="x",(_xlfn.RANK.EQ(Tabel424[[#This Row],[Kolom3]],E$5:E$35)),0)</f>
        <v>0</v>
      </c>
      <c r="AN29" s="135">
        <f>Tabel424[[#This Row],[Kolom2911]]*AM$2</f>
        <v>0</v>
      </c>
      <c r="AO29" s="135">
        <f>IF(F$2="x",(_xlfn.RANK.EQ(Tabel424[[#This Row],[Kolom4]],F$5:F$35)),0)</f>
        <v>0</v>
      </c>
      <c r="AP29" s="135">
        <f>Tabel424[[#This Row],[Kolom29112]]*AO$2</f>
        <v>0</v>
      </c>
      <c r="AQ29" s="135">
        <f>IF(G$2="x",(_xlfn.RANK.EQ(Tabel424[[#This Row],[Kolom5]],G$5:G$35)),0)</f>
        <v>0</v>
      </c>
      <c r="AR29" s="135">
        <f>Tabel424[[#This Row],[Kolom29113]]*AQ$2</f>
        <v>0</v>
      </c>
      <c r="AS29" s="135">
        <f>IF(H$2="x",(_xlfn.RANK.EQ(Tabel424[[#This Row],[Kolom6]],H$5:H$35)),0)</f>
        <v>0</v>
      </c>
      <c r="AT29" s="135">
        <f>Tabel424[[#This Row],[Kolom29114]]*AS$2</f>
        <v>0</v>
      </c>
      <c r="AU29" s="135">
        <f>IF(I$2="x",(_xlfn.RANK.EQ(Tabel424[[#This Row],[Kolom62]],I$5:I$35)),0)</f>
        <v>0</v>
      </c>
      <c r="AV29" s="135">
        <f>Tabel424[[#This Row],[Kolom29115]]*AU$2</f>
        <v>0</v>
      </c>
      <c r="AW29" s="135">
        <f>IF(J$2="x",(_xlfn.RANK.EQ(Tabel424[[#This Row],[Kolom7]],J$5:J$35)),0)</f>
        <v>7</v>
      </c>
      <c r="AX29" s="135">
        <f>Tabel424[[#This Row],[Kolom29116]]*AW$2</f>
        <v>35</v>
      </c>
      <c r="AY29" s="135">
        <f>IF(K$2="x",(_xlfn.RANK.EQ(Tabel424[[#This Row],[Kolom72]],K$5:K$35)),0)</f>
        <v>0</v>
      </c>
      <c r="AZ29" s="135">
        <f>Tabel424[[#This Row],[Kolom29117]]*AY$2</f>
        <v>0</v>
      </c>
      <c r="BA29" s="135">
        <f>IF(L$2="x",(_xlfn.RANK.EQ(Tabel424[[#This Row],[Kolom8]],L$5:L$35)),0)</f>
        <v>0</v>
      </c>
      <c r="BB29" s="135">
        <f>Tabel424[[#This Row],[Kolom29118]]*BA$2</f>
        <v>0</v>
      </c>
      <c r="BC29" s="135">
        <f>IF(M$2="x",(_xlfn.RANK.EQ(Tabel424[[#This Row],[Kolom9]],M$5:M$35)),0)</f>
        <v>0</v>
      </c>
      <c r="BD29" s="135">
        <f>Tabel424[[#This Row],[Kolom29119]]*BC$2</f>
        <v>0</v>
      </c>
      <c r="BE29" s="135">
        <f>IF(N$2="x",(_xlfn.RANK.EQ(Tabel424[[#This Row],[Kolom10]],N$5:N$35)),0)</f>
        <v>0</v>
      </c>
      <c r="BF29" s="135">
        <f>Tabel424[[#This Row],[Kolom29120]]*BE$2</f>
        <v>0</v>
      </c>
      <c r="BG29" s="135">
        <f>IF(O$2="x",(_xlfn.RANK.EQ(Tabel424[[#This Row],[Kolom11]],O$5:O$35)),0)</f>
        <v>0</v>
      </c>
      <c r="BH29" s="135">
        <f>Tabel424[[#This Row],[Kolom29121]]*BG$2</f>
        <v>0</v>
      </c>
      <c r="BI29" s="135">
        <f>IF(P$2="x",(_xlfn.RANK.EQ(Tabel424[[#This Row],[Kolom12]],P$5:P$35)),0)</f>
        <v>0</v>
      </c>
      <c r="BJ29" s="135">
        <f>Tabel424[[#This Row],[Kolom29122]]*BI$2</f>
        <v>0</v>
      </c>
      <c r="BK29" s="135">
        <f>IF(Q$2="x",(_xlfn.RANK.EQ(Tabel424[[#This Row],[Kolom13]],Q$5:Q$35)),0)</f>
        <v>0</v>
      </c>
      <c r="BL29" s="135">
        <f>Tabel424[[#This Row],[Kolom29123]]*BK$2</f>
        <v>0</v>
      </c>
      <c r="BM29" s="135">
        <f>IF(R$2="x",(_xlfn.RANK.EQ(Tabel424[[#This Row],[Kolom133]],R$5:R$35)),0)</f>
        <v>0</v>
      </c>
      <c r="BN29" s="135">
        <f>Tabel424[[#This Row],[Kolom29124]]*BM$2</f>
        <v>0</v>
      </c>
      <c r="BO29" s="135">
        <f>IF(S$2="x",(_xlfn.RANK.EQ(Tabel424[[#This Row],[Kolom132]],S$5:S$35)),0)</f>
        <v>0</v>
      </c>
      <c r="BP29" s="135">
        <f>Tabel424[[#This Row],[Kolom29125]]*BO$2</f>
        <v>0</v>
      </c>
      <c r="BQ29" s="135">
        <f>IF(T$2="x",(_xlfn.RANK.EQ(Tabel424[[#This Row],[Kolom14]],T$5:T$35)),0)</f>
        <v>8</v>
      </c>
      <c r="BR29" s="135">
        <f>Tabel424[[#This Row],[Kolom29126]]*BQ$2</f>
        <v>40</v>
      </c>
      <c r="BS29" s="135">
        <f>IF(U$2="x",(_xlfn.RANK.EQ(Tabel424[[#This Row],[Kolom16]],U$5:U$35)),0)</f>
        <v>0</v>
      </c>
      <c r="BT29" s="135">
        <f>Tabel424[[#This Row],[Kolom29127]]*BS$2</f>
        <v>0</v>
      </c>
      <c r="BU29" s="135">
        <f>IF(V$2="x",(_xlfn.RANK.EQ(Tabel424[[#This Row],[Kolom173]],V$5:V$35)),0)</f>
        <v>0</v>
      </c>
      <c r="BV29" s="135">
        <f>Tabel424[[#This Row],[Kolom29128]]*BU$2</f>
        <v>0</v>
      </c>
      <c r="BW29" s="135">
        <f>IF(W$2="x",(_xlfn.RANK.EQ(Tabel424[[#This Row],[Kolom172]],W$5:W$35)),0)</f>
        <v>14</v>
      </c>
      <c r="BX29" s="135">
        <f>Tabel424[[#This Row],[Kolom29129]]*BW$2</f>
        <v>14</v>
      </c>
      <c r="BY29" s="135">
        <f>IF(X$2="x",(_xlfn.RANK.EQ(Tabel424[[#This Row],[Kolom18]],X$5:X$35)),0)</f>
        <v>0</v>
      </c>
      <c r="BZ29" s="135">
        <f>Tabel424[[#This Row],[Kolom29130]]*BY$2</f>
        <v>0</v>
      </c>
      <c r="CA29" s="135">
        <f>IF(Y$2="x",(_xlfn.RANK.EQ(Tabel424[[#This Row],[Kolom19]],Y$5:Y$35)),0)</f>
        <v>11</v>
      </c>
      <c r="CB29" s="135">
        <f>Tabel424[[#This Row],[Kolom29131]]*CA$2</f>
        <v>11</v>
      </c>
      <c r="CC29" s="135">
        <f>IF(Z$2="x",(_xlfn.RANK.EQ(Tabel424[[#This Row],[Kolom20]],Z$5:Z$35)),0)</f>
        <v>0</v>
      </c>
      <c r="CD29" s="135">
        <f>Tabel424[[#This Row],[Kolom29132]]*CC$2</f>
        <v>0</v>
      </c>
      <c r="CE29" s="135">
        <f>IF(AA$2="x",(_xlfn.RANK.EQ(Tabel424[[#This Row],[Kolom21]],AA$5:AA$35)),0)</f>
        <v>0</v>
      </c>
      <c r="CF29" s="135">
        <f>Tabel424[[#This Row],[Kolom29133]]*CE$2</f>
        <v>0</v>
      </c>
      <c r="CG29" s="135">
        <f>IF(AB$2="x",(_xlfn.RANK.EQ(Tabel424[[#This Row],[Kolom22]],AB$5:AB$35)),0)</f>
        <v>0</v>
      </c>
      <c r="CH29" s="135">
        <f>Tabel424[[#This Row],[Kolom29134]]*CG$2</f>
        <v>0</v>
      </c>
      <c r="CI29" s="135">
        <f>IF(AC$2="x",(_xlfn.RANK.EQ(Tabel424[[#This Row],[Kolom223]],AC$5:AC$35)),0)</f>
        <v>0</v>
      </c>
      <c r="CJ29" s="135">
        <f>Tabel424[[#This Row],[Kolom29135]]*CI$2</f>
        <v>0</v>
      </c>
      <c r="CK29" s="135">
        <f>IF(AD$2="x",(_xlfn.RANK.EQ(Tabel424[[#This Row],[Kolom222]],AD$5:AD$35)),0)</f>
        <v>0</v>
      </c>
      <c r="CL29" s="135">
        <f>Tabel424[[#This Row],[Kolom29136]]*CK$2</f>
        <v>0</v>
      </c>
      <c r="CM29" s="135">
        <f t="shared" si="13"/>
        <v>4</v>
      </c>
      <c r="CN29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Row],[Kolom29130]]+CA29+Tabel424[[#This Row],[Kolom29132]]+Tabel424[[#This Row],[Kolom29133]]+Tabel424[[#This Row],[Kolom29134]]+Tabel424[[#This Row],[Kolom29135]]+Tabel424[[#This Row],[Kolom29136]])/Tabel424[[#This Row],[Kolom29137]]</f>
        <v>10</v>
      </c>
      <c r="CO29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Row],[Kolom291302]]+CB29+Tabel424[[#This Row],[Kolom291322]]+Tabel424[[#This Row],[Kolom291332]]+Tabel424[[#This Row],[Kolom291342]]+Tabel424[[#This Row],[Kolom291352]]+Tabel424[[#This Row],[Kolom291362]])/Tabel424[[#This Row],[Kolom29137]]</f>
        <v>25</v>
      </c>
      <c r="CP29" s="142">
        <f>_xlfn.RANK.EQ(Tabel424[[#This Row],[Kolom29138]],CN$5:CN$35,1)</f>
        <v>15</v>
      </c>
      <c r="CQ29" s="142">
        <f>_xlfn.RANK.EQ(Tabel424[[#This Row],[Kolom291382]],CO$5:CO$35,1)</f>
        <v>12</v>
      </c>
    </row>
    <row r="30" spans="1:95">
      <c r="B30" s="21" t="str">
        <f>'Symptomen (alle)'!A27</f>
        <v>KHV (Kou Herpes Virus)=coldwater</v>
      </c>
      <c r="C30">
        <f>'Symptomen (alle)'!B27</f>
        <v>0</v>
      </c>
      <c r="D30" s="21">
        <f>IF(D$2="x",'Symptomen (alle)'!C27,0)</f>
        <v>0</v>
      </c>
      <c r="E30" s="21">
        <f>IF(E$2="x",'Symptomen (alle)'!D27,0)</f>
        <v>0</v>
      </c>
      <c r="F30" s="21">
        <f>IF(F$2="x",'Symptomen (alle)'!E27,0)</f>
        <v>0</v>
      </c>
      <c r="G30" s="21">
        <f>IF(G$2="x",'Symptomen (alle)'!F27,0)</f>
        <v>0</v>
      </c>
      <c r="H30" s="21">
        <f>IF(H$2="x",'Symptomen (alle)'!G27,0)</f>
        <v>0</v>
      </c>
      <c r="I30" s="21">
        <f>IF(I$2="x",'Symptomen (alle)'!H27,0)</f>
        <v>0</v>
      </c>
      <c r="J30" s="21">
        <f>IF(J$2="x",'Symptomen (alle)'!I27,0)</f>
        <v>0</v>
      </c>
      <c r="K30" s="21">
        <f>IF(K$2="x",'Symptomen (alle)'!J27,0)</f>
        <v>0</v>
      </c>
      <c r="L30" s="21">
        <f>IF(L$2="x",'Symptomen (alle)'!K27,0)</f>
        <v>0</v>
      </c>
      <c r="M30" s="21">
        <f>IF(M$2="x",'Symptomen (alle)'!L27,0)</f>
        <v>0</v>
      </c>
      <c r="N30" s="21">
        <f>IF(N$2="x",'Symptomen (alle)'!M27,0)</f>
        <v>0</v>
      </c>
      <c r="O30" s="21">
        <f>IF(O$2="x",'Symptomen (alle)'!N27,0)</f>
        <v>0</v>
      </c>
      <c r="P30" s="21">
        <f>IF(P$2="x",'Symptomen (alle)'!O27,0)</f>
        <v>0</v>
      </c>
      <c r="Q30" s="21">
        <f>IF(Q$2="x",'Symptomen (alle)'!P27,0)</f>
        <v>0</v>
      </c>
      <c r="R30" s="21">
        <f>IF(R$2="x",'Symptomen (alle)'!Q27,0)</f>
        <v>0</v>
      </c>
      <c r="S30" s="21">
        <f>IF(S$2="x",'Symptomen (alle)'!R27,0)</f>
        <v>0</v>
      </c>
      <c r="T30" s="21">
        <f>IF(T$2="x",'Symptomen (alle)'!S27,0)</f>
        <v>1</v>
      </c>
      <c r="U30" s="21">
        <f>IF(U$2="x",'Symptomen (alle)'!T27,0)</f>
        <v>0</v>
      </c>
      <c r="V30" s="21">
        <f>IF(V$2="x",'Symptomen (alle)'!U27,0)</f>
        <v>0</v>
      </c>
      <c r="W30" s="21">
        <f>IF(W$2="x",'Symptomen (alle)'!V27,0)</f>
        <v>0</v>
      </c>
      <c r="X30" s="21">
        <f>IF(X$2="x",'Symptomen (alle)'!W27,0)</f>
        <v>0</v>
      </c>
      <c r="Y30" s="21">
        <f>IF(Y$2="x",'Symptomen (alle)'!X27,0)</f>
        <v>0</v>
      </c>
      <c r="Z30" s="21">
        <f>IF(Z$2="x",'Symptomen (alle)'!Y27,0)</f>
        <v>0</v>
      </c>
      <c r="AA30" s="21">
        <f>IF(AA$2="x",'Symptomen (alle)'!Z27,0)</f>
        <v>0</v>
      </c>
      <c r="AB30" s="21">
        <f>IF(AB$2="x",'Symptomen (alle)'!AA27,0)</f>
        <v>0</v>
      </c>
      <c r="AC30" s="21">
        <f>IF(AC$2="x",'Symptomen (alle)'!AB27,0)</f>
        <v>0</v>
      </c>
      <c r="AD30" s="21">
        <f>IF(AD$2="x",'Symptomen (alle)'!AC27,0)</f>
        <v>0</v>
      </c>
      <c r="AE30" s="21">
        <f t="shared" si="11"/>
        <v>1</v>
      </c>
      <c r="AF30" s="21">
        <f>HLOOKUP($B$2,ZiekteFam!$B$1:$T$32,AG30,FALSE)</f>
        <v>0</v>
      </c>
      <c r="AG30" s="32">
        <f t="shared" si="12"/>
        <v>27</v>
      </c>
      <c r="AH30" s="32">
        <f>SUM('Symptomen (alle)'!D27:AC27)</f>
        <v>53</v>
      </c>
      <c r="AI30" s="22">
        <f>Tabel424[[#This Row],[Kolom25]]/Tabel424[[#This Row],[Kolom28]]</f>
        <v>1.8867924528301886E-2</v>
      </c>
      <c r="AJ30" s="22"/>
      <c r="AK30" s="22">
        <f>Tabel424[[#This Row],[Kolom29]]</f>
        <v>1.8867924528301886E-2</v>
      </c>
      <c r="AL30" s="36">
        <f>_xlfn.RANK.EQ(Tabel424[[#This Row],[Kolom29]],$AI$5:$AI$35)</f>
        <v>26</v>
      </c>
      <c r="AM30" s="135">
        <f>IF(E$2="x",(_xlfn.RANK.EQ(Tabel424[[#This Row],[Kolom3]],E$5:E$35)),0)</f>
        <v>0</v>
      </c>
      <c r="AN30" s="135">
        <f>Tabel424[[#This Row],[Kolom2911]]*AM$2</f>
        <v>0</v>
      </c>
      <c r="AO30" s="135">
        <f>IF(F$2="x",(_xlfn.RANK.EQ(Tabel424[[#This Row],[Kolom4]],F$5:F$35)),0)</f>
        <v>0</v>
      </c>
      <c r="AP30" s="135">
        <f>Tabel424[[#This Row],[Kolom29112]]*AO$2</f>
        <v>0</v>
      </c>
      <c r="AQ30" s="135">
        <f>IF(G$2="x",(_xlfn.RANK.EQ(Tabel424[[#This Row],[Kolom5]],G$5:G$35)),0)</f>
        <v>0</v>
      </c>
      <c r="AR30" s="135">
        <f>Tabel424[[#This Row],[Kolom29113]]*AQ$2</f>
        <v>0</v>
      </c>
      <c r="AS30" s="135">
        <f>IF(H$2="x",(_xlfn.RANK.EQ(Tabel424[[#This Row],[Kolom6]],H$5:H$35)),0)</f>
        <v>0</v>
      </c>
      <c r="AT30" s="135">
        <f>Tabel424[[#This Row],[Kolom29114]]*AS$2</f>
        <v>0</v>
      </c>
      <c r="AU30" s="135">
        <f>IF(I$2="x",(_xlfn.RANK.EQ(Tabel424[[#This Row],[Kolom62]],I$5:I$35)),0)</f>
        <v>0</v>
      </c>
      <c r="AV30" s="135">
        <f>Tabel424[[#This Row],[Kolom29115]]*AU$2</f>
        <v>0</v>
      </c>
      <c r="AW30" s="135">
        <f>IF(J$2="x",(_xlfn.RANK.EQ(Tabel424[[#This Row],[Kolom7]],J$5:J$35)),0)</f>
        <v>23</v>
      </c>
      <c r="AX30" s="135">
        <f>Tabel424[[#This Row],[Kolom29116]]*AW$2</f>
        <v>115</v>
      </c>
      <c r="AY30" s="135">
        <f>IF(K$2="x",(_xlfn.RANK.EQ(Tabel424[[#This Row],[Kolom72]],K$5:K$35)),0)</f>
        <v>0</v>
      </c>
      <c r="AZ30" s="135">
        <f>Tabel424[[#This Row],[Kolom29117]]*AY$2</f>
        <v>0</v>
      </c>
      <c r="BA30" s="135">
        <f>IF(L$2="x",(_xlfn.RANK.EQ(Tabel424[[#This Row],[Kolom8]],L$5:L$35)),0)</f>
        <v>0</v>
      </c>
      <c r="BB30" s="135">
        <f>Tabel424[[#This Row],[Kolom29118]]*BA$2</f>
        <v>0</v>
      </c>
      <c r="BC30" s="135">
        <f>IF(M$2="x",(_xlfn.RANK.EQ(Tabel424[[#This Row],[Kolom9]],M$5:M$35)),0)</f>
        <v>0</v>
      </c>
      <c r="BD30" s="135">
        <f>Tabel424[[#This Row],[Kolom29119]]*BC$2</f>
        <v>0</v>
      </c>
      <c r="BE30" s="135">
        <f>IF(N$2="x",(_xlfn.RANK.EQ(Tabel424[[#This Row],[Kolom10]],N$5:N$35)),0)</f>
        <v>0</v>
      </c>
      <c r="BF30" s="135">
        <f>Tabel424[[#This Row],[Kolom29120]]*BE$2</f>
        <v>0</v>
      </c>
      <c r="BG30" s="135">
        <f>IF(O$2="x",(_xlfn.RANK.EQ(Tabel424[[#This Row],[Kolom11]],O$5:O$35)),0)</f>
        <v>0</v>
      </c>
      <c r="BH30" s="135">
        <f>Tabel424[[#This Row],[Kolom29121]]*BG$2</f>
        <v>0</v>
      </c>
      <c r="BI30" s="135">
        <f>IF(P$2="x",(_xlfn.RANK.EQ(Tabel424[[#This Row],[Kolom12]],P$5:P$35)),0)</f>
        <v>0</v>
      </c>
      <c r="BJ30" s="135">
        <f>Tabel424[[#This Row],[Kolom29122]]*BI$2</f>
        <v>0</v>
      </c>
      <c r="BK30" s="135">
        <f>IF(Q$2="x",(_xlfn.RANK.EQ(Tabel424[[#This Row],[Kolom13]],Q$5:Q$35)),0)</f>
        <v>0</v>
      </c>
      <c r="BL30" s="135">
        <f>Tabel424[[#This Row],[Kolom29123]]*BK$2</f>
        <v>0</v>
      </c>
      <c r="BM30" s="135">
        <f>IF(R$2="x",(_xlfn.RANK.EQ(Tabel424[[#This Row],[Kolom133]],R$5:R$35)),0)</f>
        <v>0</v>
      </c>
      <c r="BN30" s="135">
        <f>Tabel424[[#This Row],[Kolom29124]]*BM$2</f>
        <v>0</v>
      </c>
      <c r="BO30" s="135">
        <f>IF(S$2="x",(_xlfn.RANK.EQ(Tabel424[[#This Row],[Kolom132]],S$5:S$35)),0)</f>
        <v>0</v>
      </c>
      <c r="BP30" s="135">
        <f>Tabel424[[#This Row],[Kolom29125]]*BO$2</f>
        <v>0</v>
      </c>
      <c r="BQ30" s="135">
        <f>IF(T$2="x",(_xlfn.RANK.EQ(Tabel424[[#This Row],[Kolom14]],T$5:T$35)),0)</f>
        <v>4</v>
      </c>
      <c r="BR30" s="135">
        <f>Tabel424[[#This Row],[Kolom29126]]*BQ$2</f>
        <v>20</v>
      </c>
      <c r="BS30" s="135">
        <f>IF(U$2="x",(_xlfn.RANK.EQ(Tabel424[[#This Row],[Kolom16]],U$5:U$35)),0)</f>
        <v>0</v>
      </c>
      <c r="BT30" s="135">
        <f>Tabel424[[#This Row],[Kolom29127]]*BS$2</f>
        <v>0</v>
      </c>
      <c r="BU30" s="135">
        <f>IF(V$2="x",(_xlfn.RANK.EQ(Tabel424[[#This Row],[Kolom173]],V$5:V$35)),0)</f>
        <v>0</v>
      </c>
      <c r="BV30" s="135">
        <f>Tabel424[[#This Row],[Kolom29128]]*BU$2</f>
        <v>0</v>
      </c>
      <c r="BW30" s="135">
        <f>IF(W$2="x",(_xlfn.RANK.EQ(Tabel424[[#This Row],[Kolom172]],W$5:W$35)),0)</f>
        <v>14</v>
      </c>
      <c r="BX30" s="135">
        <f>Tabel424[[#This Row],[Kolom29129]]*BW$2</f>
        <v>14</v>
      </c>
      <c r="BY30" s="135">
        <f>IF(X$2="x",(_xlfn.RANK.EQ(Tabel424[[#This Row],[Kolom18]],X$5:X$35)),0)</f>
        <v>0</v>
      </c>
      <c r="BZ30" s="135">
        <f>Tabel424[[#This Row],[Kolom29130]]*BY$2</f>
        <v>0</v>
      </c>
      <c r="CA30" s="135">
        <f>IF(Y$2="x",(_xlfn.RANK.EQ(Tabel424[[#This Row],[Kolom19]],Y$5:Y$35)),0)</f>
        <v>11</v>
      </c>
      <c r="CB30" s="135">
        <f>Tabel424[[#This Row],[Kolom29131]]*CA$2</f>
        <v>11</v>
      </c>
      <c r="CC30" s="135">
        <f>IF(Z$2="x",(_xlfn.RANK.EQ(Tabel424[[#This Row],[Kolom20]],Z$5:Z$35)),0)</f>
        <v>0</v>
      </c>
      <c r="CD30" s="135">
        <f>Tabel424[[#This Row],[Kolom29132]]*CC$2</f>
        <v>0</v>
      </c>
      <c r="CE30" s="135">
        <f>IF(AA$2="x",(_xlfn.RANK.EQ(Tabel424[[#This Row],[Kolom21]],AA$5:AA$35)),0)</f>
        <v>0</v>
      </c>
      <c r="CF30" s="135">
        <f>Tabel424[[#This Row],[Kolom29133]]*CE$2</f>
        <v>0</v>
      </c>
      <c r="CG30" s="135">
        <f>IF(AB$2="x",(_xlfn.RANK.EQ(Tabel424[[#This Row],[Kolom22]],AB$5:AB$35)),0)</f>
        <v>0</v>
      </c>
      <c r="CH30" s="135">
        <f>Tabel424[[#This Row],[Kolom29134]]*CG$2</f>
        <v>0</v>
      </c>
      <c r="CI30" s="135">
        <f>IF(AC$2="x",(_xlfn.RANK.EQ(Tabel424[[#This Row],[Kolom223]],AC$5:AC$35)),0)</f>
        <v>0</v>
      </c>
      <c r="CJ30" s="135">
        <f>Tabel424[[#This Row],[Kolom29135]]*CI$2</f>
        <v>0</v>
      </c>
      <c r="CK30" s="135">
        <f>IF(AD$2="x",(_xlfn.RANK.EQ(Tabel424[[#This Row],[Kolom222]],AD$5:AD$35)),0)</f>
        <v>0</v>
      </c>
      <c r="CL30" s="135">
        <f>Tabel424[[#This Row],[Kolom29136]]*CK$2</f>
        <v>0</v>
      </c>
      <c r="CM30" s="135">
        <f t="shared" si="13"/>
        <v>4</v>
      </c>
      <c r="CN30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Row],[Kolom29130]]+CA30+Tabel424[[#This Row],[Kolom29132]]+Tabel424[[#This Row],[Kolom29133]]+Tabel424[[#This Row],[Kolom29134]]+Tabel424[[#This Row],[Kolom29135]]+Tabel424[[#This Row],[Kolom29136]])/Tabel424[[#This Row],[Kolom29137]]</f>
        <v>13</v>
      </c>
      <c r="CO30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Row],[Kolom291302]]+CB30+Tabel424[[#This Row],[Kolom291322]]+Tabel424[[#This Row],[Kolom291332]]+Tabel424[[#This Row],[Kolom291342]]+Tabel424[[#This Row],[Kolom291352]]+Tabel424[[#This Row],[Kolom291362]])/Tabel424[[#This Row],[Kolom29137]]</f>
        <v>40</v>
      </c>
      <c r="CP30" s="142">
        <f>_xlfn.RANK.EQ(Tabel424[[#This Row],[Kolom29138]],CN$5:CN$35,1)</f>
        <v>26</v>
      </c>
      <c r="CQ30" s="142">
        <f>_xlfn.RANK.EQ(Tabel424[[#This Row],[Kolom291382]],CO$5:CO$35,1)</f>
        <v>24</v>
      </c>
    </row>
    <row r="31" spans="1:95">
      <c r="B31" s="21" t="str">
        <f>'Symptomen (alle)'!A28</f>
        <v>Goldfish Herpes Virus=coldwater</v>
      </c>
      <c r="C31" s="77">
        <f>'Symptomen (alle)'!B28</f>
        <v>0</v>
      </c>
      <c r="D31" s="21">
        <f>IF(D$2="x",'Symptomen (alle)'!C28,0)</f>
        <v>0</v>
      </c>
      <c r="E31" s="21">
        <f>IF(E$2="x",'Symptomen (alle)'!D28,0)</f>
        <v>0</v>
      </c>
      <c r="F31" s="21">
        <f>IF(F$2="x",'Symptomen (alle)'!E28,0)</f>
        <v>0</v>
      </c>
      <c r="G31" s="21">
        <f>IF(G$2="x",'Symptomen (alle)'!F28,0)</f>
        <v>0</v>
      </c>
      <c r="H31" s="21">
        <f>IF(H$2="x",'Symptomen (alle)'!G28,0)</f>
        <v>0</v>
      </c>
      <c r="I31" s="21">
        <f>IF(I$2="x",'Symptomen (alle)'!H28,0)</f>
        <v>0</v>
      </c>
      <c r="J31" s="21">
        <f>IF(J$2="x",'Symptomen (alle)'!I28,0)</f>
        <v>0</v>
      </c>
      <c r="K31" s="21">
        <f>IF(K$2="x",'Symptomen (alle)'!J28,0)</f>
        <v>0</v>
      </c>
      <c r="L31" s="21">
        <f>IF(L$2="x",'Symptomen (alle)'!K28,0)</f>
        <v>0</v>
      </c>
      <c r="M31" s="21">
        <f>IF(M$2="x",'Symptomen (alle)'!L28,0)</f>
        <v>0</v>
      </c>
      <c r="N31" s="21">
        <f>IF(N$2="x",'Symptomen (alle)'!M28,0)</f>
        <v>0</v>
      </c>
      <c r="O31" s="21">
        <f>IF(O$2="x",'Symptomen (alle)'!N28,0)</f>
        <v>0</v>
      </c>
      <c r="P31" s="21">
        <f>IF(P$2="x",'Symptomen (alle)'!O28,0)</f>
        <v>0</v>
      </c>
      <c r="Q31" s="21">
        <f>IF(Q$2="x",'Symptomen (alle)'!P28,0)</f>
        <v>0</v>
      </c>
      <c r="R31" s="21">
        <f>IF(R$2="x",'Symptomen (alle)'!Q28,0)</f>
        <v>0</v>
      </c>
      <c r="S31" s="21">
        <f>IF(S$2="x",'Symptomen (alle)'!R28,0)</f>
        <v>0</v>
      </c>
      <c r="T31" s="21">
        <f>IF(T$2="x",'Symptomen (alle)'!S28,0)</f>
        <v>0</v>
      </c>
      <c r="U31" s="21">
        <f>IF(U$2="x",'Symptomen (alle)'!T28,0)</f>
        <v>0</v>
      </c>
      <c r="V31" s="21">
        <f>IF(V$2="x",'Symptomen (alle)'!U28,0)</f>
        <v>0</v>
      </c>
      <c r="W31" s="21">
        <f>IF(W$2="x",'Symptomen (alle)'!V28,0)</f>
        <v>0</v>
      </c>
      <c r="X31" s="21">
        <f>IF(X$2="x",'Symptomen (alle)'!W28,0)</f>
        <v>0</v>
      </c>
      <c r="Y31" s="21">
        <f>IF(Y$2="x",'Symptomen (alle)'!X28,0)</f>
        <v>0</v>
      </c>
      <c r="Z31" s="21">
        <f>IF(Z$2="x",'Symptomen (alle)'!Y28,0)</f>
        <v>0</v>
      </c>
      <c r="AA31" s="21">
        <f>IF(AA$2="x",'Symptomen (alle)'!Z28,0)</f>
        <v>0</v>
      </c>
      <c r="AB31" s="21">
        <f>IF(AB$2="x",'Symptomen (alle)'!AA28,0)</f>
        <v>0</v>
      </c>
      <c r="AC31" s="21">
        <f>IF(AC$2="x",'Symptomen (alle)'!AB28,0)</f>
        <v>0</v>
      </c>
      <c r="AD31" s="21">
        <f>IF(AD$2="x",'Symptomen (alle)'!AC28,0)</f>
        <v>0</v>
      </c>
      <c r="AE31" s="21">
        <f t="shared" si="11"/>
        <v>0</v>
      </c>
      <c r="AF31" s="21">
        <f>HLOOKUP($B$2,ZiekteFam!$B$1:$T$32,AG31,FALSE)</f>
        <v>0</v>
      </c>
      <c r="AG31" s="32">
        <f t="shared" si="12"/>
        <v>28</v>
      </c>
      <c r="AH31" s="32">
        <f>SUM('Symptomen (alle)'!D28:AC28)</f>
        <v>34</v>
      </c>
      <c r="AI31" s="22">
        <f>Tabel424[[#This Row],[Kolom25]]/Tabel424[[#This Row],[Kolom28]]</f>
        <v>0</v>
      </c>
      <c r="AJ31" s="22"/>
      <c r="AK31" s="22">
        <f>Tabel424[[#This Row],[Kolom29]]</f>
        <v>0</v>
      </c>
      <c r="AL31" s="36">
        <f>_xlfn.RANK.EQ(Tabel424[[#This Row],[Kolom29]],$AI$5:$AI$35)</f>
        <v>27</v>
      </c>
      <c r="AM31" s="135">
        <f>IF(E$2="x",(_xlfn.RANK.EQ(Tabel424[[#This Row],[Kolom3]],E$5:E$35)),0)</f>
        <v>0</v>
      </c>
      <c r="AN31" s="135">
        <f>Tabel424[[#This Row],[Kolom2911]]*AM$2</f>
        <v>0</v>
      </c>
      <c r="AO31" s="135">
        <f>IF(F$2="x",(_xlfn.RANK.EQ(Tabel424[[#This Row],[Kolom4]],F$5:F$35)),0)</f>
        <v>0</v>
      </c>
      <c r="AP31" s="135">
        <f>Tabel424[[#This Row],[Kolom29112]]*AO$2</f>
        <v>0</v>
      </c>
      <c r="AQ31" s="135">
        <f>IF(G$2="x",(_xlfn.RANK.EQ(Tabel424[[#This Row],[Kolom5]],G$5:G$35)),0)</f>
        <v>0</v>
      </c>
      <c r="AR31" s="135">
        <f>Tabel424[[#This Row],[Kolom29113]]*AQ$2</f>
        <v>0</v>
      </c>
      <c r="AS31" s="135">
        <f>IF(H$2="x",(_xlfn.RANK.EQ(Tabel424[[#This Row],[Kolom6]],H$5:H$35)),0)</f>
        <v>0</v>
      </c>
      <c r="AT31" s="135">
        <f>Tabel424[[#This Row],[Kolom29114]]*AS$2</f>
        <v>0</v>
      </c>
      <c r="AU31" s="135">
        <f>IF(I$2="x",(_xlfn.RANK.EQ(Tabel424[[#This Row],[Kolom62]],I$5:I$35)),0)</f>
        <v>0</v>
      </c>
      <c r="AV31" s="135">
        <f>Tabel424[[#This Row],[Kolom29115]]*AU$2</f>
        <v>0</v>
      </c>
      <c r="AW31" s="135">
        <f>IF(J$2="x",(_xlfn.RANK.EQ(Tabel424[[#This Row],[Kolom7]],J$5:J$35)),0)</f>
        <v>23</v>
      </c>
      <c r="AX31" s="135">
        <f>Tabel424[[#This Row],[Kolom29116]]*AW$2</f>
        <v>115</v>
      </c>
      <c r="AY31" s="135">
        <f>IF(K$2="x",(_xlfn.RANK.EQ(Tabel424[[#This Row],[Kolom72]],K$5:K$35)),0)</f>
        <v>0</v>
      </c>
      <c r="AZ31" s="135">
        <f>Tabel424[[#This Row],[Kolom29117]]*AY$2</f>
        <v>0</v>
      </c>
      <c r="BA31" s="135">
        <f>IF(L$2="x",(_xlfn.RANK.EQ(Tabel424[[#This Row],[Kolom8]],L$5:L$35)),0)</f>
        <v>0</v>
      </c>
      <c r="BB31" s="135">
        <f>Tabel424[[#This Row],[Kolom29118]]*BA$2</f>
        <v>0</v>
      </c>
      <c r="BC31" s="135">
        <f>IF(M$2="x",(_xlfn.RANK.EQ(Tabel424[[#This Row],[Kolom9]],M$5:M$35)),0)</f>
        <v>0</v>
      </c>
      <c r="BD31" s="135">
        <f>Tabel424[[#This Row],[Kolom29119]]*BC$2</f>
        <v>0</v>
      </c>
      <c r="BE31" s="135">
        <f>IF(N$2="x",(_xlfn.RANK.EQ(Tabel424[[#This Row],[Kolom10]],N$5:N$35)),0)</f>
        <v>0</v>
      </c>
      <c r="BF31" s="135">
        <f>Tabel424[[#This Row],[Kolom29120]]*BE$2</f>
        <v>0</v>
      </c>
      <c r="BG31" s="135">
        <f>IF(O$2="x",(_xlfn.RANK.EQ(Tabel424[[#This Row],[Kolom11]],O$5:O$35)),0)</f>
        <v>0</v>
      </c>
      <c r="BH31" s="135">
        <f>Tabel424[[#This Row],[Kolom29121]]*BG$2</f>
        <v>0</v>
      </c>
      <c r="BI31" s="135">
        <f>IF(P$2="x",(_xlfn.RANK.EQ(Tabel424[[#This Row],[Kolom12]],P$5:P$35)),0)</f>
        <v>0</v>
      </c>
      <c r="BJ31" s="135">
        <f>Tabel424[[#This Row],[Kolom29122]]*BI$2</f>
        <v>0</v>
      </c>
      <c r="BK31" s="135">
        <f>IF(Q$2="x",(_xlfn.RANK.EQ(Tabel424[[#This Row],[Kolom13]],Q$5:Q$35)),0)</f>
        <v>0</v>
      </c>
      <c r="BL31" s="135">
        <f>Tabel424[[#This Row],[Kolom29123]]*BK$2</f>
        <v>0</v>
      </c>
      <c r="BM31" s="135">
        <f>IF(R$2="x",(_xlfn.RANK.EQ(Tabel424[[#This Row],[Kolom133]],R$5:R$35)),0)</f>
        <v>0</v>
      </c>
      <c r="BN31" s="135">
        <f>Tabel424[[#This Row],[Kolom29124]]*BM$2</f>
        <v>0</v>
      </c>
      <c r="BO31" s="135">
        <f>IF(S$2="x",(_xlfn.RANK.EQ(Tabel424[[#This Row],[Kolom132]],S$5:S$35)),0)</f>
        <v>0</v>
      </c>
      <c r="BP31" s="135">
        <f>Tabel424[[#This Row],[Kolom29125]]*BO$2</f>
        <v>0</v>
      </c>
      <c r="BQ31" s="135">
        <f>IF(T$2="x",(_xlfn.RANK.EQ(Tabel424[[#This Row],[Kolom14]],T$5:T$35)),0)</f>
        <v>8</v>
      </c>
      <c r="BR31" s="135">
        <f>Tabel424[[#This Row],[Kolom29126]]*BQ$2</f>
        <v>40</v>
      </c>
      <c r="BS31" s="135">
        <f>IF(U$2="x",(_xlfn.RANK.EQ(Tabel424[[#This Row],[Kolom16]],U$5:U$35)),0)</f>
        <v>0</v>
      </c>
      <c r="BT31" s="135">
        <f>Tabel424[[#This Row],[Kolom29127]]*BS$2</f>
        <v>0</v>
      </c>
      <c r="BU31" s="135">
        <f>IF(V$2="x",(_xlfn.RANK.EQ(Tabel424[[#This Row],[Kolom173]],V$5:V$35)),0)</f>
        <v>0</v>
      </c>
      <c r="BV31" s="135">
        <f>Tabel424[[#This Row],[Kolom29128]]*BU$2</f>
        <v>0</v>
      </c>
      <c r="BW31" s="135">
        <f>IF(W$2="x",(_xlfn.RANK.EQ(Tabel424[[#This Row],[Kolom172]],W$5:W$35)),0)</f>
        <v>14</v>
      </c>
      <c r="BX31" s="135">
        <f>Tabel424[[#This Row],[Kolom29129]]*BW$2</f>
        <v>14</v>
      </c>
      <c r="BY31" s="135">
        <f>IF(X$2="x",(_xlfn.RANK.EQ(Tabel424[[#This Row],[Kolom18]],X$5:X$35)),0)</f>
        <v>0</v>
      </c>
      <c r="BZ31" s="135">
        <f>Tabel424[[#This Row],[Kolom29130]]*BY$2</f>
        <v>0</v>
      </c>
      <c r="CA31" s="135">
        <f>IF(Y$2="x",(_xlfn.RANK.EQ(Tabel424[[#This Row],[Kolom19]],Y$5:Y$35)),0)</f>
        <v>11</v>
      </c>
      <c r="CB31" s="135">
        <f>Tabel424[[#This Row],[Kolom29131]]*CA$2</f>
        <v>11</v>
      </c>
      <c r="CC31" s="135">
        <f>IF(Z$2="x",(_xlfn.RANK.EQ(Tabel424[[#This Row],[Kolom20]],Z$5:Z$35)),0)</f>
        <v>0</v>
      </c>
      <c r="CD31" s="135">
        <f>Tabel424[[#This Row],[Kolom29132]]*CC$2</f>
        <v>0</v>
      </c>
      <c r="CE31" s="135">
        <f>IF(AA$2="x",(_xlfn.RANK.EQ(Tabel424[[#This Row],[Kolom21]],AA$5:AA$35)),0)</f>
        <v>0</v>
      </c>
      <c r="CF31" s="135">
        <f>Tabel424[[#This Row],[Kolom29133]]*CE$2</f>
        <v>0</v>
      </c>
      <c r="CG31" s="135">
        <f>IF(AB$2="x",(_xlfn.RANK.EQ(Tabel424[[#This Row],[Kolom22]],AB$5:AB$35)),0)</f>
        <v>0</v>
      </c>
      <c r="CH31" s="135">
        <f>Tabel424[[#This Row],[Kolom29134]]*CG$2</f>
        <v>0</v>
      </c>
      <c r="CI31" s="135">
        <f>IF(AC$2="x",(_xlfn.RANK.EQ(Tabel424[[#This Row],[Kolom223]],AC$5:AC$35)),0)</f>
        <v>0</v>
      </c>
      <c r="CJ31" s="135">
        <f>Tabel424[[#This Row],[Kolom29135]]*CI$2</f>
        <v>0</v>
      </c>
      <c r="CK31" s="135">
        <f>IF(AD$2="x",(_xlfn.RANK.EQ(Tabel424[[#This Row],[Kolom222]],AD$5:AD$35)),0)</f>
        <v>0</v>
      </c>
      <c r="CL31" s="135">
        <f>Tabel424[[#This Row],[Kolom29136]]*CK$2</f>
        <v>0</v>
      </c>
      <c r="CM31" s="135">
        <f t="shared" si="13"/>
        <v>4</v>
      </c>
      <c r="CN31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Row],[Kolom29130]]+CA31+Tabel424[[#This Row],[Kolom29132]]+Tabel424[[#This Row],[Kolom29133]]+Tabel424[[#This Row],[Kolom29134]]+Tabel424[[#This Row],[Kolom29135]]+Tabel424[[#This Row],[Kolom29136]])/Tabel424[[#This Row],[Kolom29137]]</f>
        <v>14</v>
      </c>
      <c r="CO31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Row],[Kolom291302]]+CB31+Tabel424[[#This Row],[Kolom291322]]+Tabel424[[#This Row],[Kolom291332]]+Tabel424[[#This Row],[Kolom291342]]+Tabel424[[#This Row],[Kolom291352]]+Tabel424[[#This Row],[Kolom291362]])/Tabel424[[#This Row],[Kolom29137]]</f>
        <v>45</v>
      </c>
      <c r="CP31" s="142">
        <f>_xlfn.RANK.EQ(Tabel424[[#This Row],[Kolom29138]],CN$5:CN$35,1)</f>
        <v>27</v>
      </c>
      <c r="CQ31" s="142">
        <f>_xlfn.RANK.EQ(Tabel424[[#This Row],[Kolom291382]],CO$5:CO$35,1)</f>
        <v>27</v>
      </c>
    </row>
    <row r="32" spans="1:95">
      <c r="B32" s="21" t="str">
        <f>'Symptomen (alle)'!A29</f>
        <v>Carp Pox Virus (Carp Herpes)= coldwater</v>
      </c>
      <c r="C32" s="77">
        <f>'Symptomen (alle)'!B29</f>
        <v>0</v>
      </c>
      <c r="D32" s="21">
        <f>IF(D$2="x",'Symptomen (alle)'!C29,0)</f>
        <v>0</v>
      </c>
      <c r="E32" s="21">
        <f>IF(E$2="x",'Symptomen (alle)'!D29,0)</f>
        <v>0</v>
      </c>
      <c r="F32" s="21">
        <f>IF(F$2="x",'Symptomen (alle)'!E29,0)</f>
        <v>0</v>
      </c>
      <c r="G32" s="21">
        <f>IF(G$2="x",'Symptomen (alle)'!F29,0)</f>
        <v>0</v>
      </c>
      <c r="H32" s="21">
        <f>IF(H$2="x",'Symptomen (alle)'!G29,0)</f>
        <v>0</v>
      </c>
      <c r="I32" s="21">
        <f>IF(I$2="x",'Symptomen (alle)'!H29,0)</f>
        <v>0</v>
      </c>
      <c r="J32" s="21">
        <f>IF(J$2="x",'Symptomen (alle)'!I29,0)</f>
        <v>10</v>
      </c>
      <c r="K32" s="21">
        <f>IF(K$2="x",'Symptomen (alle)'!J29,0)</f>
        <v>0</v>
      </c>
      <c r="L32" s="21">
        <f>IF(L$2="x",'Symptomen (alle)'!K29,0)</f>
        <v>0</v>
      </c>
      <c r="M32" s="21">
        <f>IF(M$2="x",'Symptomen (alle)'!L29,0)</f>
        <v>0</v>
      </c>
      <c r="N32" s="21">
        <f>IF(N$2="x",'Symptomen (alle)'!M29,0)</f>
        <v>0</v>
      </c>
      <c r="O32" s="21">
        <f>IF(O$2="x",'Symptomen (alle)'!N29,0)</f>
        <v>0</v>
      </c>
      <c r="P32" s="21">
        <f>IF(P$2="x",'Symptomen (alle)'!O29,0)</f>
        <v>0</v>
      </c>
      <c r="Q32" s="21">
        <f>IF(Q$2="x",'Symptomen (alle)'!P29,0)</f>
        <v>0</v>
      </c>
      <c r="R32" s="21">
        <f>IF(R$2="x",'Symptomen (alle)'!Q29,0)</f>
        <v>0</v>
      </c>
      <c r="S32" s="21">
        <f>IF(S$2="x",'Symptomen (alle)'!R29,0)</f>
        <v>0</v>
      </c>
      <c r="T32" s="21">
        <f>IF(T$2="x",'Symptomen (alle)'!S29,0)</f>
        <v>0</v>
      </c>
      <c r="U32" s="21">
        <f>IF(U$2="x",'Symptomen (alle)'!T29,0)</f>
        <v>0</v>
      </c>
      <c r="V32" s="21">
        <f>IF(V$2="x",'Symptomen (alle)'!U29,0)</f>
        <v>0</v>
      </c>
      <c r="W32" s="21">
        <f>IF(W$2="x",'Symptomen (alle)'!V29,0)</f>
        <v>0</v>
      </c>
      <c r="X32" s="21">
        <f>IF(X$2="x",'Symptomen (alle)'!W29,0)</f>
        <v>0</v>
      </c>
      <c r="Y32" s="21">
        <f>IF(Y$2="x",'Symptomen (alle)'!X29,0)</f>
        <v>3</v>
      </c>
      <c r="Z32" s="21">
        <f>IF(Z$2="x",'Symptomen (alle)'!Y29,0)</f>
        <v>0</v>
      </c>
      <c r="AA32" s="21">
        <f>IF(AA$2="x",'Symptomen (alle)'!Z29,0)</f>
        <v>0</v>
      </c>
      <c r="AB32" s="21">
        <f>IF(AB$2="x",'Symptomen (alle)'!AA29,0)</f>
        <v>0</v>
      </c>
      <c r="AC32" s="21">
        <f>IF(AC$2="x",'Symptomen (alle)'!AB29,0)</f>
        <v>0</v>
      </c>
      <c r="AD32" s="21">
        <f>IF(AD$2="x",'Symptomen (alle)'!AC29,0)</f>
        <v>0</v>
      </c>
      <c r="AE32" s="21">
        <f t="shared" ref="AE32" si="14">SUM(E32:AD32)</f>
        <v>13</v>
      </c>
      <c r="AF32" s="21">
        <f>HLOOKUP($B$2,ZiekteFam!$B$1:$T$32,AG32,FALSE)</f>
        <v>0</v>
      </c>
      <c r="AG32" s="32">
        <f t="shared" ref="AG32" si="15">ROW(AF32)-3</f>
        <v>29</v>
      </c>
      <c r="AH32" s="32">
        <f>SUM('Symptomen (alle)'!D29:AC29)</f>
        <v>34</v>
      </c>
      <c r="AI32" s="22">
        <f>Tabel424[[#This Row],[Kolom25]]/Tabel424[[#This Row],[Kolom28]]</f>
        <v>0.38235294117647056</v>
      </c>
      <c r="AJ32" s="22"/>
      <c r="AK32" s="22">
        <f>Tabel424[[#This Row],[Kolom29]]</f>
        <v>0.38235294117647056</v>
      </c>
      <c r="AL32" s="36">
        <f>_xlfn.RANK.EQ(Tabel424[[#This Row],[Kolom29]],$AI$5:$AI$35)</f>
        <v>4</v>
      </c>
      <c r="AM32" s="135">
        <f>IF(E$2="x",(_xlfn.RANK.EQ(Tabel424[[#This Row],[Kolom3]],E$5:E$35)),0)</f>
        <v>0</v>
      </c>
      <c r="AN32" s="135">
        <f>Tabel424[[#This Row],[Kolom2911]]*AM$2</f>
        <v>0</v>
      </c>
      <c r="AO32" s="135">
        <f>IF(F$2="x",(_xlfn.RANK.EQ(Tabel424[[#This Row],[Kolom4]],F$5:F$35)),0)</f>
        <v>0</v>
      </c>
      <c r="AP32" s="135">
        <f>Tabel424[[#This Row],[Kolom29112]]*AO$2</f>
        <v>0</v>
      </c>
      <c r="AQ32" s="135">
        <f>IF(G$2="x",(_xlfn.RANK.EQ(Tabel424[[#This Row],[Kolom5]],G$5:G$35)),0)</f>
        <v>0</v>
      </c>
      <c r="AR32" s="135">
        <f>Tabel424[[#This Row],[Kolom29113]]*AQ$2</f>
        <v>0</v>
      </c>
      <c r="AS32" s="135">
        <f>IF(H$2="x",(_xlfn.RANK.EQ(Tabel424[[#This Row],[Kolom6]],H$5:H$35)),0)</f>
        <v>0</v>
      </c>
      <c r="AT32" s="135">
        <f>Tabel424[[#This Row],[Kolom29114]]*AS$2</f>
        <v>0</v>
      </c>
      <c r="AU32" s="135">
        <f>IF(I$2="x",(_xlfn.RANK.EQ(Tabel424[[#This Row],[Kolom62]],I$5:I$35)),0)</f>
        <v>0</v>
      </c>
      <c r="AV32" s="135">
        <f>Tabel424[[#This Row],[Kolom29115]]*AU$2</f>
        <v>0</v>
      </c>
      <c r="AW32" s="135">
        <f>IF(J$2="x",(_xlfn.RANK.EQ(Tabel424[[#This Row],[Kolom7]],J$5:J$35)),0)</f>
        <v>1</v>
      </c>
      <c r="AX32" s="135">
        <f>Tabel424[[#This Row],[Kolom29116]]*AW$2</f>
        <v>5</v>
      </c>
      <c r="AY32" s="135">
        <f>IF(K$2="x",(_xlfn.RANK.EQ(Tabel424[[#This Row],[Kolom72]],K$5:K$35)),0)</f>
        <v>0</v>
      </c>
      <c r="AZ32" s="135">
        <f>Tabel424[[#This Row],[Kolom29117]]*AY$2</f>
        <v>0</v>
      </c>
      <c r="BA32" s="135">
        <f>IF(L$2="x",(_xlfn.RANK.EQ(Tabel424[[#This Row],[Kolom8]],L$5:L$35)),0)</f>
        <v>0</v>
      </c>
      <c r="BB32" s="135">
        <f>Tabel424[[#This Row],[Kolom29118]]*BA$2</f>
        <v>0</v>
      </c>
      <c r="BC32" s="135">
        <f>IF(M$2="x",(_xlfn.RANK.EQ(Tabel424[[#This Row],[Kolom9]],M$5:M$35)),0)</f>
        <v>0</v>
      </c>
      <c r="BD32" s="135">
        <f>Tabel424[[#This Row],[Kolom29119]]*BC$2</f>
        <v>0</v>
      </c>
      <c r="BE32" s="135">
        <f>IF(N$2="x",(_xlfn.RANK.EQ(Tabel424[[#This Row],[Kolom10]],N$5:N$35)),0)</f>
        <v>0</v>
      </c>
      <c r="BF32" s="135">
        <f>Tabel424[[#This Row],[Kolom29120]]*BE$2</f>
        <v>0</v>
      </c>
      <c r="BG32" s="135">
        <f>IF(O$2="x",(_xlfn.RANK.EQ(Tabel424[[#This Row],[Kolom11]],O$5:O$35)),0)</f>
        <v>0</v>
      </c>
      <c r="BH32" s="135">
        <f>Tabel424[[#This Row],[Kolom29121]]*BG$2</f>
        <v>0</v>
      </c>
      <c r="BI32" s="135">
        <f>IF(P$2="x",(_xlfn.RANK.EQ(Tabel424[[#This Row],[Kolom12]],P$5:P$35)),0)</f>
        <v>0</v>
      </c>
      <c r="BJ32" s="135">
        <f>Tabel424[[#This Row],[Kolom29122]]*BI$2</f>
        <v>0</v>
      </c>
      <c r="BK32" s="135">
        <f>IF(Q$2="x",(_xlfn.RANK.EQ(Tabel424[[#This Row],[Kolom13]],Q$5:Q$35)),0)</f>
        <v>0</v>
      </c>
      <c r="BL32" s="135">
        <f>Tabel424[[#This Row],[Kolom29123]]*BK$2</f>
        <v>0</v>
      </c>
      <c r="BM32" s="135">
        <f>IF(R$2="x",(_xlfn.RANK.EQ(Tabel424[[#This Row],[Kolom133]],R$5:R$35)),0)</f>
        <v>0</v>
      </c>
      <c r="BN32" s="135">
        <f>Tabel424[[#This Row],[Kolom29124]]*BM$2</f>
        <v>0</v>
      </c>
      <c r="BO32" s="135">
        <f>IF(S$2="x",(_xlfn.RANK.EQ(Tabel424[[#This Row],[Kolom132]],S$5:S$35)),0)</f>
        <v>0</v>
      </c>
      <c r="BP32" s="135">
        <f>Tabel424[[#This Row],[Kolom29125]]*BO$2</f>
        <v>0</v>
      </c>
      <c r="BQ32" s="135">
        <f>IF(T$2="x",(_xlfn.RANK.EQ(Tabel424[[#This Row],[Kolom14]],T$5:T$35)),0)</f>
        <v>8</v>
      </c>
      <c r="BR32" s="135">
        <f>Tabel424[[#This Row],[Kolom29126]]*BQ$2</f>
        <v>40</v>
      </c>
      <c r="BS32" s="135">
        <f>IF(U$2="x",(_xlfn.RANK.EQ(Tabel424[[#This Row],[Kolom16]],U$5:U$35)),0)</f>
        <v>0</v>
      </c>
      <c r="BT32" s="135">
        <f>Tabel424[[#This Row],[Kolom29127]]*BS$2</f>
        <v>0</v>
      </c>
      <c r="BU32" s="135">
        <f>IF(V$2="x",(_xlfn.RANK.EQ(Tabel424[[#This Row],[Kolom173]],V$5:V$35)),0)</f>
        <v>0</v>
      </c>
      <c r="BV32" s="135">
        <f>Tabel424[[#This Row],[Kolom29128]]*BU$2</f>
        <v>0</v>
      </c>
      <c r="BW32" s="135">
        <f>IF(W$2="x",(_xlfn.RANK.EQ(Tabel424[[#This Row],[Kolom172]],W$5:W$35)),0)</f>
        <v>14</v>
      </c>
      <c r="BX32" s="135">
        <f>Tabel424[[#This Row],[Kolom29129]]*BW$2</f>
        <v>14</v>
      </c>
      <c r="BY32" s="135">
        <f>IF(X$2="x",(_xlfn.RANK.EQ(Tabel424[[#This Row],[Kolom18]],X$5:X$35)),0)</f>
        <v>0</v>
      </c>
      <c r="BZ32" s="135">
        <f>Tabel424[[#This Row],[Kolom29130]]*BY$2</f>
        <v>0</v>
      </c>
      <c r="CA32" s="135">
        <f>IF(Y$2="x",(_xlfn.RANK.EQ(Tabel424[[#This Row],[Kolom19]],Y$5:Y$35)),0)</f>
        <v>1</v>
      </c>
      <c r="CB32" s="135">
        <f>Tabel424[[#This Row],[Kolom29131]]*CA$2</f>
        <v>1</v>
      </c>
      <c r="CC32" s="135">
        <f>IF(Z$2="x",(_xlfn.RANK.EQ(Tabel424[[#This Row],[Kolom20]],Z$5:Z$35)),0)</f>
        <v>0</v>
      </c>
      <c r="CD32" s="135">
        <f>Tabel424[[#This Row],[Kolom29132]]*CC$2</f>
        <v>0</v>
      </c>
      <c r="CE32" s="135">
        <f>IF(AA$2="x",(_xlfn.RANK.EQ(Tabel424[[#This Row],[Kolom21]],AA$5:AA$35)),0)</f>
        <v>0</v>
      </c>
      <c r="CF32" s="135">
        <f>Tabel424[[#This Row],[Kolom29133]]*CE$2</f>
        <v>0</v>
      </c>
      <c r="CG32" s="135">
        <f>IF(AB$2="x",(_xlfn.RANK.EQ(Tabel424[[#This Row],[Kolom22]],AB$5:AB$35)),0)</f>
        <v>0</v>
      </c>
      <c r="CH32" s="135">
        <f>Tabel424[[#This Row],[Kolom29134]]*CG$2</f>
        <v>0</v>
      </c>
      <c r="CI32" s="135">
        <f>IF(AC$2="x",(_xlfn.RANK.EQ(Tabel424[[#This Row],[Kolom223]],AC$5:AC$35)),0)</f>
        <v>0</v>
      </c>
      <c r="CJ32" s="135">
        <f>Tabel424[[#This Row],[Kolom29135]]*CI$2</f>
        <v>0</v>
      </c>
      <c r="CK32" s="135">
        <f>IF(AD$2="x",(_xlfn.RANK.EQ(Tabel424[[#This Row],[Kolom222]],AD$5:AD$35)),0)</f>
        <v>0</v>
      </c>
      <c r="CL32" s="135">
        <f>Tabel424[[#This Row],[Kolom29136]]*CK$2</f>
        <v>0</v>
      </c>
      <c r="CM32" s="135">
        <f t="shared" si="13"/>
        <v>4</v>
      </c>
      <c r="CN32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Row],[Kolom29130]]+CA32+Tabel424[[#This Row],[Kolom29132]]+Tabel424[[#This Row],[Kolom29133]]+Tabel424[[#This Row],[Kolom29134]]+Tabel424[[#This Row],[Kolom29135]]+Tabel424[[#This Row],[Kolom29136]])/Tabel424[[#This Row],[Kolom29137]]</f>
        <v>6</v>
      </c>
      <c r="CO32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Row],[Kolom291302]]+CB32+Tabel424[[#This Row],[Kolom291322]]+Tabel424[[#This Row],[Kolom291332]]+Tabel424[[#This Row],[Kolom291342]]+Tabel424[[#This Row],[Kolom291352]]+Tabel424[[#This Row],[Kolom291362]])/Tabel424[[#This Row],[Kolom29137]]</f>
        <v>15</v>
      </c>
      <c r="CP32" s="142">
        <f>_xlfn.RANK.EQ(Tabel424[[#This Row],[Kolom29138]],CN$5:CN$35,1)</f>
        <v>4</v>
      </c>
      <c r="CQ32" s="142">
        <f>_xlfn.RANK.EQ(Tabel424[[#This Row],[Kolom291382]],CO$5:CO$35,1)</f>
        <v>4</v>
      </c>
    </row>
    <row r="33" spans="2:95">
      <c r="B33" s="21" t="str">
        <f>'Symptomen (alle)'!A30</f>
        <v>Aggression</v>
      </c>
      <c r="C33" s="21">
        <f>'Symptomen (alle)'!B30</f>
        <v>0</v>
      </c>
      <c r="D33" s="21">
        <f>IF(D$2="x",'Symptomen (alle)'!C30,0)</f>
        <v>0</v>
      </c>
      <c r="E33" s="21">
        <f>IF(E$2="x",'Symptomen (alle)'!D30,0)</f>
        <v>0</v>
      </c>
      <c r="F33" s="21">
        <f>IF(F$2="x",'Symptomen (alle)'!E30,0)</f>
        <v>0</v>
      </c>
      <c r="G33" s="21">
        <f>IF(G$2="x",'Symptomen (alle)'!F30,0)</f>
        <v>0</v>
      </c>
      <c r="H33" s="21">
        <f>IF(H$2="x",'Symptomen (alle)'!G30,0)</f>
        <v>0</v>
      </c>
      <c r="I33" s="21">
        <f>IF(I$2="x",'Symptomen (alle)'!H30,0)</f>
        <v>0</v>
      </c>
      <c r="J33" s="21">
        <f>IF(J$2="x",'Symptomen (alle)'!I30,0)</f>
        <v>2</v>
      </c>
      <c r="K33" s="21">
        <f>IF(K$2="x",'Symptomen (alle)'!J30,0)</f>
        <v>0</v>
      </c>
      <c r="L33" s="21">
        <f>IF(L$2="x",'Symptomen (alle)'!K30,0)</f>
        <v>0</v>
      </c>
      <c r="M33" s="21">
        <f>IF(M$2="x",'Symptomen (alle)'!L30,0)</f>
        <v>0</v>
      </c>
      <c r="N33" s="21">
        <f>IF(N$2="x",'Symptomen (alle)'!M30,0)</f>
        <v>0</v>
      </c>
      <c r="O33" s="21">
        <f>IF(O$2="x",'Symptomen (alle)'!N30,0)</f>
        <v>0</v>
      </c>
      <c r="P33" s="21">
        <f>IF(P$2="x",'Symptomen (alle)'!O30,0)</f>
        <v>0</v>
      </c>
      <c r="Q33" s="21">
        <f>IF(Q$2="x",'Symptomen (alle)'!P30,0)</f>
        <v>0</v>
      </c>
      <c r="R33" s="21">
        <f>IF(R$2="x",'Symptomen (alle)'!Q30,0)</f>
        <v>0</v>
      </c>
      <c r="S33" s="21">
        <f>IF(S$2="x",'Symptomen (alle)'!R30,0)</f>
        <v>0</v>
      </c>
      <c r="T33" s="21">
        <f>IF(T$2="x",'Symptomen (alle)'!S30,0)</f>
        <v>0</v>
      </c>
      <c r="U33" s="21">
        <f>IF(U$2="x",'Symptomen (alle)'!T30,0)</f>
        <v>0</v>
      </c>
      <c r="V33" s="21">
        <f>IF(V$2="x",'Symptomen (alle)'!U30,0)</f>
        <v>0</v>
      </c>
      <c r="W33" s="21">
        <f>IF(W$2="x",'Symptomen (alle)'!V30,0)</f>
        <v>0</v>
      </c>
      <c r="X33" s="21">
        <f>IF(X$2="x",'Symptomen (alle)'!W30,0)</f>
        <v>0</v>
      </c>
      <c r="Y33" s="21">
        <f>IF(Y$2="x",'Symptomen (alle)'!X30,0)</f>
        <v>2</v>
      </c>
      <c r="Z33" s="21">
        <f>IF(Z$2="x",'Symptomen (alle)'!Y30,0)</f>
        <v>0</v>
      </c>
      <c r="AA33" s="21">
        <f>IF(AA$2="x",'Symptomen (alle)'!Z30,0)</f>
        <v>0</v>
      </c>
      <c r="AB33" s="21">
        <f>IF(AB$2="x",'Symptomen (alle)'!AA30,0)</f>
        <v>0</v>
      </c>
      <c r="AC33" s="21">
        <f>IF(AC$2="x",'Symptomen (alle)'!AB30,0)</f>
        <v>0</v>
      </c>
      <c r="AD33" s="21">
        <f>IF(AD$2="x",'Symptomen (alle)'!AC30,0)</f>
        <v>0</v>
      </c>
      <c r="AE33" s="21">
        <f t="shared" si="11"/>
        <v>4</v>
      </c>
      <c r="AF33" s="21">
        <f>HLOOKUP($B$2,ZiekteFam!$B$1:$T$32,AG33,FALSE)</f>
        <v>3</v>
      </c>
      <c r="AG33" s="32">
        <f t="shared" si="12"/>
        <v>30</v>
      </c>
      <c r="AH33" s="32">
        <f>SUM('Symptomen (alle)'!D30:AC30)</f>
        <v>30</v>
      </c>
      <c r="AI33" s="22">
        <f>Tabel424[[#This Row],[Kolom25]]/Tabel424[[#This Row],[Kolom28]]</f>
        <v>0.13333333333333333</v>
      </c>
      <c r="AJ33" s="22"/>
      <c r="AK33" s="22">
        <f>Tabel424[[#This Row],[Kolom29]]</f>
        <v>0.13333333333333333</v>
      </c>
      <c r="AL33" s="36">
        <f>_xlfn.RANK.EQ(Tabel424[[#This Row],[Kolom29]],$AI$5:$AI$35)</f>
        <v>14</v>
      </c>
      <c r="AM33" s="135">
        <f>IF(E$2="x",(_xlfn.RANK.EQ(Tabel424[[#This Row],[Kolom3]],E$5:E$35)),0)</f>
        <v>0</v>
      </c>
      <c r="AN33" s="135">
        <f>Tabel424[[#This Row],[Kolom2911]]*AM$2</f>
        <v>0</v>
      </c>
      <c r="AO33" s="135">
        <f>IF(F$2="x",(_xlfn.RANK.EQ(Tabel424[[#This Row],[Kolom4]],F$5:F$35)),0)</f>
        <v>0</v>
      </c>
      <c r="AP33" s="135">
        <f>Tabel424[[#This Row],[Kolom29112]]*AO$2</f>
        <v>0</v>
      </c>
      <c r="AQ33" s="135">
        <f>IF(G$2="x",(_xlfn.RANK.EQ(Tabel424[[#This Row],[Kolom5]],G$5:G$35)),0)</f>
        <v>0</v>
      </c>
      <c r="AR33" s="135">
        <f>Tabel424[[#This Row],[Kolom29113]]*AQ$2</f>
        <v>0</v>
      </c>
      <c r="AS33" s="135">
        <f>IF(H$2="x",(_xlfn.RANK.EQ(Tabel424[[#This Row],[Kolom6]],H$5:H$35)),0)</f>
        <v>0</v>
      </c>
      <c r="AT33" s="135">
        <f>Tabel424[[#This Row],[Kolom29114]]*AS$2</f>
        <v>0</v>
      </c>
      <c r="AU33" s="135">
        <f>IF(I$2="x",(_xlfn.RANK.EQ(Tabel424[[#This Row],[Kolom62]],I$5:I$35)),0)</f>
        <v>0</v>
      </c>
      <c r="AV33" s="135">
        <f>Tabel424[[#This Row],[Kolom29115]]*AU$2</f>
        <v>0</v>
      </c>
      <c r="AW33" s="135">
        <f>IF(J$2="x",(_xlfn.RANK.EQ(Tabel424[[#This Row],[Kolom7]],J$5:J$35)),0)</f>
        <v>7</v>
      </c>
      <c r="AX33" s="135">
        <f>Tabel424[[#This Row],[Kolom29116]]*AW$2</f>
        <v>35</v>
      </c>
      <c r="AY33" s="135">
        <f>IF(K$2="x",(_xlfn.RANK.EQ(Tabel424[[#This Row],[Kolom72]],K$5:K$35)),0)</f>
        <v>0</v>
      </c>
      <c r="AZ33" s="135">
        <f>Tabel424[[#This Row],[Kolom29117]]*AY$2</f>
        <v>0</v>
      </c>
      <c r="BA33" s="135">
        <f>IF(L$2="x",(_xlfn.RANK.EQ(Tabel424[[#This Row],[Kolom8]],L$5:L$35)),0)</f>
        <v>0</v>
      </c>
      <c r="BB33" s="135">
        <f>Tabel424[[#This Row],[Kolom29118]]*BA$2</f>
        <v>0</v>
      </c>
      <c r="BC33" s="135">
        <f>IF(M$2="x",(_xlfn.RANK.EQ(Tabel424[[#This Row],[Kolom9]],M$5:M$35)),0)</f>
        <v>0</v>
      </c>
      <c r="BD33" s="135">
        <f>Tabel424[[#This Row],[Kolom29119]]*BC$2</f>
        <v>0</v>
      </c>
      <c r="BE33" s="135">
        <f>IF(N$2="x",(_xlfn.RANK.EQ(Tabel424[[#This Row],[Kolom10]],N$5:N$35)),0)</f>
        <v>0</v>
      </c>
      <c r="BF33" s="135">
        <f>Tabel424[[#This Row],[Kolom29120]]*BE$2</f>
        <v>0</v>
      </c>
      <c r="BG33" s="135">
        <f>IF(O$2="x",(_xlfn.RANK.EQ(Tabel424[[#This Row],[Kolom11]],O$5:O$35)),0)</f>
        <v>0</v>
      </c>
      <c r="BH33" s="135">
        <f>Tabel424[[#This Row],[Kolom29121]]*BG$2</f>
        <v>0</v>
      </c>
      <c r="BI33" s="135">
        <f>IF(P$2="x",(_xlfn.RANK.EQ(Tabel424[[#This Row],[Kolom12]],P$5:P$35)),0)</f>
        <v>0</v>
      </c>
      <c r="BJ33" s="135">
        <f>Tabel424[[#This Row],[Kolom29122]]*BI$2</f>
        <v>0</v>
      </c>
      <c r="BK33" s="135">
        <f>IF(Q$2="x",(_xlfn.RANK.EQ(Tabel424[[#This Row],[Kolom13]],Q$5:Q$35)),0)</f>
        <v>0</v>
      </c>
      <c r="BL33" s="135">
        <f>Tabel424[[#This Row],[Kolom29123]]*BK$2</f>
        <v>0</v>
      </c>
      <c r="BM33" s="135">
        <f>IF(R$2="x",(_xlfn.RANK.EQ(Tabel424[[#This Row],[Kolom133]],R$5:R$35)),0)</f>
        <v>0</v>
      </c>
      <c r="BN33" s="135">
        <f>Tabel424[[#This Row],[Kolom29124]]*BM$2</f>
        <v>0</v>
      </c>
      <c r="BO33" s="135">
        <f>IF(S$2="x",(_xlfn.RANK.EQ(Tabel424[[#This Row],[Kolom132]],S$5:S$35)),0)</f>
        <v>0</v>
      </c>
      <c r="BP33" s="135">
        <f>Tabel424[[#This Row],[Kolom29125]]*BO$2</f>
        <v>0</v>
      </c>
      <c r="BQ33" s="135">
        <f>IF(T$2="x",(_xlfn.RANK.EQ(Tabel424[[#This Row],[Kolom14]],T$5:T$35)),0)</f>
        <v>8</v>
      </c>
      <c r="BR33" s="135">
        <f>Tabel424[[#This Row],[Kolom29126]]*BQ$2</f>
        <v>40</v>
      </c>
      <c r="BS33" s="135">
        <f>IF(U$2="x",(_xlfn.RANK.EQ(Tabel424[[#This Row],[Kolom16]],U$5:U$35)),0)</f>
        <v>0</v>
      </c>
      <c r="BT33" s="135">
        <f>Tabel424[[#This Row],[Kolom29127]]*BS$2</f>
        <v>0</v>
      </c>
      <c r="BU33" s="135">
        <f>IF(V$2="x",(_xlfn.RANK.EQ(Tabel424[[#This Row],[Kolom173]],V$5:V$35)),0)</f>
        <v>0</v>
      </c>
      <c r="BV33" s="135">
        <f>Tabel424[[#This Row],[Kolom29128]]*BU$2</f>
        <v>0</v>
      </c>
      <c r="BW33" s="135">
        <f>IF(W$2="x",(_xlfn.RANK.EQ(Tabel424[[#This Row],[Kolom172]],W$5:W$35)),0)</f>
        <v>14</v>
      </c>
      <c r="BX33" s="135">
        <f>Tabel424[[#This Row],[Kolom29129]]*BW$2</f>
        <v>14</v>
      </c>
      <c r="BY33" s="135">
        <f>IF(X$2="x",(_xlfn.RANK.EQ(Tabel424[[#This Row],[Kolom18]],X$5:X$35)),0)</f>
        <v>0</v>
      </c>
      <c r="BZ33" s="135">
        <f>Tabel424[[#This Row],[Kolom29130]]*BY$2</f>
        <v>0</v>
      </c>
      <c r="CA33" s="135">
        <f>IF(Y$2="x",(_xlfn.RANK.EQ(Tabel424[[#This Row],[Kolom19]],Y$5:Y$35)),0)</f>
        <v>3</v>
      </c>
      <c r="CB33" s="135">
        <f>Tabel424[[#This Row],[Kolom29131]]*CA$2</f>
        <v>3</v>
      </c>
      <c r="CC33" s="135">
        <f>IF(Z$2="x",(_xlfn.RANK.EQ(Tabel424[[#This Row],[Kolom20]],Z$5:Z$35)),0)</f>
        <v>0</v>
      </c>
      <c r="CD33" s="135">
        <f>Tabel424[[#This Row],[Kolom29132]]*CC$2</f>
        <v>0</v>
      </c>
      <c r="CE33" s="135">
        <f>IF(AA$2="x",(_xlfn.RANK.EQ(Tabel424[[#This Row],[Kolom21]],AA$5:AA$35)),0)</f>
        <v>0</v>
      </c>
      <c r="CF33" s="135">
        <f>Tabel424[[#This Row],[Kolom29133]]*CE$2</f>
        <v>0</v>
      </c>
      <c r="CG33" s="135">
        <f>IF(AB$2="x",(_xlfn.RANK.EQ(Tabel424[[#This Row],[Kolom22]],AB$5:AB$35)),0)</f>
        <v>0</v>
      </c>
      <c r="CH33" s="135">
        <f>Tabel424[[#This Row],[Kolom29134]]*CG$2</f>
        <v>0</v>
      </c>
      <c r="CI33" s="135">
        <f>IF(AC$2="x",(_xlfn.RANK.EQ(Tabel424[[#This Row],[Kolom223]],AC$5:AC$35)),0)</f>
        <v>0</v>
      </c>
      <c r="CJ33" s="135">
        <f>Tabel424[[#This Row],[Kolom29135]]*CI$2</f>
        <v>0</v>
      </c>
      <c r="CK33" s="135">
        <f>IF(AD$2="x",(_xlfn.RANK.EQ(Tabel424[[#This Row],[Kolom222]],AD$5:AD$35)),0)</f>
        <v>0</v>
      </c>
      <c r="CL33" s="135">
        <f>Tabel424[[#This Row],[Kolom29136]]*CK$2</f>
        <v>0</v>
      </c>
      <c r="CM33" s="135">
        <f t="shared" si="13"/>
        <v>4</v>
      </c>
      <c r="CN33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Row],[Kolom29130]]+CA33+Tabel424[[#This Row],[Kolom29132]]+Tabel424[[#This Row],[Kolom29133]]+Tabel424[[#This Row],[Kolom29134]]+Tabel424[[#This Row],[Kolom29135]]+Tabel424[[#This Row],[Kolom29136]])/Tabel424[[#This Row],[Kolom29137]]</f>
        <v>8</v>
      </c>
      <c r="CO33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Row],[Kolom291302]]+CB33+Tabel424[[#This Row],[Kolom291322]]+Tabel424[[#This Row],[Kolom291332]]+Tabel424[[#This Row],[Kolom291342]]+Tabel424[[#This Row],[Kolom291352]]+Tabel424[[#This Row],[Kolom291362]])/Tabel424[[#This Row],[Kolom29137]]</f>
        <v>23</v>
      </c>
      <c r="CP33" s="142">
        <f>_xlfn.RANK.EQ(Tabel424[[#This Row],[Kolom29138]],CN$5:CN$35,1)</f>
        <v>10</v>
      </c>
      <c r="CQ33" s="142">
        <f>_xlfn.RANK.EQ(Tabel424[[#This Row],[Kolom291382]],CO$5:CO$35,1)</f>
        <v>11</v>
      </c>
    </row>
    <row r="34" spans="2:95">
      <c r="B34" s="21" t="str">
        <f>'Symptomen (alle)'!A31</f>
        <v>Poor Water Quality= verwijderen???= beter bij analyse:water waardes</v>
      </c>
      <c r="C34" s="21">
        <f>'Symptomen (alle)'!B31</f>
        <v>0</v>
      </c>
      <c r="D34" s="21">
        <f>IF(D$2="x",'Symptomen (alle)'!C31,0)</f>
        <v>0</v>
      </c>
      <c r="E34" s="21">
        <f>IF(E$2="x",'Symptomen (alle)'!D31,0)</f>
        <v>0</v>
      </c>
      <c r="F34" s="21">
        <f>IF(F$2="x",'Symptomen (alle)'!E31,0)</f>
        <v>0</v>
      </c>
      <c r="G34" s="21">
        <f>IF(G$2="x",'Symptomen (alle)'!F31,0)</f>
        <v>0</v>
      </c>
      <c r="H34" s="21">
        <f>IF(H$2="x",'Symptomen (alle)'!G31,0)</f>
        <v>0</v>
      </c>
      <c r="I34" s="21">
        <f>IF(I$2="x",'Symptomen (alle)'!H31,0)</f>
        <v>0</v>
      </c>
      <c r="J34" s="21">
        <f>IF(J$2="x",'Symptomen (alle)'!I31,0)</f>
        <v>1</v>
      </c>
      <c r="K34" s="21">
        <f>IF(K$2="x",'Symptomen (alle)'!J31,0)</f>
        <v>0</v>
      </c>
      <c r="L34" s="21">
        <f>IF(L$2="x",'Symptomen (alle)'!K31,0)</f>
        <v>0</v>
      </c>
      <c r="M34" s="21">
        <f>IF(M$2="x",'Symptomen (alle)'!L31,0)</f>
        <v>0</v>
      </c>
      <c r="N34" s="21">
        <f>IF(N$2="x",'Symptomen (alle)'!M31,0)</f>
        <v>0</v>
      </c>
      <c r="O34" s="21">
        <f>IF(O$2="x",'Symptomen (alle)'!N31,0)</f>
        <v>0</v>
      </c>
      <c r="P34" s="21">
        <f>IF(P$2="x",'Symptomen (alle)'!O31,0)</f>
        <v>0</v>
      </c>
      <c r="Q34" s="21">
        <f>IF(Q$2="x",'Symptomen (alle)'!P31,0)</f>
        <v>0</v>
      </c>
      <c r="R34" s="21">
        <f>IF(R$2="x",'Symptomen (alle)'!Q31,0)</f>
        <v>0</v>
      </c>
      <c r="S34" s="21">
        <f>IF(S$2="x",'Symptomen (alle)'!R31,0)</f>
        <v>0</v>
      </c>
      <c r="T34" s="21">
        <f>IF(T$2="x",'Symptomen (alle)'!S31,0)</f>
        <v>0</v>
      </c>
      <c r="U34" s="21">
        <f>IF(U$2="x",'Symptomen (alle)'!T31,0)</f>
        <v>0</v>
      </c>
      <c r="V34" s="21">
        <f>IF(V$2="x",'Symptomen (alle)'!U31,0)</f>
        <v>0</v>
      </c>
      <c r="W34" s="21">
        <f>IF(W$2="x",'Symptomen (alle)'!V31,0)</f>
        <v>2</v>
      </c>
      <c r="X34" s="21">
        <f>IF(X$2="x",'Symptomen (alle)'!W31,0)</f>
        <v>0</v>
      </c>
      <c r="Y34" s="21">
        <f>IF(Y$2="x",'Symptomen (alle)'!X31,0)</f>
        <v>3</v>
      </c>
      <c r="Z34" s="21">
        <f>IF(Z$2="x",'Symptomen (alle)'!Y31,0)</f>
        <v>0</v>
      </c>
      <c r="AA34" s="21">
        <f>IF(AA$2="x",'Symptomen (alle)'!Z31,0)</f>
        <v>0</v>
      </c>
      <c r="AB34" s="21">
        <f>IF(AB$2="x",'Symptomen (alle)'!AA31,0)</f>
        <v>0</v>
      </c>
      <c r="AC34" s="21">
        <f>IF(AC$2="x",'Symptomen (alle)'!AB31,0)</f>
        <v>0</v>
      </c>
      <c r="AD34" s="21">
        <f>IF(AD$2="x",'Symptomen (alle)'!AC31,0)</f>
        <v>0</v>
      </c>
      <c r="AE34" s="21">
        <f t="shared" si="11"/>
        <v>6</v>
      </c>
      <c r="AF34" s="21">
        <f>HLOOKUP($B$2,ZiekteFam!$B$1:$T$32,AG34,FALSE)</f>
        <v>0</v>
      </c>
      <c r="AG34" s="32">
        <f t="shared" si="12"/>
        <v>31</v>
      </c>
      <c r="AH34" s="32">
        <f>SUM('Symptomen (alle)'!D31:AC31)</f>
        <v>35</v>
      </c>
      <c r="AI34" s="22">
        <f>Tabel424[[#This Row],[Kolom25]]/Tabel424[[#This Row],[Kolom28]]</f>
        <v>0.17142857142857143</v>
      </c>
      <c r="AJ34" s="22"/>
      <c r="AK34" s="22">
        <f>Tabel424[[#This Row],[Kolom29]]</f>
        <v>0.17142857142857143</v>
      </c>
      <c r="AL34" s="36">
        <f>_xlfn.RANK.EQ(Tabel424[[#This Row],[Kolom29]],$AI$5:$AI$35)</f>
        <v>10</v>
      </c>
      <c r="AM34" s="135">
        <f>IF(E$2="x",(_xlfn.RANK.EQ(Tabel424[[#This Row],[Kolom3]],E$5:E$35)),0)</f>
        <v>0</v>
      </c>
      <c r="AN34" s="135">
        <f>Tabel424[[#This Row],[Kolom2911]]*AM$2</f>
        <v>0</v>
      </c>
      <c r="AO34" s="135">
        <f>IF(F$2="x",(_xlfn.RANK.EQ(Tabel424[[#This Row],[Kolom4]],F$5:F$35)),0)</f>
        <v>0</v>
      </c>
      <c r="AP34" s="135">
        <f>Tabel424[[#This Row],[Kolom29112]]*AO$2</f>
        <v>0</v>
      </c>
      <c r="AQ34" s="135">
        <f>IF(G$2="x",(_xlfn.RANK.EQ(Tabel424[[#This Row],[Kolom5]],G$5:G$35)),0)</f>
        <v>0</v>
      </c>
      <c r="AR34" s="135">
        <f>Tabel424[[#This Row],[Kolom29113]]*AQ$2</f>
        <v>0</v>
      </c>
      <c r="AS34" s="135">
        <f>IF(H$2="x",(_xlfn.RANK.EQ(Tabel424[[#This Row],[Kolom6]],H$5:H$35)),0)</f>
        <v>0</v>
      </c>
      <c r="AT34" s="135">
        <f>Tabel424[[#This Row],[Kolom29114]]*AS$2</f>
        <v>0</v>
      </c>
      <c r="AU34" s="135">
        <f>IF(I$2="x",(_xlfn.RANK.EQ(Tabel424[[#This Row],[Kolom62]],I$5:I$35)),0)</f>
        <v>0</v>
      </c>
      <c r="AV34" s="135">
        <f>Tabel424[[#This Row],[Kolom29115]]*AU$2</f>
        <v>0</v>
      </c>
      <c r="AW34" s="135">
        <f>IF(J$2="x",(_xlfn.RANK.EQ(Tabel424[[#This Row],[Kolom7]],J$5:J$35)),0)</f>
        <v>16</v>
      </c>
      <c r="AX34" s="135">
        <f>Tabel424[[#This Row],[Kolom29116]]*AW$2</f>
        <v>80</v>
      </c>
      <c r="AY34" s="135">
        <f>IF(K$2="x",(_xlfn.RANK.EQ(Tabel424[[#This Row],[Kolom72]],K$5:K$35)),0)</f>
        <v>0</v>
      </c>
      <c r="AZ34" s="135">
        <f>Tabel424[[#This Row],[Kolom29117]]*AY$2</f>
        <v>0</v>
      </c>
      <c r="BA34" s="135">
        <f>IF(L$2="x",(_xlfn.RANK.EQ(Tabel424[[#This Row],[Kolom8]],L$5:L$35)),0)</f>
        <v>0</v>
      </c>
      <c r="BB34" s="135">
        <f>Tabel424[[#This Row],[Kolom29118]]*BA$2</f>
        <v>0</v>
      </c>
      <c r="BC34" s="135">
        <f>IF(M$2="x",(_xlfn.RANK.EQ(Tabel424[[#This Row],[Kolom9]],M$5:M$35)),0)</f>
        <v>0</v>
      </c>
      <c r="BD34" s="135">
        <f>Tabel424[[#This Row],[Kolom29119]]*BC$2</f>
        <v>0</v>
      </c>
      <c r="BE34" s="135">
        <f>IF(N$2="x",(_xlfn.RANK.EQ(Tabel424[[#This Row],[Kolom10]],N$5:N$35)),0)</f>
        <v>0</v>
      </c>
      <c r="BF34" s="135">
        <f>Tabel424[[#This Row],[Kolom29120]]*BE$2</f>
        <v>0</v>
      </c>
      <c r="BG34" s="135">
        <f>IF(O$2="x",(_xlfn.RANK.EQ(Tabel424[[#This Row],[Kolom11]],O$5:O$35)),0)</f>
        <v>0</v>
      </c>
      <c r="BH34" s="135">
        <f>Tabel424[[#This Row],[Kolom29121]]*BG$2</f>
        <v>0</v>
      </c>
      <c r="BI34" s="135">
        <f>IF(P$2="x",(_xlfn.RANK.EQ(Tabel424[[#This Row],[Kolom12]],P$5:P$35)),0)</f>
        <v>0</v>
      </c>
      <c r="BJ34" s="135">
        <f>Tabel424[[#This Row],[Kolom29122]]*BI$2</f>
        <v>0</v>
      </c>
      <c r="BK34" s="135">
        <f>IF(Q$2="x",(_xlfn.RANK.EQ(Tabel424[[#This Row],[Kolom13]],Q$5:Q$35)),0)</f>
        <v>0</v>
      </c>
      <c r="BL34" s="135">
        <f>Tabel424[[#This Row],[Kolom29123]]*BK$2</f>
        <v>0</v>
      </c>
      <c r="BM34" s="135">
        <f>IF(R$2="x",(_xlfn.RANK.EQ(Tabel424[[#This Row],[Kolom133]],R$5:R$35)),0)</f>
        <v>0</v>
      </c>
      <c r="BN34" s="135">
        <f>Tabel424[[#This Row],[Kolom29124]]*BM$2</f>
        <v>0</v>
      </c>
      <c r="BO34" s="135">
        <f>IF(S$2="x",(_xlfn.RANK.EQ(Tabel424[[#This Row],[Kolom132]],S$5:S$35)),0)</f>
        <v>0</v>
      </c>
      <c r="BP34" s="135">
        <f>Tabel424[[#This Row],[Kolom29125]]*BO$2</f>
        <v>0</v>
      </c>
      <c r="BQ34" s="135">
        <f>IF(T$2="x",(_xlfn.RANK.EQ(Tabel424[[#This Row],[Kolom14]],T$5:T$35)),0)</f>
        <v>8</v>
      </c>
      <c r="BR34" s="135">
        <f>Tabel424[[#This Row],[Kolom29126]]*BQ$2</f>
        <v>40</v>
      </c>
      <c r="BS34" s="135">
        <f>IF(U$2="x",(_xlfn.RANK.EQ(Tabel424[[#This Row],[Kolom16]],U$5:U$35)),0)</f>
        <v>0</v>
      </c>
      <c r="BT34" s="135">
        <f>Tabel424[[#This Row],[Kolom29127]]*BS$2</f>
        <v>0</v>
      </c>
      <c r="BU34" s="135">
        <f>IF(V$2="x",(_xlfn.RANK.EQ(Tabel424[[#This Row],[Kolom173]],V$5:V$35)),0)</f>
        <v>0</v>
      </c>
      <c r="BV34" s="135">
        <f>Tabel424[[#This Row],[Kolom29128]]*BU$2</f>
        <v>0</v>
      </c>
      <c r="BW34" s="135">
        <f>IF(W$2="x",(_xlfn.RANK.EQ(Tabel424[[#This Row],[Kolom172]],W$5:W$35)),0)</f>
        <v>6</v>
      </c>
      <c r="BX34" s="135">
        <f>Tabel424[[#This Row],[Kolom29129]]*BW$2</f>
        <v>6</v>
      </c>
      <c r="BY34" s="135">
        <f>IF(X$2="x",(_xlfn.RANK.EQ(Tabel424[[#This Row],[Kolom18]],X$5:X$35)),0)</f>
        <v>0</v>
      </c>
      <c r="BZ34" s="135">
        <f>Tabel424[[#This Row],[Kolom29130]]*BY$2</f>
        <v>0</v>
      </c>
      <c r="CA34" s="135">
        <f>IF(Y$2="x",(_xlfn.RANK.EQ(Tabel424[[#This Row],[Kolom19]],Y$5:Y$35)),0)</f>
        <v>1</v>
      </c>
      <c r="CB34" s="135">
        <f>Tabel424[[#This Row],[Kolom29131]]*CA$2</f>
        <v>1</v>
      </c>
      <c r="CC34" s="135">
        <f>IF(Z$2="x",(_xlfn.RANK.EQ(Tabel424[[#This Row],[Kolom20]],Z$5:Z$35)),0)</f>
        <v>0</v>
      </c>
      <c r="CD34" s="135">
        <f>Tabel424[[#This Row],[Kolom29132]]*CC$2</f>
        <v>0</v>
      </c>
      <c r="CE34" s="135">
        <f>IF(AA$2="x",(_xlfn.RANK.EQ(Tabel424[[#This Row],[Kolom21]],AA$5:AA$35)),0)</f>
        <v>0</v>
      </c>
      <c r="CF34" s="135">
        <f>Tabel424[[#This Row],[Kolom29133]]*CE$2</f>
        <v>0</v>
      </c>
      <c r="CG34" s="135">
        <f>IF(AB$2="x",(_xlfn.RANK.EQ(Tabel424[[#This Row],[Kolom22]],AB$5:AB$35)),0)</f>
        <v>0</v>
      </c>
      <c r="CH34" s="135">
        <f>Tabel424[[#This Row],[Kolom29134]]*CG$2</f>
        <v>0</v>
      </c>
      <c r="CI34" s="135">
        <f>IF(AC$2="x",(_xlfn.RANK.EQ(Tabel424[[#This Row],[Kolom223]],AC$5:AC$35)),0)</f>
        <v>0</v>
      </c>
      <c r="CJ34" s="135">
        <f>Tabel424[[#This Row],[Kolom29135]]*CI$2</f>
        <v>0</v>
      </c>
      <c r="CK34" s="135">
        <f>IF(AD$2="x",(_xlfn.RANK.EQ(Tabel424[[#This Row],[Kolom222]],AD$5:AD$35)),0)</f>
        <v>0</v>
      </c>
      <c r="CL34" s="135">
        <f>Tabel424[[#This Row],[Kolom29136]]*CK$2</f>
        <v>0</v>
      </c>
      <c r="CM34" s="135">
        <f t="shared" si="13"/>
        <v>4</v>
      </c>
      <c r="CN34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Row],[Kolom29130]]+CA34+Tabel424[[#This Row],[Kolom29132]]+Tabel424[[#This Row],[Kolom29133]]+Tabel424[[#This Row],[Kolom29134]]+Tabel424[[#This Row],[Kolom29135]]+Tabel424[[#This Row],[Kolom29136]])/Tabel424[[#This Row],[Kolom29137]]</f>
        <v>7.75</v>
      </c>
      <c r="CO34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Row],[Kolom291302]]+CB34+Tabel424[[#This Row],[Kolom291322]]+Tabel424[[#This Row],[Kolom291332]]+Tabel424[[#This Row],[Kolom291342]]+Tabel424[[#This Row],[Kolom291352]]+Tabel424[[#This Row],[Kolom291362]])/Tabel424[[#This Row],[Kolom29137]]</f>
        <v>31.75</v>
      </c>
      <c r="CP34" s="142">
        <f>_xlfn.RANK.EQ(Tabel424[[#This Row],[Kolom29138]],CN$5:CN$35,1)</f>
        <v>9</v>
      </c>
      <c r="CQ34" s="142">
        <f>_xlfn.RANK.EQ(Tabel424[[#This Row],[Kolom291382]],CO$5:CO$35,1)</f>
        <v>18</v>
      </c>
    </row>
    <row r="35" spans="2:95">
      <c r="B35" s="21" t="str">
        <f>'Symptomen (alle)'!A32</f>
        <v>Nutritional deficiency/lack of (good) food</v>
      </c>
      <c r="C35" s="21">
        <f>'Symptomen (alle)'!B32</f>
        <v>0</v>
      </c>
      <c r="D35" s="21">
        <f>IF(D$2="x",'Symptomen (alle)'!C32,0)</f>
        <v>0</v>
      </c>
      <c r="E35" s="21">
        <f>IF(E$2="x",'Symptomen (alle)'!D32,0)</f>
        <v>0</v>
      </c>
      <c r="F35" s="21">
        <f>IF(F$2="x",'Symptomen (alle)'!E32,0)</f>
        <v>0</v>
      </c>
      <c r="G35" s="21">
        <f>IF(G$2="x",'Symptomen (alle)'!F32,0)</f>
        <v>0</v>
      </c>
      <c r="H35" s="21">
        <f>IF(H$2="x",'Symptomen (alle)'!G32,0)</f>
        <v>0</v>
      </c>
      <c r="I35" s="21">
        <f>IF(I$2="x",'Symptomen (alle)'!H32,0)</f>
        <v>0</v>
      </c>
      <c r="J35" s="21">
        <f>IF(J$2="x",'Symptomen (alle)'!I32,0)</f>
        <v>0</v>
      </c>
      <c r="K35" s="21">
        <f>IF(K$2="x",'Symptomen (alle)'!J32,0)</f>
        <v>0</v>
      </c>
      <c r="L35" s="21">
        <f>IF(L$2="x",'Symptomen (alle)'!K32,0)</f>
        <v>0</v>
      </c>
      <c r="M35" s="21">
        <f>IF(M$2="x",'Symptomen (alle)'!L32,0)</f>
        <v>0</v>
      </c>
      <c r="N35" s="21">
        <f>IF(N$2="x",'Symptomen (alle)'!M32,0)</f>
        <v>0</v>
      </c>
      <c r="O35" s="21">
        <f>IF(O$2="x",'Symptomen (alle)'!N32,0)</f>
        <v>0</v>
      </c>
      <c r="P35" s="21">
        <f>IF(P$2="x",'Symptomen (alle)'!O32,0)</f>
        <v>0</v>
      </c>
      <c r="Q35" s="21">
        <f>IF(Q$2="x",'Symptomen (alle)'!P32,0)</f>
        <v>0</v>
      </c>
      <c r="R35" s="21">
        <f>IF(R$2="x",'Symptomen (alle)'!Q32,0)</f>
        <v>0</v>
      </c>
      <c r="S35" s="21">
        <f>IF(S$2="x",'Symptomen (alle)'!R32,0)</f>
        <v>0</v>
      </c>
      <c r="T35" s="21">
        <f>IF(T$2="x",'Symptomen (alle)'!S32,0)</f>
        <v>0</v>
      </c>
      <c r="U35" s="21">
        <f>IF(U$2="x",'Symptomen (alle)'!T32,0)</f>
        <v>0</v>
      </c>
      <c r="V35" s="21">
        <f>IF(V$2="x",'Symptomen (alle)'!U32,0)</f>
        <v>0</v>
      </c>
      <c r="W35" s="21">
        <f>IF(W$2="x",'Symptomen (alle)'!V32,0)</f>
        <v>0</v>
      </c>
      <c r="X35" s="21">
        <f>IF(X$2="x",'Symptomen (alle)'!W32,0)</f>
        <v>0</v>
      </c>
      <c r="Y35" s="21">
        <f>IF(Y$2="x",'Symptomen (alle)'!X32,0)</f>
        <v>0</v>
      </c>
      <c r="Z35" s="21">
        <f>IF(Z$2="x",'Symptomen (alle)'!Y32,0)</f>
        <v>0</v>
      </c>
      <c r="AA35" s="21">
        <f>IF(AA$2="x",'Symptomen (alle)'!Z32,0)</f>
        <v>0</v>
      </c>
      <c r="AB35" s="21">
        <f>IF(AB$2="x",'Symptomen (alle)'!AA32,0)</f>
        <v>0</v>
      </c>
      <c r="AC35" s="21">
        <f>IF(AC$2="x",'Symptomen (alle)'!AB32,0)</f>
        <v>0</v>
      </c>
      <c r="AD35" s="21">
        <f>IF(AD$2="x",'Symptomen (alle)'!AC32,0)</f>
        <v>0</v>
      </c>
      <c r="AE35" s="21">
        <f t="shared" si="11"/>
        <v>0</v>
      </c>
      <c r="AF35" s="21">
        <f>HLOOKUP($B$2,ZiekteFam!$B$1:$T$32,AG35,FALSE)</f>
        <v>0</v>
      </c>
      <c r="AG35" s="32">
        <f t="shared" si="12"/>
        <v>32</v>
      </c>
      <c r="AH35" s="32">
        <f>SUM('Symptomen (alle)'!D32:AC32)</f>
        <v>39</v>
      </c>
      <c r="AI35" s="22">
        <f>Tabel424[[#This Row],[Kolom25]]/Tabel424[[#This Row],[Kolom28]]</f>
        <v>0</v>
      </c>
      <c r="AJ35" s="22"/>
      <c r="AK35" s="22">
        <f>Tabel424[[#This Row],[Kolom29]]</f>
        <v>0</v>
      </c>
      <c r="AL35" s="36">
        <f>_xlfn.RANK.EQ(Tabel424[[#This Row],[Kolom29]],$AI$5:$AI$35)</f>
        <v>27</v>
      </c>
      <c r="AM35" s="135">
        <f>IF(E$2="x",(_xlfn.RANK.EQ(Tabel424[[#This Row],[Kolom3]],E$5:E$35)),0)</f>
        <v>0</v>
      </c>
      <c r="AN35" s="135">
        <f>Tabel424[[#This Row],[Kolom2911]]*AM$2</f>
        <v>0</v>
      </c>
      <c r="AO35" s="135">
        <f>IF(F$2="x",(_xlfn.RANK.EQ(Tabel424[[#This Row],[Kolom4]],F$5:F$35)),0)</f>
        <v>0</v>
      </c>
      <c r="AP35" s="135">
        <f>Tabel424[[#This Row],[Kolom29112]]*AO$2</f>
        <v>0</v>
      </c>
      <c r="AQ35" s="135">
        <f>IF(G$2="x",(_xlfn.RANK.EQ(Tabel424[[#This Row],[Kolom5]],G$5:G$35)),0)</f>
        <v>0</v>
      </c>
      <c r="AR35" s="135">
        <f>Tabel424[[#This Row],[Kolom29113]]*AQ$2</f>
        <v>0</v>
      </c>
      <c r="AS35" s="135">
        <f>IF(H$2="x",(_xlfn.RANK.EQ(Tabel424[[#This Row],[Kolom6]],H$5:H$35)),0)</f>
        <v>0</v>
      </c>
      <c r="AT35" s="135">
        <f>Tabel424[[#This Row],[Kolom29114]]*AS$2</f>
        <v>0</v>
      </c>
      <c r="AU35" s="135">
        <f>IF(I$2="x",(_xlfn.RANK.EQ(Tabel424[[#This Row],[Kolom62]],I$5:I$35)),0)</f>
        <v>0</v>
      </c>
      <c r="AV35" s="135">
        <f>Tabel424[[#This Row],[Kolom29115]]*AU$2</f>
        <v>0</v>
      </c>
      <c r="AW35" s="135">
        <f>IF(J$2="x",(_xlfn.RANK.EQ(Tabel424[[#This Row],[Kolom7]],J$5:J$35)),0)</f>
        <v>23</v>
      </c>
      <c r="AX35" s="135">
        <f>Tabel424[[#This Row],[Kolom29116]]*AW$2</f>
        <v>115</v>
      </c>
      <c r="AY35" s="135">
        <f>IF(K$2="x",(_xlfn.RANK.EQ(Tabel424[[#This Row],[Kolom72]],K$5:K$35)),0)</f>
        <v>0</v>
      </c>
      <c r="AZ35" s="135">
        <f>Tabel424[[#This Row],[Kolom29117]]*AY$2</f>
        <v>0</v>
      </c>
      <c r="BA35" s="135">
        <f>IF(L$2="x",(_xlfn.RANK.EQ(Tabel424[[#This Row],[Kolom8]],L$5:L$35)),0)</f>
        <v>0</v>
      </c>
      <c r="BB35" s="135">
        <f>Tabel424[[#This Row],[Kolom29118]]*BA$2</f>
        <v>0</v>
      </c>
      <c r="BC35" s="135">
        <f>IF(M$2="x",(_xlfn.RANK.EQ(Tabel424[[#This Row],[Kolom9]],M$5:M$35)),0)</f>
        <v>0</v>
      </c>
      <c r="BD35" s="135">
        <f>Tabel424[[#This Row],[Kolom29119]]*BC$2</f>
        <v>0</v>
      </c>
      <c r="BE35" s="135">
        <f>IF(N$2="x",(_xlfn.RANK.EQ(Tabel424[[#This Row],[Kolom10]],N$5:N$35)),0)</f>
        <v>0</v>
      </c>
      <c r="BF35" s="135">
        <f>Tabel424[[#This Row],[Kolom29120]]*BE$2</f>
        <v>0</v>
      </c>
      <c r="BG35" s="135">
        <f>IF(O$2="x",(_xlfn.RANK.EQ(Tabel424[[#This Row],[Kolom11]],O$5:O$35)),0)</f>
        <v>0</v>
      </c>
      <c r="BH35" s="135">
        <f>Tabel424[[#This Row],[Kolom29121]]*BG$2</f>
        <v>0</v>
      </c>
      <c r="BI35" s="135">
        <f>IF(P$2="x",(_xlfn.RANK.EQ(Tabel424[[#This Row],[Kolom12]],P$5:P$35)),0)</f>
        <v>0</v>
      </c>
      <c r="BJ35" s="135">
        <f>Tabel424[[#This Row],[Kolom29122]]*BI$2</f>
        <v>0</v>
      </c>
      <c r="BK35" s="135">
        <f>IF(Q$2="x",(_xlfn.RANK.EQ(Tabel424[[#This Row],[Kolom13]],Q$5:Q$35)),0)</f>
        <v>0</v>
      </c>
      <c r="BL35" s="135">
        <f>Tabel424[[#This Row],[Kolom29123]]*BK$2</f>
        <v>0</v>
      </c>
      <c r="BM35" s="135">
        <f>IF(R$2="x",(_xlfn.RANK.EQ(Tabel424[[#This Row],[Kolom133]],R$5:R$35)),0)</f>
        <v>0</v>
      </c>
      <c r="BN35" s="135">
        <f>Tabel424[[#This Row],[Kolom29124]]*BM$2</f>
        <v>0</v>
      </c>
      <c r="BO35" s="135">
        <f>IF(S$2="x",(_xlfn.RANK.EQ(Tabel424[[#This Row],[Kolom132]],S$5:S$35)),0)</f>
        <v>0</v>
      </c>
      <c r="BP35" s="135">
        <f>Tabel424[[#This Row],[Kolom29125]]*BO$2</f>
        <v>0</v>
      </c>
      <c r="BQ35" s="135">
        <f>IF(T$2="x",(_xlfn.RANK.EQ(Tabel424[[#This Row],[Kolom14]],T$5:T$35)),0)</f>
        <v>8</v>
      </c>
      <c r="BR35" s="135">
        <f>Tabel424[[#This Row],[Kolom29126]]*BQ$2</f>
        <v>40</v>
      </c>
      <c r="BS35" s="135">
        <f>IF(U$2="x",(_xlfn.RANK.EQ(Tabel424[[#This Row],[Kolom16]],U$5:U$35)),0)</f>
        <v>0</v>
      </c>
      <c r="BT35" s="135">
        <f>Tabel424[[#This Row],[Kolom29127]]*BS$2</f>
        <v>0</v>
      </c>
      <c r="BU35" s="135">
        <f>IF(V$2="x",(_xlfn.RANK.EQ(Tabel424[[#This Row],[Kolom173]],V$5:V$35)),0)</f>
        <v>0</v>
      </c>
      <c r="BV35" s="135">
        <f>Tabel424[[#This Row],[Kolom29128]]*BU$2</f>
        <v>0</v>
      </c>
      <c r="BW35" s="135">
        <f>IF(W$2="x",(_xlfn.RANK.EQ(Tabel424[[#This Row],[Kolom172]],W$5:W$35)),0)</f>
        <v>14</v>
      </c>
      <c r="BX35" s="135">
        <f>Tabel424[[#This Row],[Kolom29129]]*BW$2</f>
        <v>14</v>
      </c>
      <c r="BY35" s="135">
        <f>IF(X$2="x",(_xlfn.RANK.EQ(Tabel424[[#This Row],[Kolom18]],X$5:X$35)),0)</f>
        <v>0</v>
      </c>
      <c r="BZ35" s="135">
        <f>Tabel424[[#This Row],[Kolom29130]]*BY$2</f>
        <v>0</v>
      </c>
      <c r="CA35" s="135">
        <f>IF(Y$2="x",(_xlfn.RANK.EQ(Tabel424[[#This Row],[Kolom19]],Y$5:Y$35)),0)</f>
        <v>11</v>
      </c>
      <c r="CB35" s="135">
        <f>Tabel424[[#This Row],[Kolom29131]]*CA$2</f>
        <v>11</v>
      </c>
      <c r="CC35" s="135">
        <f>IF(Z$2="x",(_xlfn.RANK.EQ(Tabel424[[#This Row],[Kolom20]],Z$5:Z$35)),0)</f>
        <v>0</v>
      </c>
      <c r="CD35" s="135">
        <f>Tabel424[[#This Row],[Kolom29132]]*CC$2</f>
        <v>0</v>
      </c>
      <c r="CE35" s="135">
        <f>IF(AA$2="x",(_xlfn.RANK.EQ(Tabel424[[#This Row],[Kolom21]],AA$5:AA$35)),0)</f>
        <v>0</v>
      </c>
      <c r="CF35" s="135">
        <f>Tabel424[[#This Row],[Kolom29133]]*CE$2</f>
        <v>0</v>
      </c>
      <c r="CG35" s="135">
        <f>IF(AB$2="x",(_xlfn.RANK.EQ(Tabel424[[#This Row],[Kolom22]],AB$5:AB$35)),0)</f>
        <v>0</v>
      </c>
      <c r="CH35" s="135">
        <f>Tabel424[[#This Row],[Kolom29134]]*CG$2</f>
        <v>0</v>
      </c>
      <c r="CI35" s="135">
        <f>IF(AC$2="x",(_xlfn.RANK.EQ(Tabel424[[#This Row],[Kolom223]],AC$5:AC$35)),0)</f>
        <v>0</v>
      </c>
      <c r="CJ35" s="135">
        <f>Tabel424[[#This Row],[Kolom29135]]*CI$2</f>
        <v>0</v>
      </c>
      <c r="CK35" s="135">
        <f>IF(AD$2="x",(_xlfn.RANK.EQ(Tabel424[[#This Row],[Kolom222]],AD$5:AD$35)),0)</f>
        <v>0</v>
      </c>
      <c r="CL35" s="135">
        <f>Tabel424[[#This Row],[Kolom29136]]*CK$2</f>
        <v>0</v>
      </c>
      <c r="CM35" s="135">
        <f t="shared" si="13"/>
        <v>4</v>
      </c>
      <c r="CN35" s="135">
        <f>(Tabel424[[#This Row],[Kolom2911]]+Tabel424[[#This Row],[Kolom29112]]+Tabel424[[#This Row],[Kolom29113]]+Tabel424[[#This Row],[Kolom29114]]+Tabel424[[#This Row],[Kolom29115]]+Tabel424[[#This Row],[Kolom29116]]+Tabel424[[#This Row],[Kolom29117]]+Tabel424[[#This Row],[Kolom29118]]+Tabel424[[#This Row],[Kolom29119]]+Tabel424[[#This Row],[Kolom29120]]+Tabel424[[#This Row],[Kolom29121]]+Tabel424[[#This Row],[Kolom29122]]+Tabel424[[#This Row],[Kolom29123]]+Tabel424[[#This Row],[Kolom29124]]+Tabel424[[#This Row],[Kolom29125]]+Tabel424[[#This Row],[Kolom29126]]+Tabel424[[#This Row],[Kolom29127]]+Tabel424[[#This Row],[Kolom29128]]+Tabel424[[#This Row],[Kolom29129]]+Tabel424[[#This Row],[Kolom29130]]+CA35+Tabel424[[#This Row],[Kolom29132]]+Tabel424[[#This Row],[Kolom29133]]+Tabel424[[#This Row],[Kolom29134]]+Tabel424[[#This Row],[Kolom29135]]+Tabel424[[#This Row],[Kolom29136]])/Tabel424[[#This Row],[Kolom29137]]</f>
        <v>14</v>
      </c>
      <c r="CO35" s="135">
        <f>(Tabel424[[#This Row],[Kolom291110]]+Tabel424[[#This Row],[Kolom291122]]+Tabel424[[#This Row],[Kolom291132]]+Tabel424[[#This Row],[Kolom291142]]+Tabel424[[#This Row],[Kolom291152]]+Tabel424[[#This Row],[Kolom291162]]+Tabel424[[#This Row],[Kolom291172]]+Tabel424[[#This Row],[Kolom291182]]+Tabel424[[#This Row],[Kolom291192]]+Tabel424[[#This Row],[Kolom291202]]+Tabel424[[#This Row],[Kolom291212]]+Tabel424[[#This Row],[Kolom291222]]+Tabel424[[#This Row],[Kolom291232]]+Tabel424[[#This Row],[Kolom291242]]+Tabel424[[#This Row],[Kolom291252]]+Tabel424[[#This Row],[Kolom291262]]+Tabel424[[#This Row],[Kolom291272]]+Tabel424[[#This Row],[Kolom291282]]+Tabel424[[#This Row],[Kolom291292]]+Tabel424[[#This Row],[Kolom291302]]+CB35+Tabel424[[#This Row],[Kolom291322]]+Tabel424[[#This Row],[Kolom291332]]+Tabel424[[#This Row],[Kolom291342]]+Tabel424[[#This Row],[Kolom291352]]+Tabel424[[#This Row],[Kolom291362]])/Tabel424[[#This Row],[Kolom29137]]</f>
        <v>45</v>
      </c>
      <c r="CP35" s="142">
        <f>_xlfn.RANK.EQ(Tabel424[[#This Row],[Kolom29138]],CN$5:CN$35,1)</f>
        <v>27</v>
      </c>
      <c r="CQ35" s="142">
        <f>_xlfn.RANK.EQ(Tabel424[[#This Row],[Kolom291382]],CO$5:CO$35,1)</f>
        <v>27</v>
      </c>
    </row>
    <row r="39" spans="2:95">
      <c r="B39" t="s">
        <v>88</v>
      </c>
    </row>
    <row r="41" spans="2:95">
      <c r="B41" t="s">
        <v>82</v>
      </c>
    </row>
    <row r="42" spans="2:95">
      <c r="B42" t="s">
        <v>83</v>
      </c>
    </row>
    <row r="43" spans="2:95">
      <c r="B43" t="s">
        <v>84</v>
      </c>
    </row>
    <row r="44" spans="2:95">
      <c r="B44" t="s">
        <v>85</v>
      </c>
    </row>
    <row r="45" spans="2:95">
      <c r="B45" t="s">
        <v>86</v>
      </c>
    </row>
    <row r="46" spans="2:95">
      <c r="B46" t="s">
        <v>87</v>
      </c>
    </row>
    <row r="48" spans="2:95">
      <c r="B48" t="s">
        <v>89</v>
      </c>
    </row>
  </sheetData>
  <sheetProtection sheet="1" objects="1" scenarios="1"/>
  <conditionalFormatting sqref="AI5:AJ35 AL5:AL35">
    <cfRule type="expression" dxfId="184" priority="5">
      <formula>$D5="x"</formula>
    </cfRule>
  </conditionalFormatting>
  <conditionalFormatting sqref="AK5:AK35">
    <cfRule type="expression" dxfId="183" priority="2">
      <formula>$AF5=10</formula>
    </cfRule>
    <cfRule type="expression" dxfId="182" priority="3">
      <formula>$AF5=3</formula>
    </cfRule>
    <cfRule type="expression" dxfId="181" priority="4">
      <formula>$AF5=0</formula>
    </cfRule>
  </conditionalFormatting>
  <conditionalFormatting sqref="C26:C27">
    <cfRule type="expression" dxfId="180" priority="1">
      <formula>$D26="x"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ZiekteFam!$A$38:$A$56</xm:f>
          </x14:formula1>
          <xm:sqref>B2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8"/>
  <sheetViews>
    <sheetView workbookViewId="0">
      <pane xSplit="4" ySplit="4" topLeftCell="BC5" activePane="bottomRight" state="frozen"/>
      <selection pane="topRight" activeCell="E1" sqref="E1"/>
      <selection pane="bottomLeft" activeCell="A5" sqref="A5"/>
      <selection pane="bottomRight" activeCell="C31" sqref="C31:CQ32"/>
    </sheetView>
  </sheetViews>
  <sheetFormatPr baseColWidth="10" defaultColWidth="11.5" defaultRowHeight="14" x14ac:dyDescent="0"/>
  <cols>
    <col min="1" max="1" width="29" bestFit="1" customWidth="1"/>
    <col min="2" max="2" width="39.6640625" customWidth="1"/>
    <col min="3" max="3" width="5" customWidth="1"/>
    <col min="4" max="30" width="4" customWidth="1"/>
    <col min="31" max="31" width="6" customWidth="1"/>
    <col min="32" max="32" width="6.1640625" customWidth="1"/>
    <col min="33" max="33" width="4.1640625" customWidth="1"/>
    <col min="34" max="34" width="4.6640625" customWidth="1"/>
    <col min="35" max="36" width="7.1640625" customWidth="1"/>
    <col min="37" max="37" width="5.33203125" customWidth="1"/>
    <col min="38" max="38" width="5.83203125" customWidth="1"/>
    <col min="39" max="39" width="7.6640625" bestFit="1" customWidth="1"/>
    <col min="40" max="40" width="7.6640625" customWidth="1"/>
    <col min="41" max="41" width="3.5" bestFit="1" customWidth="1"/>
    <col min="42" max="42" width="3.5" customWidth="1"/>
    <col min="43" max="43" width="3.5" bestFit="1" customWidth="1"/>
    <col min="44" max="44" width="3.5" customWidth="1"/>
    <col min="45" max="45" width="3.5" bestFit="1" customWidth="1"/>
    <col min="46" max="46" width="3.5" customWidth="1"/>
    <col min="47" max="47" width="3.5" bestFit="1" customWidth="1"/>
    <col min="48" max="48" width="3.5" customWidth="1"/>
    <col min="49" max="49" width="3.5" bestFit="1" customWidth="1"/>
    <col min="50" max="50" width="3.5" customWidth="1"/>
    <col min="51" max="51" width="3.5" bestFit="1" customWidth="1"/>
    <col min="52" max="52" width="3.5" customWidth="1"/>
    <col min="53" max="53" width="3.5" bestFit="1" customWidth="1"/>
    <col min="54" max="54" width="3.5" customWidth="1"/>
    <col min="55" max="55" width="3.5" bestFit="1" customWidth="1"/>
    <col min="56" max="56" width="3.5" customWidth="1"/>
    <col min="57" max="57" width="3.5" bestFit="1" customWidth="1"/>
    <col min="58" max="58" width="3.5" customWidth="1"/>
    <col min="59" max="59" width="3.5" bestFit="1" customWidth="1"/>
    <col min="60" max="60" width="3.5" customWidth="1"/>
    <col min="61" max="61" width="3.5" bestFit="1" customWidth="1"/>
    <col min="62" max="62" width="3.5" customWidth="1"/>
    <col min="63" max="63" width="3.5" bestFit="1" customWidth="1"/>
    <col min="64" max="64" width="3.5" customWidth="1"/>
    <col min="65" max="65" width="3.5" bestFit="1" customWidth="1"/>
    <col min="66" max="66" width="3.5" customWidth="1"/>
    <col min="67" max="68" width="4" customWidth="1"/>
    <col min="69" max="69" width="3.5" bestFit="1" customWidth="1"/>
    <col min="70" max="70" width="3.5" customWidth="1"/>
    <col min="71" max="71" width="3.5" bestFit="1" customWidth="1"/>
    <col min="72" max="72" width="3.5" customWidth="1"/>
    <col min="73" max="73" width="3.5" bestFit="1" customWidth="1"/>
    <col min="74" max="74" width="3.5" customWidth="1"/>
    <col min="75" max="75" width="3.5" bestFit="1" customWidth="1"/>
    <col min="76" max="76" width="3.5" customWidth="1"/>
    <col min="77" max="77" width="3.5" bestFit="1" customWidth="1"/>
    <col min="78" max="78" width="3.5" customWidth="1"/>
    <col min="79" max="79" width="3.5" bestFit="1" customWidth="1"/>
    <col min="80" max="80" width="3.5" customWidth="1"/>
    <col min="81" max="81" width="3.5" bestFit="1" customWidth="1"/>
    <col min="82" max="82" width="3.5" customWidth="1"/>
    <col min="83" max="83" width="3.5" bestFit="1" customWidth="1"/>
    <col min="84" max="84" width="3.5" customWidth="1"/>
    <col min="85" max="85" width="3.5" bestFit="1" customWidth="1"/>
    <col min="86" max="86" width="3.5" customWidth="1"/>
    <col min="87" max="87" width="3.5" bestFit="1" customWidth="1"/>
    <col min="88" max="88" width="3.5" customWidth="1"/>
    <col min="89" max="89" width="3.5" bestFit="1" customWidth="1"/>
    <col min="90" max="91" width="3.5" customWidth="1"/>
    <col min="92" max="93" width="5.5" customWidth="1"/>
    <col min="94" max="94" width="6.83203125" customWidth="1"/>
    <col min="95" max="95" width="6.33203125" customWidth="1"/>
  </cols>
  <sheetData>
    <row r="1" spans="1:96" ht="302">
      <c r="A1" t="s">
        <v>47</v>
      </c>
      <c r="B1" t="s">
        <v>43</v>
      </c>
      <c r="C1" s="18" t="str">
        <f>'Symptomen (alle)'!B1</f>
        <v>lijken op elkaar</v>
      </c>
      <c r="D1" s="18" t="str">
        <f>'Symptomen (alle)'!C1</f>
        <v>Pathogen visible to_x000D_ naked eye</v>
      </c>
      <c r="E1" s="18" t="str">
        <f>'Symptomen (alle)'!D1</f>
        <v>Colour_x000D_change/Darkening</v>
      </c>
      <c r="F1" s="18" t="str">
        <f>'Symptomen (alle)'!E1</f>
        <v>Pop-eye</v>
      </c>
      <c r="G1" s="18" t="str">
        <f>'Symptomen (alle)'!F1</f>
        <v>Swollen Belly/Dropsy/ascites</v>
      </c>
      <c r="H1" s="18" t="str">
        <f>'Symptomen (alle)'!G1</f>
        <v>Reddish wounds/Skin ulcer/heamorrhage/Bleeding skin</v>
      </c>
      <c r="I1" s="18" t="str">
        <f>'Symptomen (alle)'!H1</f>
        <v>Extra growth/swelling on body/skin/little creature</v>
      </c>
      <c r="J1" s="18" t="str">
        <f>'Symptomen (alle)'!I1</f>
        <v>Body Whitish/Necrotic lesion/Holes</v>
      </c>
      <c r="K1" s="18" t="str">
        <f>'Symptomen (alle)'!J1</f>
        <v>Scale loss</v>
      </c>
      <c r="L1" s="18" t="str">
        <f>'Symptomen (alle)'!K1</f>
        <v>Fin rot/damage</v>
      </c>
      <c r="M1" s="18" t="str">
        <f>'Symptomen (alle)'!L1</f>
        <v>White Mucus/Extra Slime/Cloudy/Turbid skin</v>
      </c>
      <c r="N1" s="18" t="str">
        <f>'Symptomen (alle)'!M1</f>
        <v>Faecal cast/Excrement strings at anus</v>
      </c>
      <c r="O1" s="18" t="str">
        <f>'Symptomen (alle)'!N1</f>
        <v>Clamped/Fraying fins</v>
      </c>
      <c r="P1" s="18" t="str">
        <f>'Symptomen (alle)'!O1</f>
        <v>Cotton growth</v>
      </c>
      <c r="Q1" s="18" t="str">
        <f>'Symptomen (alle)'!P1</f>
        <v>White spots</v>
      </c>
      <c r="R1" s="18" t="str">
        <f>'Symptomen (alle)'!Q1</f>
        <v>White large specks/growths</v>
      </c>
      <c r="S1" s="18" t="str">
        <f>'Symptomen (alle)'!R1</f>
        <v>Black spots</v>
      </c>
      <c r="T1" s="18" t="str">
        <f>'Symptomen (alle)'!S1</f>
        <v>Dusty look/fine pepper spots</v>
      </c>
      <c r="U1" s="18" t="str">
        <f>'Symptomen (alle)'!T1</f>
        <v>Listless(V): Laying on bottom</v>
      </c>
      <c r="V1" s="18" t="str">
        <f>'Symptomen (alle)'!U1</f>
        <v>Listless(V): hanging at surface</v>
      </c>
      <c r="W1" s="18" t="str">
        <f>'Symptomen (alle)'!V1</f>
        <v>Scraping(V)</v>
      </c>
      <c r="X1" s="18" t="str">
        <f>'Symptomen (alle)'!W1</f>
        <v>Respiratory problems(V)</v>
      </c>
      <c r="Y1" s="18" t="str">
        <f>'Symptomen (alle)'!X1</f>
        <v>"Abnormal"/stressbehavior(V)</v>
      </c>
      <c r="Z1" s="18" t="str">
        <f>'Symptomen (alle)'!Y1</f>
        <v>Increased mortalitities(uit???)</v>
      </c>
      <c r="AA1" s="18" t="str">
        <f>'Symptomen (alle)'!Z1</f>
        <v>Fighting (v)</v>
      </c>
      <c r="AB1" s="18" t="str">
        <f>'Symptomen (alle)'!AA1</f>
        <v>Coughing (v)</v>
      </c>
      <c r="AC1" s="18" t="str">
        <f>'Symptomen (alle)'!AB1</f>
        <v>Emaciation/Exhaustion Progress</v>
      </c>
      <c r="AD1" s="18" t="str">
        <f>'Symptomen (alle)'!AC1</f>
        <v>Less appetite/less eating</v>
      </c>
      <c r="AE1" s="18" t="s">
        <v>45</v>
      </c>
      <c r="AF1" s="18" t="s">
        <v>79</v>
      </c>
      <c r="AG1" s="29" t="s">
        <v>78</v>
      </c>
      <c r="AH1" s="29" t="s">
        <v>48</v>
      </c>
      <c r="AI1" s="18" t="s">
        <v>74</v>
      </c>
      <c r="AJ1" s="18" t="s">
        <v>272</v>
      </c>
      <c r="AK1" s="18" t="s">
        <v>80</v>
      </c>
      <c r="AL1" s="57" t="s">
        <v>241</v>
      </c>
      <c r="AM1" s="18" t="str">
        <f>E1</f>
        <v>Colour_x000D_change/Darkening</v>
      </c>
      <c r="AN1" s="18" t="s">
        <v>333</v>
      </c>
      <c r="AO1" s="18" t="str">
        <f t="shared" ref="AO1" si="0">F1</f>
        <v>Pop-eye</v>
      </c>
      <c r="AP1" s="18" t="s">
        <v>333</v>
      </c>
      <c r="AQ1" s="18" t="str">
        <f>G1</f>
        <v>Swollen Belly/Dropsy/ascites</v>
      </c>
      <c r="AR1" s="18" t="s">
        <v>333</v>
      </c>
      <c r="AS1" s="18" t="str">
        <f>H1</f>
        <v>Reddish wounds/Skin ulcer/heamorrhage/Bleeding skin</v>
      </c>
      <c r="AT1" s="18" t="s">
        <v>333</v>
      </c>
      <c r="AU1" s="18" t="str">
        <f>I1</f>
        <v>Extra growth/swelling on body/skin/little creature</v>
      </c>
      <c r="AV1" s="18" t="s">
        <v>333</v>
      </c>
      <c r="AW1" s="18" t="str">
        <f>J1</f>
        <v>Body Whitish/Necrotic lesion/Holes</v>
      </c>
      <c r="AX1" s="18" t="s">
        <v>333</v>
      </c>
      <c r="AY1" s="18" t="str">
        <f>K1</f>
        <v>Scale loss</v>
      </c>
      <c r="AZ1" s="18" t="s">
        <v>333</v>
      </c>
      <c r="BA1" s="18" t="str">
        <f>L1</f>
        <v>Fin rot/damage</v>
      </c>
      <c r="BB1" s="18" t="s">
        <v>333</v>
      </c>
      <c r="BC1" s="18" t="str">
        <f>M1</f>
        <v>White Mucus/Extra Slime/Cloudy/Turbid skin</v>
      </c>
      <c r="BD1" s="18" t="s">
        <v>333</v>
      </c>
      <c r="BE1" s="18" t="str">
        <f>N1</f>
        <v>Faecal cast/Excrement strings at anus</v>
      </c>
      <c r="BF1" s="18" t="s">
        <v>333</v>
      </c>
      <c r="BG1" s="18" t="str">
        <f>O1</f>
        <v>Clamped/Fraying fins</v>
      </c>
      <c r="BH1" s="18" t="s">
        <v>333</v>
      </c>
      <c r="BI1" s="18" t="str">
        <f>P1</f>
        <v>Cotton growth</v>
      </c>
      <c r="BJ1" s="18" t="s">
        <v>333</v>
      </c>
      <c r="BK1" s="18" t="str">
        <f>Q1</f>
        <v>White spots</v>
      </c>
      <c r="BL1" s="18" t="s">
        <v>333</v>
      </c>
      <c r="BM1" s="18" t="str">
        <f>R1</f>
        <v>White large specks/growths</v>
      </c>
      <c r="BN1" s="18" t="s">
        <v>333</v>
      </c>
      <c r="BO1" s="18" t="str">
        <f>S1</f>
        <v>Black spots</v>
      </c>
      <c r="BP1" s="18" t="s">
        <v>333</v>
      </c>
      <c r="BQ1" s="18" t="str">
        <f t="shared" ref="BQ1" si="1">T1</f>
        <v>Dusty look/fine pepper spots</v>
      </c>
      <c r="BR1" s="18" t="s">
        <v>333</v>
      </c>
      <c r="BS1" s="18" t="str">
        <f t="shared" ref="BS1" si="2">U1</f>
        <v>Listless(V): Laying on bottom</v>
      </c>
      <c r="BT1" s="18" t="s">
        <v>333</v>
      </c>
      <c r="BU1" s="18" t="str">
        <f t="shared" ref="BU1" si="3">V1</f>
        <v>Listless(V): hanging at surface</v>
      </c>
      <c r="BV1" s="18" t="s">
        <v>333</v>
      </c>
      <c r="BW1" s="18" t="str">
        <f t="shared" ref="BW1" si="4">W1</f>
        <v>Scraping(V)</v>
      </c>
      <c r="BX1" s="18" t="s">
        <v>333</v>
      </c>
      <c r="BY1" s="18" t="str">
        <f t="shared" ref="BY1" si="5">X1</f>
        <v>Respiratory problems(V)</v>
      </c>
      <c r="BZ1" s="18" t="s">
        <v>333</v>
      </c>
      <c r="CA1" s="18" t="str">
        <f t="shared" ref="CA1" si="6">Y1</f>
        <v>"Abnormal"/stressbehavior(V)</v>
      </c>
      <c r="CB1" s="18" t="s">
        <v>333</v>
      </c>
      <c r="CC1" s="18" t="str">
        <f t="shared" ref="CC1" si="7">Z1</f>
        <v>Increased mortalitities(uit???)</v>
      </c>
      <c r="CD1" s="18" t="s">
        <v>333</v>
      </c>
      <c r="CE1" s="18" t="str">
        <f t="shared" ref="CE1" si="8">AA1</f>
        <v>Fighting (v)</v>
      </c>
      <c r="CF1" s="18" t="s">
        <v>333</v>
      </c>
      <c r="CG1" s="18" t="str">
        <f t="shared" ref="CG1" si="9">AB1</f>
        <v>Coughing (v)</v>
      </c>
      <c r="CH1" s="18" t="s">
        <v>333</v>
      </c>
      <c r="CI1" s="18" t="str">
        <f t="shared" ref="CI1" si="10">AC1</f>
        <v>Emaciation/Exhaustion Progress</v>
      </c>
      <c r="CJ1" s="18" t="s">
        <v>333</v>
      </c>
      <c r="CK1" s="18" t="str">
        <f>AD1</f>
        <v>Less appetite/less eating</v>
      </c>
      <c r="CL1" s="18" t="s">
        <v>333</v>
      </c>
      <c r="CM1" s="18" t="s">
        <v>298</v>
      </c>
      <c r="CN1" s="18" t="s">
        <v>300</v>
      </c>
      <c r="CO1" s="18"/>
      <c r="CP1" s="139" t="s">
        <v>303</v>
      </c>
      <c r="CQ1" s="139" t="s">
        <v>304</v>
      </c>
    </row>
    <row r="2" spans="1:96">
      <c r="A2" s="20" t="s">
        <v>155</v>
      </c>
      <c r="B2" s="20" t="s">
        <v>248</v>
      </c>
      <c r="C2" s="20"/>
      <c r="D2" s="147"/>
      <c r="E2" s="147"/>
      <c r="F2" s="147"/>
      <c r="G2" s="147"/>
      <c r="H2" s="147"/>
      <c r="I2" s="147"/>
      <c r="J2" s="147" t="s">
        <v>90</v>
      </c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 t="s">
        <v>90</v>
      </c>
      <c r="AA2" s="147"/>
      <c r="AB2" s="147"/>
      <c r="AC2" s="147" t="s">
        <v>90</v>
      </c>
      <c r="AD2" s="147"/>
      <c r="AF2" s="30"/>
      <c r="AG2" s="30"/>
      <c r="AM2">
        <f>VLOOKUP(AM1,'Belang symptomen'!$A$2:$B$28,2,FALSE)</f>
        <v>3</v>
      </c>
      <c r="AO2">
        <f>VLOOKUP(AO1,'Belang symptomen'!$A$2:$B$28,2,FALSE)</f>
        <v>5</v>
      </c>
      <c r="AQ2">
        <f>VLOOKUP(AQ1,'Belang symptomen'!$A$2:$B$28,2,FALSE)</f>
        <v>5</v>
      </c>
      <c r="AS2">
        <f>VLOOKUP(AS1,'Belang symptomen'!$A$2:$B$28,2,FALSE)</f>
        <v>5</v>
      </c>
      <c r="AU2">
        <f>VLOOKUP(AU1,'Belang symptomen'!$A$2:$B$28,2,FALSE)</f>
        <v>5</v>
      </c>
      <c r="AW2">
        <f>VLOOKUP(AW1,'Belang symptomen'!$A$2:$B$28,2,FALSE)</f>
        <v>5</v>
      </c>
      <c r="AY2">
        <f>VLOOKUP(AY1,'Belang symptomen'!$A$2:$B$28,2,FALSE)</f>
        <v>1</v>
      </c>
      <c r="BA2">
        <f>VLOOKUP(BA1,'Belang symptomen'!$A$2:$B$28,2,FALSE)</f>
        <v>3</v>
      </c>
      <c r="BC2">
        <f>VLOOKUP(BC1,'Belang symptomen'!$A$2:$B$28,2,FALSE)</f>
        <v>1</v>
      </c>
      <c r="BE2">
        <f>VLOOKUP(BE1,'Belang symptomen'!$A$2:$B$28,2,FALSE)</f>
        <v>1</v>
      </c>
      <c r="BG2">
        <f>VLOOKUP(BG1,'Belang symptomen'!$A$2:$B$28,2,FALSE)</f>
        <v>1</v>
      </c>
      <c r="BI2">
        <f>VLOOKUP(BI1,'Belang symptomen'!$A$2:$B$28,2,FALSE)</f>
        <v>5</v>
      </c>
      <c r="BK2">
        <f>VLOOKUP(BK1,'Belang symptomen'!$A$2:$B$28,2,FALSE)</f>
        <v>5</v>
      </c>
      <c r="BM2">
        <f>VLOOKUP(BM1,'Belang symptomen'!$A$2:$B$28,2,FALSE)</f>
        <v>5</v>
      </c>
      <c r="BO2">
        <f>VLOOKUP(BO1,'Belang symptomen'!$A$2:$B$28,2,FALSE)</f>
        <v>5</v>
      </c>
      <c r="BQ2">
        <f>VLOOKUP(BQ1,'Belang symptomen'!$A$2:$B$28,2,FALSE)</f>
        <v>5</v>
      </c>
      <c r="BS2">
        <f>VLOOKUP(BS1,'Belang symptomen'!$A$2:$B$28,2,FALSE)</f>
        <v>1</v>
      </c>
      <c r="BU2">
        <f>VLOOKUP(BU1,'Belang symptomen'!$A$2:$B$28,2,FALSE)</f>
        <v>1</v>
      </c>
      <c r="BW2">
        <f>VLOOKUP(BW1,'Belang symptomen'!$A$2:$B$28,2,FALSE)</f>
        <v>1</v>
      </c>
      <c r="BY2">
        <f>VLOOKUP(BY1,'Belang symptomen'!$A$2:$B$28,2,FALSE)</f>
        <v>1</v>
      </c>
      <c r="CA2">
        <f>VLOOKUP(CA1,'Belang symptomen'!$A$2:$B$28,2,FALSE)</f>
        <v>1</v>
      </c>
      <c r="CC2">
        <f>VLOOKUP(CC1,'Belang symptomen'!$A$2:$B$28,2,FALSE)</f>
        <v>1</v>
      </c>
      <c r="CE2">
        <f>VLOOKUP(CE1,'Belang symptomen'!$A$2:$B$28,2,FALSE)</f>
        <v>1</v>
      </c>
      <c r="CG2">
        <f>VLOOKUP(CG1,'Belang symptomen'!$A$2:$B$28,2,FALSE)</f>
        <v>1</v>
      </c>
      <c r="CI2">
        <f>VLOOKUP(CI1,'Belang symptomen'!$A$2:$B$28,2,FALSE)</f>
        <v>1</v>
      </c>
      <c r="CK2">
        <f>VLOOKUP(CK1,'Belang symptomen'!$A$2:$B$28,2,FALSE)</f>
        <v>1</v>
      </c>
      <c r="CP2" s="140"/>
      <c r="CQ2" s="140"/>
    </row>
    <row r="3" spans="1:96" hidden="1">
      <c r="B3" s="19" t="s">
        <v>49</v>
      </c>
      <c r="C3" s="19" t="s">
        <v>170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179</v>
      </c>
      <c r="J3" t="s">
        <v>55</v>
      </c>
      <c r="K3" t="s">
        <v>94</v>
      </c>
      <c r="L3" t="s">
        <v>56</v>
      </c>
      <c r="M3" t="s">
        <v>57</v>
      </c>
      <c r="N3" t="s">
        <v>58</v>
      </c>
      <c r="O3" t="s">
        <v>59</v>
      </c>
      <c r="P3" t="s">
        <v>60</v>
      </c>
      <c r="Q3" t="s">
        <v>61</v>
      </c>
      <c r="R3" t="s">
        <v>178</v>
      </c>
      <c r="S3" t="s">
        <v>177</v>
      </c>
      <c r="T3" t="s">
        <v>62</v>
      </c>
      <c r="U3" t="s">
        <v>63</v>
      </c>
      <c r="V3" t="s">
        <v>161</v>
      </c>
      <c r="W3" t="s">
        <v>160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97</v>
      </c>
      <c r="AD3" t="s">
        <v>96</v>
      </c>
      <c r="AE3" t="s">
        <v>69</v>
      </c>
      <c r="AF3" t="s">
        <v>70</v>
      </c>
      <c r="AG3" s="30" t="s">
        <v>71</v>
      </c>
      <c r="AH3" s="30" t="s">
        <v>72</v>
      </c>
      <c r="AI3" t="s">
        <v>73</v>
      </c>
      <c r="AJ3" t="s">
        <v>271</v>
      </c>
      <c r="AK3" t="s">
        <v>77</v>
      </c>
      <c r="AL3" t="s">
        <v>200</v>
      </c>
      <c r="AM3" t="s">
        <v>236</v>
      </c>
      <c r="AN3" t="s">
        <v>305</v>
      </c>
      <c r="AO3" t="s">
        <v>273</v>
      </c>
      <c r="AP3" t="s">
        <v>306</v>
      </c>
      <c r="AQ3" t="s">
        <v>274</v>
      </c>
      <c r="AR3" t="s">
        <v>307</v>
      </c>
      <c r="AS3" t="s">
        <v>275</v>
      </c>
      <c r="AT3" t="s">
        <v>308</v>
      </c>
      <c r="AU3" t="s">
        <v>276</v>
      </c>
      <c r="AV3" t="s">
        <v>309</v>
      </c>
      <c r="AW3" t="s">
        <v>277</v>
      </c>
      <c r="AX3" t="s">
        <v>310</v>
      </c>
      <c r="AY3" t="s">
        <v>278</v>
      </c>
      <c r="AZ3" t="s">
        <v>311</v>
      </c>
      <c r="BA3" t="s">
        <v>279</v>
      </c>
      <c r="BB3" t="s">
        <v>312</v>
      </c>
      <c r="BC3" t="s">
        <v>280</v>
      </c>
      <c r="BD3" t="s">
        <v>313</v>
      </c>
      <c r="BE3" t="s">
        <v>281</v>
      </c>
      <c r="BF3" t="s">
        <v>314</v>
      </c>
      <c r="BG3" t="s">
        <v>282</v>
      </c>
      <c r="BH3" t="s">
        <v>315</v>
      </c>
      <c r="BI3" t="s">
        <v>283</v>
      </c>
      <c r="BJ3" t="s">
        <v>316</v>
      </c>
      <c r="BK3" t="s">
        <v>284</v>
      </c>
      <c r="BL3" t="s">
        <v>317</v>
      </c>
      <c r="BM3" t="s">
        <v>285</v>
      </c>
      <c r="BN3" t="s">
        <v>318</v>
      </c>
      <c r="BO3" t="s">
        <v>286</v>
      </c>
      <c r="BP3" t="s">
        <v>319</v>
      </c>
      <c r="BQ3" t="s">
        <v>287</v>
      </c>
      <c r="BR3" t="s">
        <v>320</v>
      </c>
      <c r="BS3" t="s">
        <v>288</v>
      </c>
      <c r="BT3" t="s">
        <v>321</v>
      </c>
      <c r="BU3" t="s">
        <v>289</v>
      </c>
      <c r="BV3" t="s">
        <v>322</v>
      </c>
      <c r="BW3" t="s">
        <v>290</v>
      </c>
      <c r="BX3" t="s">
        <v>323</v>
      </c>
      <c r="BY3" t="s">
        <v>291</v>
      </c>
      <c r="BZ3" t="s">
        <v>324</v>
      </c>
      <c r="CA3" t="s">
        <v>292</v>
      </c>
      <c r="CB3" t="s">
        <v>325</v>
      </c>
      <c r="CC3" t="s">
        <v>293</v>
      </c>
      <c r="CD3" t="s">
        <v>326</v>
      </c>
      <c r="CE3" t="s">
        <v>294</v>
      </c>
      <c r="CF3" t="s">
        <v>327</v>
      </c>
      <c r="CG3" t="s">
        <v>295</v>
      </c>
      <c r="CH3" t="s">
        <v>328</v>
      </c>
      <c r="CI3" t="s">
        <v>296</v>
      </c>
      <c r="CJ3" t="s">
        <v>329</v>
      </c>
      <c r="CK3" t="s">
        <v>297</v>
      </c>
      <c r="CL3" t="s">
        <v>330</v>
      </c>
      <c r="CM3" t="s">
        <v>299</v>
      </c>
      <c r="CN3" t="s">
        <v>301</v>
      </c>
      <c r="CO3" t="s">
        <v>331</v>
      </c>
      <c r="CP3" s="140" t="s">
        <v>302</v>
      </c>
      <c r="CQ3" s="140" t="s">
        <v>332</v>
      </c>
      <c r="CR3" t="s">
        <v>334</v>
      </c>
    </row>
    <row r="4" spans="1:96">
      <c r="B4" s="24" t="s">
        <v>46</v>
      </c>
      <c r="C4" s="24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31"/>
      <c r="AH4" s="31"/>
      <c r="AI4" s="22"/>
      <c r="AJ4" s="22"/>
      <c r="AK4" s="22"/>
      <c r="AL4" s="22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5"/>
      <c r="CO4" s="135"/>
      <c r="CP4" s="141"/>
      <c r="CQ4" s="142"/>
    </row>
    <row r="5" spans="1:96">
      <c r="B5" s="21" t="str">
        <f>'Symptomen (alle)'!A2</f>
        <v>Fish Lice(Argulus/Livoneca)</v>
      </c>
      <c r="C5" s="21">
        <f>'Symptomen (alle)'!B2</f>
        <v>0</v>
      </c>
      <c r="D5" s="21">
        <f>IF(D$2="x",'Symptomen (alle)'!C2,0)</f>
        <v>0</v>
      </c>
      <c r="E5" s="21">
        <f>IF(E$2="x",'Symptomen (alle)'!D2,0)</f>
        <v>0</v>
      </c>
      <c r="F5" s="21">
        <f>IF(F$2="x",'Symptomen (alle)'!E2,0)</f>
        <v>0</v>
      </c>
      <c r="G5" s="21">
        <f>IF(G$2="x",'Symptomen (alle)'!F2,0)</f>
        <v>0</v>
      </c>
      <c r="H5" s="21">
        <f>IF(H$2="x",'Symptomen (alle)'!G2,0)</f>
        <v>0</v>
      </c>
      <c r="I5" s="21">
        <f>IF(I$2="x",'Symptomen (alle)'!H2,0)</f>
        <v>0</v>
      </c>
      <c r="J5" s="21">
        <f>IF(J$2="x",'Symptomen (alle)'!I2,0)</f>
        <v>0</v>
      </c>
      <c r="K5" s="21">
        <f>IF(K$2="x",'Symptomen (alle)'!J2,0)</f>
        <v>0</v>
      </c>
      <c r="L5" s="21">
        <f>IF(L$2="x",'Symptomen (alle)'!K2,0)</f>
        <v>0</v>
      </c>
      <c r="M5" s="21">
        <f>IF(M$2="x",'Symptomen (alle)'!L2,0)</f>
        <v>0</v>
      </c>
      <c r="N5" s="21">
        <f>IF(N$2="x",'Symptomen (alle)'!M2,0)</f>
        <v>0</v>
      </c>
      <c r="O5" s="21">
        <f>IF(O$2="x",'Symptomen (alle)'!N2,0)</f>
        <v>0</v>
      </c>
      <c r="P5" s="21">
        <f>IF(P$2="x",'Symptomen (alle)'!O2,0)</f>
        <v>0</v>
      </c>
      <c r="Q5" s="21">
        <f>IF(Q$2="x",'Symptomen (alle)'!P2,0)</f>
        <v>0</v>
      </c>
      <c r="R5" s="21">
        <f>IF(R$2="x",'Symptomen (alle)'!Q2,0)</f>
        <v>0</v>
      </c>
      <c r="S5" s="21">
        <f>IF(S$2="x",'Symptomen (alle)'!R2,0)</f>
        <v>0</v>
      </c>
      <c r="T5" s="21">
        <f>IF(T$2="x",'Symptomen (alle)'!S2,0)</f>
        <v>0</v>
      </c>
      <c r="U5" s="21">
        <f>IF(U$2="x",'Symptomen (alle)'!T2,0)</f>
        <v>0</v>
      </c>
      <c r="V5" s="21">
        <f>IF(V$2="x",'Symptomen (alle)'!U2,0)</f>
        <v>0</v>
      </c>
      <c r="W5" s="21">
        <f>IF(W$2="x",'Symptomen (alle)'!V2,0)</f>
        <v>0</v>
      </c>
      <c r="X5" s="21">
        <f>IF(X$2="x",'Symptomen (alle)'!W2,0)</f>
        <v>0</v>
      </c>
      <c r="Y5" s="21">
        <f>IF(Y$2="x",'Symptomen (alle)'!X2,0)</f>
        <v>0</v>
      </c>
      <c r="Z5" s="21">
        <f>IF(Z$2="x",'Symptomen (alle)'!Y2,0)</f>
        <v>1</v>
      </c>
      <c r="AA5" s="21">
        <f>IF(AA$2="x",'Symptomen (alle)'!Z2,0)</f>
        <v>0</v>
      </c>
      <c r="AB5" s="21">
        <f>IF(AB$2="x",'Symptomen (alle)'!AA2,0)</f>
        <v>0</v>
      </c>
      <c r="AC5" s="21">
        <f>IF(AC$2="x",'Symptomen (alle)'!AB2,0)</f>
        <v>2</v>
      </c>
      <c r="AD5" s="21">
        <f>IF(AD$2="x",'Symptomen (alle)'!AC2,0)</f>
        <v>0</v>
      </c>
      <c r="AE5" s="21">
        <f>SUM(E5:AD5)</f>
        <v>3</v>
      </c>
      <c r="AF5" s="21">
        <f>HLOOKUP($B$2,ZiekteFam!$B$1:$T$32,AG5,FALSE)</f>
        <v>3</v>
      </c>
      <c r="AG5" s="32">
        <f>ROW(AF5)-3</f>
        <v>2</v>
      </c>
      <c r="AH5" s="32">
        <f>SUM('Symptomen (alle)'!D2:AC2)</f>
        <v>18</v>
      </c>
      <c r="AI5" s="22">
        <f>Tabel4246[[#This Row],[Kolom25]]/Tabel4246[[#This Row],[Kolom28]]</f>
        <v>0.16666666666666666</v>
      </c>
      <c r="AJ5" s="22"/>
      <c r="AK5" s="22">
        <f>Tabel4246[[#This Row],[Kolom29]]</f>
        <v>0.16666666666666666</v>
      </c>
      <c r="AL5" s="36">
        <f>_xlfn.RANK.EQ(Tabel4246[[#This Row],[Kolom29]],$AI$5:$AI$35)</f>
        <v>19</v>
      </c>
      <c r="AM5" s="135">
        <f>IF(E$2="x",(_xlfn.RANK.EQ(Tabel4246[[#This Row],[Kolom3]],E$5:E$35)),0)</f>
        <v>0</v>
      </c>
      <c r="AN5" s="135">
        <f>Tabel4246[[#This Row],[Kolom2911]]*AM$2</f>
        <v>0</v>
      </c>
      <c r="AO5" s="135">
        <f>IF(F$2="x",(_xlfn.RANK.EQ(Tabel4246[[#This Row],[Kolom4]],F$5:F$35)),0)</f>
        <v>0</v>
      </c>
      <c r="AP5" s="135">
        <f>Tabel4246[[#This Row],[Kolom29112]]*AO$2</f>
        <v>0</v>
      </c>
      <c r="AQ5" s="135">
        <f>IF(G$2="x",(_xlfn.RANK.EQ(Tabel4246[[#This Row],[Kolom5]],G$5:G$35)),0)</f>
        <v>0</v>
      </c>
      <c r="AR5" s="135">
        <f>Tabel4246[[#This Row],[Kolom29113]]*AQ$2</f>
        <v>0</v>
      </c>
      <c r="AS5" s="135">
        <f>IF(H$2="x",(_xlfn.RANK.EQ(Tabel4246[[#This Row],[Kolom6]],H$5:H$35)),0)</f>
        <v>0</v>
      </c>
      <c r="AT5" s="135">
        <f>Tabel4246[[#This Row],[Kolom29114]]*AS$2</f>
        <v>0</v>
      </c>
      <c r="AU5" s="135">
        <f>IF(I$2="x",(_xlfn.RANK.EQ(Tabel4246[[#This Row],[Kolom62]],I$5:I$35)),0)</f>
        <v>0</v>
      </c>
      <c r="AV5" s="135">
        <f>Tabel4246[[#This Row],[Kolom29115]]*AU$2</f>
        <v>0</v>
      </c>
      <c r="AW5" s="135">
        <f>IF(J$2="x",(_xlfn.RANK.EQ(Tabel4246[[#This Row],[Kolom7]],J$5:J$35)),0)</f>
        <v>23</v>
      </c>
      <c r="AX5" s="135">
        <f>Tabel4246[[#This Row],[Kolom29116]]*AW$2</f>
        <v>115</v>
      </c>
      <c r="AY5" s="135">
        <f>IF(K$2="x",(_xlfn.RANK.EQ(Tabel4246[[#This Row],[Kolom72]],K$5:K$35)),0)</f>
        <v>0</v>
      </c>
      <c r="AZ5" s="135">
        <f>Tabel4246[[#This Row],[Kolom29117]]*AY$2</f>
        <v>0</v>
      </c>
      <c r="BA5" s="135">
        <f>IF(L$2="x",(_xlfn.RANK.EQ(Tabel4246[[#This Row],[Kolom8]],L$5:L$35)),0)</f>
        <v>0</v>
      </c>
      <c r="BB5" s="135">
        <f>Tabel4246[[#This Row],[Kolom29118]]*BA$2</f>
        <v>0</v>
      </c>
      <c r="BC5" s="135">
        <f>IF(M$2="x",(_xlfn.RANK.EQ(Tabel4246[[#This Row],[Kolom9]],M$5:M$35)),0)</f>
        <v>0</v>
      </c>
      <c r="BD5" s="135">
        <f>Tabel4246[[#This Row],[Kolom29119]]*BC$2</f>
        <v>0</v>
      </c>
      <c r="BE5" s="135">
        <f>IF(N$2="x",(_xlfn.RANK.EQ(Tabel4246[[#This Row],[Kolom10]],N$5:N$35)),0)</f>
        <v>0</v>
      </c>
      <c r="BF5" s="135">
        <f>Tabel4246[[#This Row],[Kolom29120]]*BE$2</f>
        <v>0</v>
      </c>
      <c r="BG5" s="135">
        <f>IF(O$2="x",(_xlfn.RANK.EQ(Tabel4246[[#This Row],[Kolom11]],O$5:O$35)),0)</f>
        <v>0</v>
      </c>
      <c r="BH5" s="135">
        <f>Tabel4246[[#This Row],[Kolom29121]]*BG$2</f>
        <v>0</v>
      </c>
      <c r="BI5" s="135">
        <f>IF(P$2="x",(_xlfn.RANK.EQ(Tabel4246[[#This Row],[Kolom12]],P$5:P$35)),0)</f>
        <v>0</v>
      </c>
      <c r="BJ5" s="135">
        <f>Tabel4246[[#This Row],[Kolom29122]]*BI$2</f>
        <v>0</v>
      </c>
      <c r="BK5" s="135">
        <f>IF(Q$2="x",(_xlfn.RANK.EQ(Tabel4246[[#This Row],[Kolom13]],Q$5:Q$35)),0)</f>
        <v>0</v>
      </c>
      <c r="BL5" s="135">
        <f>Tabel4246[[#This Row],[Kolom29123]]*BK$2</f>
        <v>0</v>
      </c>
      <c r="BM5" s="135">
        <f>IF(R$2="x",(_xlfn.RANK.EQ(Tabel4246[[#This Row],[Kolom133]],R$5:R$35)),0)</f>
        <v>0</v>
      </c>
      <c r="BN5" s="135">
        <f>Tabel4246[[#This Row],[Kolom29124]]*BM$2</f>
        <v>0</v>
      </c>
      <c r="BO5" s="135">
        <f>IF(S$2="x",(_xlfn.RANK.EQ(Tabel4246[[#This Row],[Kolom132]],S$5:S$35)),0)</f>
        <v>0</v>
      </c>
      <c r="BP5" s="135">
        <f>Tabel4246[[#This Row],[Kolom29125]]*BO$2</f>
        <v>0</v>
      </c>
      <c r="BQ5" s="135">
        <f>IF(T$2="x",(_xlfn.RANK.EQ(Tabel4246[[#This Row],[Kolom14]],T$5:T$35)),0)</f>
        <v>0</v>
      </c>
      <c r="BR5" s="135">
        <f>Tabel4246[[#This Row],[Kolom29126]]*BQ$2</f>
        <v>0</v>
      </c>
      <c r="BS5" s="135">
        <f>IF(U$2="x",(_xlfn.RANK.EQ(Tabel4246[[#This Row],[Kolom16]],U$5:U$35)),0)</f>
        <v>0</v>
      </c>
      <c r="BT5" s="135">
        <f>Tabel4246[[#This Row],[Kolom29127]]*BS$2</f>
        <v>0</v>
      </c>
      <c r="BU5" s="135">
        <f>IF(V$2="x",(_xlfn.RANK.EQ(Tabel4246[[#This Row],[Kolom173]],V$5:V$35)),0)</f>
        <v>0</v>
      </c>
      <c r="BV5" s="135">
        <f>Tabel4246[[#This Row],[Kolom29128]]*BU$2</f>
        <v>0</v>
      </c>
      <c r="BW5" s="135">
        <f>IF(W$2="x",(_xlfn.RANK.EQ(Tabel4246[[#This Row],[Kolom172]],W$5:W$35)),0)</f>
        <v>0</v>
      </c>
      <c r="BX5" s="135">
        <f>Tabel4246[[#This Row],[Kolom29129]]*BW$2</f>
        <v>0</v>
      </c>
      <c r="BY5" s="135">
        <f>IF(X$2="x",(_xlfn.RANK.EQ(Tabel4246[[#This Row],[Kolom18]],X$5:X$35)),0)</f>
        <v>0</v>
      </c>
      <c r="BZ5" s="135">
        <f>Tabel4246[[#This Row],[Kolom29130]]*BY$2</f>
        <v>0</v>
      </c>
      <c r="CA5" s="135">
        <f>IF(Y$2="x",(_xlfn.RANK.EQ(Tabel4246[[#This Row],[Kolom19]],Y$5:Y$35)),0)</f>
        <v>0</v>
      </c>
      <c r="CB5" s="135">
        <f>Tabel4246[[#This Row],[Kolom29131]]*CA$2</f>
        <v>0</v>
      </c>
      <c r="CC5" s="135">
        <f>IF(Z$2="x",(_xlfn.RANK.EQ(Tabel4246[[#This Row],[Kolom20]],Z$5:Z$35)),0)</f>
        <v>20</v>
      </c>
      <c r="CD5" s="135">
        <f>Tabel4246[[#This Row],[Kolom29132]]*CC$2</f>
        <v>20</v>
      </c>
      <c r="CE5" s="135">
        <f>IF(AA$2="x",(_xlfn.RANK.EQ(Tabel4246[[#This Row],[Kolom21]],AA$5:AA$35)),0)</f>
        <v>0</v>
      </c>
      <c r="CF5" s="135">
        <f>Tabel4246[[#This Row],[Kolom29133]]*CE$2</f>
        <v>0</v>
      </c>
      <c r="CG5" s="135">
        <f>IF(AB$2="x",(_xlfn.RANK.EQ(Tabel4246[[#This Row],[Kolom22]],AB$5:AB$35)),0)</f>
        <v>0</v>
      </c>
      <c r="CH5" s="135">
        <f>Tabel4246[[#This Row],[Kolom29134]]*CG$2</f>
        <v>0</v>
      </c>
      <c r="CI5" s="135">
        <f>IF(AC$2="x",(_xlfn.RANK.EQ(Tabel4246[[#This Row],[Kolom223]],AC$5:AC$35)),0)</f>
        <v>17</v>
      </c>
      <c r="CJ5" s="135">
        <f>Tabel4246[[#This Row],[Kolom29135]]*CI$2</f>
        <v>17</v>
      </c>
      <c r="CK5" s="135">
        <f>IF(AD$2="x",(_xlfn.RANK.EQ(Tabel4246[[#This Row],[Kolom222]],AD$5:AD$35)),0)</f>
        <v>0</v>
      </c>
      <c r="CL5" s="135">
        <f>Tabel4246[[#This Row],[Kolom29136]]*CK$2</f>
        <v>0</v>
      </c>
      <c r="CM5" s="135">
        <f>COUNTIF($E$2:$AD$2,"x")</f>
        <v>3</v>
      </c>
      <c r="CN5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Row],[Kolom29130]]+CA5+Tabel4246[[#This Row],[Kolom29132]]+Tabel4246[[#This Row],[Kolom29133]]+Tabel4246[[#This Row],[Kolom29134]]+Tabel4246[[#This Row],[Kolom29135]]+Tabel4246[[#This Row],[Kolom29136]])/Tabel4246[[#This Row],[Kolom29137]]</f>
        <v>20</v>
      </c>
      <c r="CO5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Row],[Kolom291302]]+CB5+Tabel4246[[#This Row],[Kolom291322]]+Tabel4246[[#This Row],[Kolom291332]]+Tabel4246[[#This Row],[Kolom291342]]+Tabel4246[[#This Row],[Kolom291352]]+Tabel4246[[#This Row],[Kolom291362]])/Tabel4246[[#This Row],[Kolom29137]]</f>
        <v>50.666666666666664</v>
      </c>
      <c r="CP5" s="142">
        <f>_xlfn.RANK.EQ(Tabel4246[[#This Row],[Kolom29138]],CN$5:CN$35,1)</f>
        <v>29</v>
      </c>
      <c r="CQ5" s="142">
        <f>_xlfn.RANK.EQ(Tabel4246[[#This Row],[Kolom291382]],CO$5:CO$35,1)</f>
        <v>31</v>
      </c>
    </row>
    <row r="6" spans="1:96">
      <c r="B6" s="21" t="str">
        <f>'Symptomen (alle)'!A3</f>
        <v>Anchor worm (Lernaea)</v>
      </c>
      <c r="C6" s="21">
        <f>'Symptomen (alle)'!B3</f>
        <v>0</v>
      </c>
      <c r="D6" s="21">
        <f>IF(D$2="x",'Symptomen (alle)'!C3,0)</f>
        <v>0</v>
      </c>
      <c r="E6" s="21">
        <f>IF(E$2="x",'Symptomen (alle)'!D3,0)</f>
        <v>0</v>
      </c>
      <c r="F6" s="21">
        <f>IF(F$2="x",'Symptomen (alle)'!E3,0)</f>
        <v>0</v>
      </c>
      <c r="G6" s="21">
        <f>IF(G$2="x",'Symptomen (alle)'!F3,0)</f>
        <v>0</v>
      </c>
      <c r="H6" s="21">
        <f>IF(H$2="x",'Symptomen (alle)'!G3,0)</f>
        <v>0</v>
      </c>
      <c r="I6" s="21">
        <f>IF(I$2="x",'Symptomen (alle)'!H3,0)</f>
        <v>0</v>
      </c>
      <c r="J6" s="21">
        <f>IF(J$2="x",'Symptomen (alle)'!I3,0)</f>
        <v>1</v>
      </c>
      <c r="K6" s="21">
        <f>IF(K$2="x",'Symptomen (alle)'!J3,0)</f>
        <v>0</v>
      </c>
      <c r="L6" s="21">
        <f>IF(L$2="x",'Symptomen (alle)'!K3,0)</f>
        <v>0</v>
      </c>
      <c r="M6" s="21">
        <f>IF(M$2="x",'Symptomen (alle)'!L3,0)</f>
        <v>0</v>
      </c>
      <c r="N6" s="21">
        <f>IF(N$2="x",'Symptomen (alle)'!M3,0)</f>
        <v>0</v>
      </c>
      <c r="O6" s="21">
        <f>IF(O$2="x",'Symptomen (alle)'!N3,0)</f>
        <v>0</v>
      </c>
      <c r="P6" s="21">
        <f>IF(P$2="x",'Symptomen (alle)'!O3,0)</f>
        <v>0</v>
      </c>
      <c r="Q6" s="21">
        <f>IF(Q$2="x",'Symptomen (alle)'!P3,0)</f>
        <v>0</v>
      </c>
      <c r="R6" s="21">
        <f>IF(R$2="x",'Symptomen (alle)'!Q3,0)</f>
        <v>0</v>
      </c>
      <c r="S6" s="21">
        <f>IF(S$2="x",'Symptomen (alle)'!R3,0)</f>
        <v>0</v>
      </c>
      <c r="T6" s="21">
        <f>IF(T$2="x",'Symptomen (alle)'!S3,0)</f>
        <v>0</v>
      </c>
      <c r="U6" s="21">
        <f>IF(U$2="x",'Symptomen (alle)'!T3,0)</f>
        <v>0</v>
      </c>
      <c r="V6" s="21">
        <f>IF(V$2="x",'Symptomen (alle)'!U3,0)</f>
        <v>0</v>
      </c>
      <c r="W6" s="21">
        <f>IF(W$2="x",'Symptomen (alle)'!V3,0)</f>
        <v>0</v>
      </c>
      <c r="X6" s="21">
        <f>IF(X$2="x",'Symptomen (alle)'!W3,0)</f>
        <v>0</v>
      </c>
      <c r="Y6" s="21">
        <f>IF(Y$2="x",'Symptomen (alle)'!X3,0)</f>
        <v>0</v>
      </c>
      <c r="Z6" s="21">
        <f>IF(Z$2="x",'Symptomen (alle)'!Y3,0)</f>
        <v>1</v>
      </c>
      <c r="AA6" s="21">
        <f>IF(AA$2="x",'Symptomen (alle)'!Z3,0)</f>
        <v>0</v>
      </c>
      <c r="AB6" s="21">
        <f>IF(AB$2="x",'Symptomen (alle)'!AA3,0)</f>
        <v>0</v>
      </c>
      <c r="AC6" s="21">
        <f>IF(AC$2="x",'Symptomen (alle)'!AB3,0)</f>
        <v>2</v>
      </c>
      <c r="AD6" s="21">
        <f>IF(AD$2="x",'Symptomen (alle)'!AC3,0)</f>
        <v>0</v>
      </c>
      <c r="AE6" s="21">
        <f t="shared" ref="AE6:AE35" si="11">SUM(E6:AD6)</f>
        <v>4</v>
      </c>
      <c r="AF6" s="21">
        <f>HLOOKUP($B$2,ZiekteFam!$B$1:$T$32,AG6,FALSE)</f>
        <v>0</v>
      </c>
      <c r="AG6" s="32">
        <f t="shared" ref="AG6:AG35" si="12">ROW(AF6)-3</f>
        <v>3</v>
      </c>
      <c r="AH6" s="32">
        <f>SUM('Symptomen (alle)'!D3:AC3)</f>
        <v>29</v>
      </c>
      <c r="AI6" s="22">
        <f>Tabel4246[[#This Row],[Kolom25]]/Tabel4246[[#This Row],[Kolom28]]</f>
        <v>0.13793103448275862</v>
      </c>
      <c r="AJ6" s="22"/>
      <c r="AK6" s="22">
        <f>Tabel4246[[#This Row],[Kolom29]]</f>
        <v>0.13793103448275862</v>
      </c>
      <c r="AL6" s="36">
        <f>_xlfn.RANK.EQ(Tabel4246[[#This Row],[Kolom29]],$AI$5:$AI$35)</f>
        <v>26</v>
      </c>
      <c r="AM6" s="135">
        <f>IF(E$2="x",(_xlfn.RANK.EQ(Tabel4246[[#This Row],[Kolom3]],E$5:E$35)),0)</f>
        <v>0</v>
      </c>
      <c r="AN6" s="135">
        <f>Tabel4246[[#This Row],[Kolom2911]]*AM$2</f>
        <v>0</v>
      </c>
      <c r="AO6" s="135">
        <f>IF(F$2="x",(_xlfn.RANK.EQ(Tabel4246[[#This Row],[Kolom4]],F$5:F$35)),0)</f>
        <v>0</v>
      </c>
      <c r="AP6" s="135">
        <f>Tabel4246[[#This Row],[Kolom29112]]*AO$2</f>
        <v>0</v>
      </c>
      <c r="AQ6" s="135">
        <f>IF(G$2="x",(_xlfn.RANK.EQ(Tabel4246[[#This Row],[Kolom5]],G$5:G$35)),0)</f>
        <v>0</v>
      </c>
      <c r="AR6" s="135">
        <f>Tabel4246[[#This Row],[Kolom29113]]*AQ$2</f>
        <v>0</v>
      </c>
      <c r="AS6" s="135">
        <f>IF(H$2="x",(_xlfn.RANK.EQ(Tabel4246[[#This Row],[Kolom6]],H$5:H$35)),0)</f>
        <v>0</v>
      </c>
      <c r="AT6" s="135">
        <f>Tabel4246[[#This Row],[Kolom29114]]*AS$2</f>
        <v>0</v>
      </c>
      <c r="AU6" s="135">
        <f>IF(I$2="x",(_xlfn.RANK.EQ(Tabel4246[[#This Row],[Kolom62]],I$5:I$35)),0)</f>
        <v>0</v>
      </c>
      <c r="AV6" s="135">
        <f>Tabel4246[[#This Row],[Kolom29115]]*AU$2</f>
        <v>0</v>
      </c>
      <c r="AW6" s="135">
        <f>IF(J$2="x",(_xlfn.RANK.EQ(Tabel4246[[#This Row],[Kolom7]],J$5:J$35)),0)</f>
        <v>16</v>
      </c>
      <c r="AX6" s="135">
        <f>Tabel4246[[#This Row],[Kolom29116]]*AW$2</f>
        <v>80</v>
      </c>
      <c r="AY6" s="135">
        <f>IF(K$2="x",(_xlfn.RANK.EQ(Tabel4246[[#This Row],[Kolom72]],K$5:K$35)),0)</f>
        <v>0</v>
      </c>
      <c r="AZ6" s="135">
        <f>Tabel4246[[#This Row],[Kolom29117]]*AY$2</f>
        <v>0</v>
      </c>
      <c r="BA6" s="135">
        <f>IF(L$2="x",(_xlfn.RANK.EQ(Tabel4246[[#This Row],[Kolom8]],L$5:L$35)),0)</f>
        <v>0</v>
      </c>
      <c r="BB6" s="135">
        <f>Tabel4246[[#This Row],[Kolom29118]]*BA$2</f>
        <v>0</v>
      </c>
      <c r="BC6" s="135">
        <f>IF(M$2="x",(_xlfn.RANK.EQ(Tabel4246[[#This Row],[Kolom9]],M$5:M$35)),0)</f>
        <v>0</v>
      </c>
      <c r="BD6" s="135">
        <f>Tabel4246[[#This Row],[Kolom29119]]*BC$2</f>
        <v>0</v>
      </c>
      <c r="BE6" s="135">
        <f>IF(N$2="x",(_xlfn.RANK.EQ(Tabel4246[[#This Row],[Kolom10]],N$5:N$35)),0)</f>
        <v>0</v>
      </c>
      <c r="BF6" s="135">
        <f>Tabel4246[[#This Row],[Kolom29120]]*BE$2</f>
        <v>0</v>
      </c>
      <c r="BG6" s="135">
        <f>IF(O$2="x",(_xlfn.RANK.EQ(Tabel4246[[#This Row],[Kolom11]],O$5:O$35)),0)</f>
        <v>0</v>
      </c>
      <c r="BH6" s="135">
        <f>Tabel4246[[#This Row],[Kolom29121]]*BG$2</f>
        <v>0</v>
      </c>
      <c r="BI6" s="135">
        <f>IF(P$2="x",(_xlfn.RANK.EQ(Tabel4246[[#This Row],[Kolom12]],P$5:P$35)),0)</f>
        <v>0</v>
      </c>
      <c r="BJ6" s="135">
        <f>Tabel4246[[#This Row],[Kolom29122]]*BI$2</f>
        <v>0</v>
      </c>
      <c r="BK6" s="135">
        <f>IF(Q$2="x",(_xlfn.RANK.EQ(Tabel4246[[#This Row],[Kolom13]],Q$5:Q$35)),0)</f>
        <v>0</v>
      </c>
      <c r="BL6" s="135">
        <f>Tabel4246[[#This Row],[Kolom29123]]*BK$2</f>
        <v>0</v>
      </c>
      <c r="BM6" s="135">
        <f>IF(R$2="x",(_xlfn.RANK.EQ(Tabel4246[[#This Row],[Kolom133]],R$5:R$35)),0)</f>
        <v>0</v>
      </c>
      <c r="BN6" s="135">
        <f>Tabel4246[[#This Row],[Kolom29124]]*BM$2</f>
        <v>0</v>
      </c>
      <c r="BO6" s="135">
        <f>IF(S$2="x",(_xlfn.RANK.EQ(Tabel4246[[#This Row],[Kolom132]],S$5:S$35)),0)</f>
        <v>0</v>
      </c>
      <c r="BP6" s="135">
        <f>Tabel4246[[#This Row],[Kolom29125]]*BO$2</f>
        <v>0</v>
      </c>
      <c r="BQ6" s="135">
        <f>IF(T$2="x",(_xlfn.RANK.EQ(Tabel4246[[#This Row],[Kolom14]],T$5:T$35)),0)</f>
        <v>0</v>
      </c>
      <c r="BR6" s="135">
        <f>Tabel4246[[#This Row],[Kolom29126]]*BQ$2</f>
        <v>0</v>
      </c>
      <c r="BS6" s="135">
        <f>IF(U$2="x",(_xlfn.RANK.EQ(Tabel4246[[#This Row],[Kolom16]],U$5:U$35)),0)</f>
        <v>0</v>
      </c>
      <c r="BT6" s="135">
        <f>Tabel4246[[#This Row],[Kolom29127]]*BS$2</f>
        <v>0</v>
      </c>
      <c r="BU6" s="135">
        <f>IF(V$2="x",(_xlfn.RANK.EQ(Tabel4246[[#This Row],[Kolom173]],V$5:V$35)),0)</f>
        <v>0</v>
      </c>
      <c r="BV6" s="135">
        <f>Tabel4246[[#This Row],[Kolom29128]]*BU$2</f>
        <v>0</v>
      </c>
      <c r="BW6" s="135">
        <f>IF(W$2="x",(_xlfn.RANK.EQ(Tabel4246[[#This Row],[Kolom172]],W$5:W$35)),0)</f>
        <v>0</v>
      </c>
      <c r="BX6" s="135">
        <f>Tabel4246[[#This Row],[Kolom29129]]*BW$2</f>
        <v>0</v>
      </c>
      <c r="BY6" s="135">
        <f>IF(X$2="x",(_xlfn.RANK.EQ(Tabel4246[[#This Row],[Kolom18]],X$5:X$35)),0)</f>
        <v>0</v>
      </c>
      <c r="BZ6" s="135">
        <f>Tabel4246[[#This Row],[Kolom29130]]*BY$2</f>
        <v>0</v>
      </c>
      <c r="CA6" s="135">
        <f>IF(Y$2="x",(_xlfn.RANK.EQ(Tabel4246[[#This Row],[Kolom19]],Y$5:Y$35)),0)</f>
        <v>0</v>
      </c>
      <c r="CB6" s="135">
        <f>Tabel4246[[#This Row],[Kolom29131]]*CA$2</f>
        <v>0</v>
      </c>
      <c r="CC6" s="135">
        <f>IF(Z$2="x",(_xlfn.RANK.EQ(Tabel4246[[#This Row],[Kolom20]],Z$5:Z$35)),0)</f>
        <v>20</v>
      </c>
      <c r="CD6" s="135">
        <f>Tabel4246[[#This Row],[Kolom29132]]*CC$2</f>
        <v>20</v>
      </c>
      <c r="CE6" s="135">
        <f>IF(AA$2="x",(_xlfn.RANK.EQ(Tabel4246[[#This Row],[Kolom21]],AA$5:AA$35)),0)</f>
        <v>0</v>
      </c>
      <c r="CF6" s="135">
        <f>Tabel4246[[#This Row],[Kolom29133]]*CE$2</f>
        <v>0</v>
      </c>
      <c r="CG6" s="135">
        <f>IF(AB$2="x",(_xlfn.RANK.EQ(Tabel4246[[#This Row],[Kolom22]],AB$5:AB$35)),0)</f>
        <v>0</v>
      </c>
      <c r="CH6" s="135">
        <f>Tabel4246[[#This Row],[Kolom29134]]*CG$2</f>
        <v>0</v>
      </c>
      <c r="CI6" s="135">
        <f>IF(AC$2="x",(_xlfn.RANK.EQ(Tabel4246[[#This Row],[Kolom223]],AC$5:AC$35)),0)</f>
        <v>17</v>
      </c>
      <c r="CJ6" s="135">
        <f>Tabel4246[[#This Row],[Kolom29135]]*CI$2</f>
        <v>17</v>
      </c>
      <c r="CK6" s="135">
        <f>IF(AD$2="x",(_xlfn.RANK.EQ(Tabel4246[[#This Row],[Kolom222]],AD$5:AD$35)),0)</f>
        <v>0</v>
      </c>
      <c r="CL6" s="135">
        <f>Tabel4246[[#This Row],[Kolom29136]]*CK$2</f>
        <v>0</v>
      </c>
      <c r="CM6" s="135">
        <f t="shared" ref="CM6:CM35" si="13">COUNTIF($E$2:$AD$2,"x")</f>
        <v>3</v>
      </c>
      <c r="CN6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Row],[Kolom29130]]+CA6+Tabel4246[[#This Row],[Kolom29132]]+Tabel4246[[#This Row],[Kolom29133]]+Tabel4246[[#This Row],[Kolom29134]]+Tabel4246[[#This Row],[Kolom29135]]+Tabel4246[[#This Row],[Kolom29136]])/Tabel4246[[#This Row],[Kolom29137]]</f>
        <v>17.666666666666668</v>
      </c>
      <c r="CO6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Row],[Kolom291302]]+CB6+Tabel4246[[#This Row],[Kolom291322]]+Tabel4246[[#This Row],[Kolom291332]]+Tabel4246[[#This Row],[Kolom291342]]+Tabel4246[[#This Row],[Kolom291352]]+Tabel4246[[#This Row],[Kolom291362]])/Tabel4246[[#This Row],[Kolom29137]]</f>
        <v>39</v>
      </c>
      <c r="CP6" s="142">
        <f>_xlfn.RANK.EQ(Tabel4246[[#This Row],[Kolom29138]],CN$5:CN$35,1)</f>
        <v>27</v>
      </c>
      <c r="CQ6" s="142">
        <f>_xlfn.RANK.EQ(Tabel4246[[#This Row],[Kolom291382]],CO$5:CO$35,1)</f>
        <v>20</v>
      </c>
    </row>
    <row r="7" spans="1:96">
      <c r="B7" s="21" t="str">
        <f>'Symptomen (alle)'!A4</f>
        <v>Camallanus</v>
      </c>
      <c r="C7" s="21">
        <f>'Symptomen (alle)'!B4</f>
        <v>0</v>
      </c>
      <c r="D7" s="21">
        <f>IF(D$2="x",'Symptomen (alle)'!C4,0)</f>
        <v>0</v>
      </c>
      <c r="E7" s="21">
        <f>IF(E$2="x",'Symptomen (alle)'!D4,0)</f>
        <v>0</v>
      </c>
      <c r="F7" s="21">
        <f>IF(F$2="x",'Symptomen (alle)'!E4,0)</f>
        <v>0</v>
      </c>
      <c r="G7" s="21">
        <f>IF(G$2="x",'Symptomen (alle)'!F4,0)</f>
        <v>0</v>
      </c>
      <c r="H7" s="21">
        <f>IF(H$2="x",'Symptomen (alle)'!G4,0)</f>
        <v>0</v>
      </c>
      <c r="I7" s="21">
        <f>IF(I$2="x",'Symptomen (alle)'!H4,0)</f>
        <v>0</v>
      </c>
      <c r="J7" s="21">
        <f>IF(J$2="x",'Symptomen (alle)'!I4,0)</f>
        <v>0</v>
      </c>
      <c r="K7" s="21">
        <f>IF(K$2="x",'Symptomen (alle)'!J4,0)</f>
        <v>0</v>
      </c>
      <c r="L7" s="21">
        <f>IF(L$2="x",'Symptomen (alle)'!K4,0)</f>
        <v>0</v>
      </c>
      <c r="M7" s="21">
        <f>IF(M$2="x",'Symptomen (alle)'!L4,0)</f>
        <v>0</v>
      </c>
      <c r="N7" s="21">
        <f>IF(N$2="x",'Symptomen (alle)'!M4,0)</f>
        <v>0</v>
      </c>
      <c r="O7" s="21">
        <f>IF(O$2="x",'Symptomen (alle)'!N4,0)</f>
        <v>0</v>
      </c>
      <c r="P7" s="21">
        <f>IF(P$2="x",'Symptomen (alle)'!O4,0)</f>
        <v>0</v>
      </c>
      <c r="Q7" s="21">
        <f>IF(Q$2="x",'Symptomen (alle)'!P4,0)</f>
        <v>0</v>
      </c>
      <c r="R7" s="21">
        <f>IF(R$2="x",'Symptomen (alle)'!Q4,0)</f>
        <v>0</v>
      </c>
      <c r="S7" s="21">
        <f>IF(S$2="x",'Symptomen (alle)'!R4,0)</f>
        <v>0</v>
      </c>
      <c r="T7" s="21">
        <f>IF(T$2="x",'Symptomen (alle)'!S4,0)</f>
        <v>0</v>
      </c>
      <c r="U7" s="21">
        <f>IF(U$2="x",'Symptomen (alle)'!T4,0)</f>
        <v>0</v>
      </c>
      <c r="V7" s="21">
        <f>IF(V$2="x",'Symptomen (alle)'!U4,0)</f>
        <v>0</v>
      </c>
      <c r="W7" s="21">
        <f>IF(W$2="x",'Symptomen (alle)'!V4,0)</f>
        <v>0</v>
      </c>
      <c r="X7" s="21">
        <f>IF(X$2="x",'Symptomen (alle)'!W4,0)</f>
        <v>0</v>
      </c>
      <c r="Y7" s="21">
        <f>IF(Y$2="x",'Symptomen (alle)'!X4,0)</f>
        <v>0</v>
      </c>
      <c r="Z7" s="21">
        <f>IF(Z$2="x",'Symptomen (alle)'!Y4,0)</f>
        <v>2</v>
      </c>
      <c r="AA7" s="21">
        <f>IF(AA$2="x",'Symptomen (alle)'!Z4,0)</f>
        <v>0</v>
      </c>
      <c r="AB7" s="21">
        <f>IF(AB$2="x",'Symptomen (alle)'!AA4,0)</f>
        <v>0</v>
      </c>
      <c r="AC7" s="21">
        <f>IF(AC$2="x",'Symptomen (alle)'!AB4,0)</f>
        <v>3</v>
      </c>
      <c r="AD7" s="21">
        <f>IF(AD$2="x",'Symptomen (alle)'!AC4,0)</f>
        <v>0</v>
      </c>
      <c r="AE7" s="21">
        <f t="shared" si="11"/>
        <v>5</v>
      </c>
      <c r="AF7" s="21">
        <f>HLOOKUP($B$2,ZiekteFam!$B$1:$T$32,AG7,FALSE)</f>
        <v>3</v>
      </c>
      <c r="AG7" s="32">
        <f t="shared" si="12"/>
        <v>4</v>
      </c>
      <c r="AH7" s="32">
        <f>SUM('Symptomen (alle)'!D4:AC4)</f>
        <v>18</v>
      </c>
      <c r="AI7" s="22">
        <f>Tabel4246[[#This Row],[Kolom25]]/Tabel4246[[#This Row],[Kolom28]]</f>
        <v>0.27777777777777779</v>
      </c>
      <c r="AJ7" s="22"/>
      <c r="AK7" s="22">
        <f>Tabel4246[[#This Row],[Kolom29]]</f>
        <v>0.27777777777777779</v>
      </c>
      <c r="AL7" s="36">
        <f>_xlfn.RANK.EQ(Tabel4246[[#This Row],[Kolom29]],$AI$5:$AI$35)</f>
        <v>12</v>
      </c>
      <c r="AM7" s="135">
        <f>IF(E$2="x",(_xlfn.RANK.EQ(Tabel4246[[#This Row],[Kolom3]],E$5:E$35)),0)</f>
        <v>0</v>
      </c>
      <c r="AN7" s="135">
        <f>Tabel4246[[#This Row],[Kolom2911]]*AM$2</f>
        <v>0</v>
      </c>
      <c r="AO7" s="135">
        <f>IF(F$2="x",(_xlfn.RANK.EQ(Tabel4246[[#This Row],[Kolom4]],F$5:F$35)),0)</f>
        <v>0</v>
      </c>
      <c r="AP7" s="135">
        <f>Tabel4246[[#This Row],[Kolom29112]]*AO$2</f>
        <v>0</v>
      </c>
      <c r="AQ7" s="135">
        <f>IF(G$2="x",(_xlfn.RANK.EQ(Tabel4246[[#This Row],[Kolom5]],G$5:G$35)),0)</f>
        <v>0</v>
      </c>
      <c r="AR7" s="135">
        <f>Tabel4246[[#This Row],[Kolom29113]]*AQ$2</f>
        <v>0</v>
      </c>
      <c r="AS7" s="135">
        <f>IF(H$2="x",(_xlfn.RANK.EQ(Tabel4246[[#This Row],[Kolom6]],H$5:H$35)),0)</f>
        <v>0</v>
      </c>
      <c r="AT7" s="135">
        <f>Tabel4246[[#This Row],[Kolom29114]]*AS$2</f>
        <v>0</v>
      </c>
      <c r="AU7" s="135">
        <f>IF(I$2="x",(_xlfn.RANK.EQ(Tabel4246[[#This Row],[Kolom62]],I$5:I$35)),0)</f>
        <v>0</v>
      </c>
      <c r="AV7" s="135">
        <f>Tabel4246[[#This Row],[Kolom29115]]*AU$2</f>
        <v>0</v>
      </c>
      <c r="AW7" s="135">
        <f>IF(J$2="x",(_xlfn.RANK.EQ(Tabel4246[[#This Row],[Kolom7]],J$5:J$35)),0)</f>
        <v>23</v>
      </c>
      <c r="AX7" s="135">
        <f>Tabel4246[[#This Row],[Kolom29116]]*AW$2</f>
        <v>115</v>
      </c>
      <c r="AY7" s="135">
        <f>IF(K$2="x",(_xlfn.RANK.EQ(Tabel4246[[#This Row],[Kolom72]],K$5:K$35)),0)</f>
        <v>0</v>
      </c>
      <c r="AZ7" s="135">
        <f>Tabel4246[[#This Row],[Kolom29117]]*AY$2</f>
        <v>0</v>
      </c>
      <c r="BA7" s="135">
        <f>IF(L$2="x",(_xlfn.RANK.EQ(Tabel4246[[#This Row],[Kolom8]],L$5:L$35)),0)</f>
        <v>0</v>
      </c>
      <c r="BB7" s="135">
        <f>Tabel4246[[#This Row],[Kolom29118]]*BA$2</f>
        <v>0</v>
      </c>
      <c r="BC7" s="135">
        <f>IF(M$2="x",(_xlfn.RANK.EQ(Tabel4246[[#This Row],[Kolom9]],M$5:M$35)),0)</f>
        <v>0</v>
      </c>
      <c r="BD7" s="135">
        <f>Tabel4246[[#This Row],[Kolom29119]]*BC$2</f>
        <v>0</v>
      </c>
      <c r="BE7" s="135">
        <f>IF(N$2="x",(_xlfn.RANK.EQ(Tabel4246[[#This Row],[Kolom10]],N$5:N$35)),0)</f>
        <v>0</v>
      </c>
      <c r="BF7" s="135">
        <f>Tabel4246[[#This Row],[Kolom29120]]*BE$2</f>
        <v>0</v>
      </c>
      <c r="BG7" s="135">
        <f>IF(O$2="x",(_xlfn.RANK.EQ(Tabel4246[[#This Row],[Kolom11]],O$5:O$35)),0)</f>
        <v>0</v>
      </c>
      <c r="BH7" s="135">
        <f>Tabel4246[[#This Row],[Kolom29121]]*BG$2</f>
        <v>0</v>
      </c>
      <c r="BI7" s="135">
        <f>IF(P$2="x",(_xlfn.RANK.EQ(Tabel4246[[#This Row],[Kolom12]],P$5:P$35)),0)</f>
        <v>0</v>
      </c>
      <c r="BJ7" s="135">
        <f>Tabel4246[[#This Row],[Kolom29122]]*BI$2</f>
        <v>0</v>
      </c>
      <c r="BK7" s="135">
        <f>IF(Q$2="x",(_xlfn.RANK.EQ(Tabel4246[[#This Row],[Kolom13]],Q$5:Q$35)),0)</f>
        <v>0</v>
      </c>
      <c r="BL7" s="135">
        <f>Tabel4246[[#This Row],[Kolom29123]]*BK$2</f>
        <v>0</v>
      </c>
      <c r="BM7" s="135">
        <f>IF(R$2="x",(_xlfn.RANK.EQ(Tabel4246[[#This Row],[Kolom133]],R$5:R$35)),0)</f>
        <v>0</v>
      </c>
      <c r="BN7" s="135">
        <f>Tabel4246[[#This Row],[Kolom29124]]*BM$2</f>
        <v>0</v>
      </c>
      <c r="BO7" s="135">
        <f>IF(S$2="x",(_xlfn.RANK.EQ(Tabel4246[[#This Row],[Kolom132]],S$5:S$35)),0)</f>
        <v>0</v>
      </c>
      <c r="BP7" s="135">
        <f>Tabel4246[[#This Row],[Kolom29125]]*BO$2</f>
        <v>0</v>
      </c>
      <c r="BQ7" s="135">
        <f>IF(T$2="x",(_xlfn.RANK.EQ(Tabel4246[[#This Row],[Kolom14]],T$5:T$35)),0)</f>
        <v>0</v>
      </c>
      <c r="BR7" s="135">
        <f>Tabel4246[[#This Row],[Kolom29126]]*BQ$2</f>
        <v>0</v>
      </c>
      <c r="BS7" s="135">
        <f>IF(U$2="x",(_xlfn.RANK.EQ(Tabel4246[[#This Row],[Kolom16]],U$5:U$35)),0)</f>
        <v>0</v>
      </c>
      <c r="BT7" s="135">
        <f>Tabel4246[[#This Row],[Kolom29127]]*BS$2</f>
        <v>0</v>
      </c>
      <c r="BU7" s="135">
        <f>IF(V$2="x",(_xlfn.RANK.EQ(Tabel4246[[#This Row],[Kolom173]],V$5:V$35)),0)</f>
        <v>0</v>
      </c>
      <c r="BV7" s="135">
        <f>Tabel4246[[#This Row],[Kolom29128]]*BU$2</f>
        <v>0</v>
      </c>
      <c r="BW7" s="135">
        <f>IF(W$2="x",(_xlfn.RANK.EQ(Tabel4246[[#This Row],[Kolom172]],W$5:W$35)),0)</f>
        <v>0</v>
      </c>
      <c r="BX7" s="135">
        <f>Tabel4246[[#This Row],[Kolom29129]]*BW$2</f>
        <v>0</v>
      </c>
      <c r="BY7" s="135">
        <f>IF(X$2="x",(_xlfn.RANK.EQ(Tabel4246[[#This Row],[Kolom18]],X$5:X$35)),0)</f>
        <v>0</v>
      </c>
      <c r="BZ7" s="135">
        <f>Tabel4246[[#This Row],[Kolom29130]]*BY$2</f>
        <v>0</v>
      </c>
      <c r="CA7" s="135">
        <f>IF(Y$2="x",(_xlfn.RANK.EQ(Tabel4246[[#This Row],[Kolom19]],Y$5:Y$35)),0)</f>
        <v>0</v>
      </c>
      <c r="CB7" s="135">
        <f>Tabel4246[[#This Row],[Kolom29131]]*CA$2</f>
        <v>0</v>
      </c>
      <c r="CC7" s="135">
        <f>IF(Z$2="x",(_xlfn.RANK.EQ(Tabel4246[[#This Row],[Kolom20]],Z$5:Z$35)),0)</f>
        <v>10</v>
      </c>
      <c r="CD7" s="135">
        <f>Tabel4246[[#This Row],[Kolom29132]]*CC$2</f>
        <v>10</v>
      </c>
      <c r="CE7" s="135">
        <f>IF(AA$2="x",(_xlfn.RANK.EQ(Tabel4246[[#This Row],[Kolom21]],AA$5:AA$35)),0)</f>
        <v>0</v>
      </c>
      <c r="CF7" s="135">
        <f>Tabel4246[[#This Row],[Kolom29133]]*CE$2</f>
        <v>0</v>
      </c>
      <c r="CG7" s="135">
        <f>IF(AB$2="x",(_xlfn.RANK.EQ(Tabel4246[[#This Row],[Kolom22]],AB$5:AB$35)),0)</f>
        <v>0</v>
      </c>
      <c r="CH7" s="135">
        <f>Tabel4246[[#This Row],[Kolom29134]]*CG$2</f>
        <v>0</v>
      </c>
      <c r="CI7" s="135">
        <f>IF(AC$2="x",(_xlfn.RANK.EQ(Tabel4246[[#This Row],[Kolom223]],AC$5:AC$35)),0)</f>
        <v>7</v>
      </c>
      <c r="CJ7" s="135">
        <f>Tabel4246[[#This Row],[Kolom29135]]*CI$2</f>
        <v>7</v>
      </c>
      <c r="CK7" s="135">
        <f>IF(AD$2="x",(_xlfn.RANK.EQ(Tabel4246[[#This Row],[Kolom222]],AD$5:AD$35)),0)</f>
        <v>0</v>
      </c>
      <c r="CL7" s="135">
        <f>Tabel4246[[#This Row],[Kolom29136]]*CK$2</f>
        <v>0</v>
      </c>
      <c r="CM7" s="135">
        <f t="shared" si="13"/>
        <v>3</v>
      </c>
      <c r="CN7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Row],[Kolom29130]]+CA7+Tabel4246[[#This Row],[Kolom29132]]+Tabel4246[[#This Row],[Kolom29133]]+Tabel4246[[#This Row],[Kolom29134]]+Tabel4246[[#This Row],[Kolom29135]]+Tabel4246[[#This Row],[Kolom29136]])/Tabel4246[[#This Row],[Kolom29137]]</f>
        <v>13.333333333333334</v>
      </c>
      <c r="CO7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Row],[Kolom291302]]+CB7+Tabel4246[[#This Row],[Kolom291322]]+Tabel4246[[#This Row],[Kolom291332]]+Tabel4246[[#This Row],[Kolom291342]]+Tabel4246[[#This Row],[Kolom291352]]+Tabel4246[[#This Row],[Kolom291362]])/Tabel4246[[#This Row],[Kolom29137]]</f>
        <v>44</v>
      </c>
      <c r="CP7" s="142">
        <f>_xlfn.RANK.EQ(Tabel4246[[#This Row],[Kolom29138]],CN$5:CN$35,1)</f>
        <v>17</v>
      </c>
      <c r="CQ7" s="142">
        <f>_xlfn.RANK.EQ(Tabel4246[[#This Row],[Kolom291382]],CO$5:CO$35,1)</f>
        <v>25</v>
      </c>
    </row>
    <row r="8" spans="1:96">
      <c r="B8" s="21" t="str">
        <f>'Symptomen (alle)'!A5</f>
        <v>Worms Internal/Camallanus/Capillaria/Nematode/other worms</v>
      </c>
      <c r="C8">
        <f>'Symptomen (alle)'!B5</f>
        <v>0</v>
      </c>
      <c r="D8" s="21">
        <f>IF(D$2="x",'Symptomen (alle)'!C5,0)</f>
        <v>0</v>
      </c>
      <c r="E8" s="21">
        <f>IF(E$2="x",'Symptomen (alle)'!D5,0)</f>
        <v>0</v>
      </c>
      <c r="F8" s="21">
        <f>IF(F$2="x",'Symptomen (alle)'!E5,0)</f>
        <v>0</v>
      </c>
      <c r="G8" s="21">
        <f>IF(G$2="x",'Symptomen (alle)'!F5,0)</f>
        <v>0</v>
      </c>
      <c r="H8" s="21">
        <f>IF(H$2="x",'Symptomen (alle)'!G5,0)</f>
        <v>0</v>
      </c>
      <c r="I8" s="21">
        <f>IF(I$2="x",'Symptomen (alle)'!H5,0)</f>
        <v>0</v>
      </c>
      <c r="J8" s="21">
        <f>IF(J$2="x",'Symptomen (alle)'!I5,0)</f>
        <v>0</v>
      </c>
      <c r="K8" s="21">
        <f>IF(K$2="x",'Symptomen (alle)'!J5,0)</f>
        <v>0</v>
      </c>
      <c r="L8" s="21">
        <f>IF(L$2="x",'Symptomen (alle)'!K5,0)</f>
        <v>0</v>
      </c>
      <c r="M8" s="21">
        <f>IF(M$2="x",'Symptomen (alle)'!L5,0)</f>
        <v>0</v>
      </c>
      <c r="N8" s="21">
        <f>IF(N$2="x",'Symptomen (alle)'!M5,0)</f>
        <v>0</v>
      </c>
      <c r="O8" s="21">
        <f>IF(O$2="x",'Symptomen (alle)'!N5,0)</f>
        <v>0</v>
      </c>
      <c r="P8" s="21">
        <f>IF(P$2="x",'Symptomen (alle)'!O5,0)</f>
        <v>0</v>
      </c>
      <c r="Q8" s="21">
        <f>IF(Q$2="x",'Symptomen (alle)'!P5,0)</f>
        <v>0</v>
      </c>
      <c r="R8" s="21">
        <f>IF(R$2="x",'Symptomen (alle)'!Q5,0)</f>
        <v>0</v>
      </c>
      <c r="S8" s="21">
        <f>IF(S$2="x",'Symptomen (alle)'!R5,0)</f>
        <v>0</v>
      </c>
      <c r="T8" s="21">
        <f>IF(T$2="x",'Symptomen (alle)'!S5,0)</f>
        <v>0</v>
      </c>
      <c r="U8" s="21">
        <f>IF(U$2="x",'Symptomen (alle)'!T5,0)</f>
        <v>0</v>
      </c>
      <c r="V8" s="21">
        <f>IF(V$2="x",'Symptomen (alle)'!U5,0)</f>
        <v>0</v>
      </c>
      <c r="W8" s="21">
        <f>IF(W$2="x",'Symptomen (alle)'!V5,0)</f>
        <v>0</v>
      </c>
      <c r="X8" s="21">
        <f>IF(X$2="x",'Symptomen (alle)'!W5,0)</f>
        <v>0</v>
      </c>
      <c r="Y8" s="21">
        <f>IF(Y$2="x",'Symptomen (alle)'!X5,0)</f>
        <v>0</v>
      </c>
      <c r="Z8" s="21">
        <f>IF(Z$2="x",'Symptomen (alle)'!Y5,0)</f>
        <v>2</v>
      </c>
      <c r="AA8" s="21">
        <f>IF(AA$2="x",'Symptomen (alle)'!Z5,0)</f>
        <v>0</v>
      </c>
      <c r="AB8" s="21">
        <f>IF(AB$2="x",'Symptomen (alle)'!AA5,0)</f>
        <v>0</v>
      </c>
      <c r="AC8" s="21">
        <f>IF(AC$2="x",'Symptomen (alle)'!AB5,0)</f>
        <v>3</v>
      </c>
      <c r="AD8" s="21">
        <f>IF(AD$2="x",'Symptomen (alle)'!AC5,0)</f>
        <v>0</v>
      </c>
      <c r="AE8" s="21">
        <f t="shared" si="11"/>
        <v>5</v>
      </c>
      <c r="AF8" s="21">
        <f>HLOOKUP($B$2,ZiekteFam!$B$1:$T$32,AG8,FALSE)</f>
        <v>3</v>
      </c>
      <c r="AG8" s="32">
        <f t="shared" si="12"/>
        <v>5</v>
      </c>
      <c r="AH8" s="32">
        <f>SUM('Symptomen (alle)'!D5:AC5)</f>
        <v>15</v>
      </c>
      <c r="AI8" s="22">
        <f>Tabel4246[[#This Row],[Kolom25]]/Tabel4246[[#This Row],[Kolom28]]</f>
        <v>0.33333333333333331</v>
      </c>
      <c r="AJ8" s="22"/>
      <c r="AK8" s="22">
        <f>Tabel4246[[#This Row],[Kolom29]]</f>
        <v>0.33333333333333331</v>
      </c>
      <c r="AL8" s="36">
        <f>_xlfn.RANK.EQ(Tabel4246[[#This Row],[Kolom29]],$AI$5:$AI$35)</f>
        <v>8</v>
      </c>
      <c r="AM8" s="135">
        <f>IF(E$2="x",(_xlfn.RANK.EQ(Tabel4246[[#This Row],[Kolom3]],E$5:E$35)),0)</f>
        <v>0</v>
      </c>
      <c r="AN8" s="135">
        <f>Tabel4246[[#This Row],[Kolom2911]]*AM$2</f>
        <v>0</v>
      </c>
      <c r="AO8" s="135">
        <f>IF(F$2="x",(_xlfn.RANK.EQ(Tabel4246[[#This Row],[Kolom4]],F$5:F$35)),0)</f>
        <v>0</v>
      </c>
      <c r="AP8" s="135">
        <f>Tabel4246[[#This Row],[Kolom29112]]*AO$2</f>
        <v>0</v>
      </c>
      <c r="AQ8" s="135">
        <f>IF(G$2="x",(_xlfn.RANK.EQ(Tabel4246[[#This Row],[Kolom5]],G$5:G$35)),0)</f>
        <v>0</v>
      </c>
      <c r="AR8" s="135">
        <f>Tabel4246[[#This Row],[Kolom29113]]*AQ$2</f>
        <v>0</v>
      </c>
      <c r="AS8" s="135">
        <f>IF(H$2="x",(_xlfn.RANK.EQ(Tabel4246[[#This Row],[Kolom6]],H$5:H$35)),0)</f>
        <v>0</v>
      </c>
      <c r="AT8" s="135">
        <f>Tabel4246[[#This Row],[Kolom29114]]*AS$2</f>
        <v>0</v>
      </c>
      <c r="AU8" s="135">
        <f>IF(I$2="x",(_xlfn.RANK.EQ(Tabel4246[[#This Row],[Kolom62]],I$5:I$35)),0)</f>
        <v>0</v>
      </c>
      <c r="AV8" s="135">
        <f>Tabel4246[[#This Row],[Kolom29115]]*AU$2</f>
        <v>0</v>
      </c>
      <c r="AW8" s="135">
        <f>IF(J$2="x",(_xlfn.RANK.EQ(Tabel4246[[#This Row],[Kolom7]],J$5:J$35)),0)</f>
        <v>23</v>
      </c>
      <c r="AX8" s="135">
        <f>Tabel4246[[#This Row],[Kolom29116]]*AW$2</f>
        <v>115</v>
      </c>
      <c r="AY8" s="135">
        <f>IF(K$2="x",(_xlfn.RANK.EQ(Tabel4246[[#This Row],[Kolom72]],K$5:K$35)),0)</f>
        <v>0</v>
      </c>
      <c r="AZ8" s="135">
        <f>Tabel4246[[#This Row],[Kolom29117]]*AY$2</f>
        <v>0</v>
      </c>
      <c r="BA8" s="135">
        <f>IF(L$2="x",(_xlfn.RANK.EQ(Tabel4246[[#This Row],[Kolom8]],L$5:L$35)),0)</f>
        <v>0</v>
      </c>
      <c r="BB8" s="135">
        <f>Tabel4246[[#This Row],[Kolom29118]]*BA$2</f>
        <v>0</v>
      </c>
      <c r="BC8" s="135">
        <f>IF(M$2="x",(_xlfn.RANK.EQ(Tabel4246[[#This Row],[Kolom9]],M$5:M$35)),0)</f>
        <v>0</v>
      </c>
      <c r="BD8" s="135">
        <f>Tabel4246[[#This Row],[Kolom29119]]*BC$2</f>
        <v>0</v>
      </c>
      <c r="BE8" s="135">
        <f>IF(N$2="x",(_xlfn.RANK.EQ(Tabel4246[[#This Row],[Kolom10]],N$5:N$35)),0)</f>
        <v>0</v>
      </c>
      <c r="BF8" s="135">
        <f>Tabel4246[[#This Row],[Kolom29120]]*BE$2</f>
        <v>0</v>
      </c>
      <c r="BG8" s="135">
        <f>IF(O$2="x",(_xlfn.RANK.EQ(Tabel4246[[#This Row],[Kolom11]],O$5:O$35)),0)</f>
        <v>0</v>
      </c>
      <c r="BH8" s="135">
        <f>Tabel4246[[#This Row],[Kolom29121]]*BG$2</f>
        <v>0</v>
      </c>
      <c r="BI8" s="135">
        <f>IF(P$2="x",(_xlfn.RANK.EQ(Tabel4246[[#This Row],[Kolom12]],P$5:P$35)),0)</f>
        <v>0</v>
      </c>
      <c r="BJ8" s="135">
        <f>Tabel4246[[#This Row],[Kolom29122]]*BI$2</f>
        <v>0</v>
      </c>
      <c r="BK8" s="135">
        <f>IF(Q$2="x",(_xlfn.RANK.EQ(Tabel4246[[#This Row],[Kolom13]],Q$5:Q$35)),0)</f>
        <v>0</v>
      </c>
      <c r="BL8" s="135">
        <f>Tabel4246[[#This Row],[Kolom29123]]*BK$2</f>
        <v>0</v>
      </c>
      <c r="BM8" s="135">
        <f>IF(R$2="x",(_xlfn.RANK.EQ(Tabel4246[[#This Row],[Kolom133]],R$5:R$35)),0)</f>
        <v>0</v>
      </c>
      <c r="BN8" s="135">
        <f>Tabel4246[[#This Row],[Kolom29124]]*BM$2</f>
        <v>0</v>
      </c>
      <c r="BO8" s="135">
        <f>IF(S$2="x",(_xlfn.RANK.EQ(Tabel4246[[#This Row],[Kolom132]],S$5:S$35)),0)</f>
        <v>0</v>
      </c>
      <c r="BP8" s="135">
        <f>Tabel4246[[#This Row],[Kolom29125]]*BO$2</f>
        <v>0</v>
      </c>
      <c r="BQ8" s="135">
        <f>IF(T$2="x",(_xlfn.RANK.EQ(Tabel4246[[#This Row],[Kolom14]],T$5:T$35)),0)</f>
        <v>0</v>
      </c>
      <c r="BR8" s="135">
        <f>Tabel4246[[#This Row],[Kolom29126]]*BQ$2</f>
        <v>0</v>
      </c>
      <c r="BS8" s="135">
        <f>IF(U$2="x",(_xlfn.RANK.EQ(Tabel4246[[#This Row],[Kolom16]],U$5:U$35)),0)</f>
        <v>0</v>
      </c>
      <c r="BT8" s="135">
        <f>Tabel4246[[#This Row],[Kolom29127]]*BS$2</f>
        <v>0</v>
      </c>
      <c r="BU8" s="135">
        <f>IF(V$2="x",(_xlfn.RANK.EQ(Tabel4246[[#This Row],[Kolom173]],V$5:V$35)),0)</f>
        <v>0</v>
      </c>
      <c r="BV8" s="135">
        <f>Tabel4246[[#This Row],[Kolom29128]]*BU$2</f>
        <v>0</v>
      </c>
      <c r="BW8" s="135">
        <f>IF(W$2="x",(_xlfn.RANK.EQ(Tabel4246[[#This Row],[Kolom172]],W$5:W$35)),0)</f>
        <v>0</v>
      </c>
      <c r="BX8" s="135">
        <f>Tabel4246[[#This Row],[Kolom29129]]*BW$2</f>
        <v>0</v>
      </c>
      <c r="BY8" s="135">
        <f>IF(X$2="x",(_xlfn.RANK.EQ(Tabel4246[[#This Row],[Kolom18]],X$5:X$35)),0)</f>
        <v>0</v>
      </c>
      <c r="BZ8" s="135">
        <f>Tabel4246[[#This Row],[Kolom29130]]*BY$2</f>
        <v>0</v>
      </c>
      <c r="CA8" s="135">
        <f>IF(Y$2="x",(_xlfn.RANK.EQ(Tabel4246[[#This Row],[Kolom19]],Y$5:Y$35)),0)</f>
        <v>0</v>
      </c>
      <c r="CB8" s="135">
        <f>Tabel4246[[#This Row],[Kolom29131]]*CA$2</f>
        <v>0</v>
      </c>
      <c r="CC8" s="135">
        <f>IF(Z$2="x",(_xlfn.RANK.EQ(Tabel4246[[#This Row],[Kolom20]],Z$5:Z$35)),0)</f>
        <v>10</v>
      </c>
      <c r="CD8" s="135">
        <f>Tabel4246[[#This Row],[Kolom29132]]*CC$2</f>
        <v>10</v>
      </c>
      <c r="CE8" s="135">
        <f>IF(AA$2="x",(_xlfn.RANK.EQ(Tabel4246[[#This Row],[Kolom21]],AA$5:AA$35)),0)</f>
        <v>0</v>
      </c>
      <c r="CF8" s="135">
        <f>Tabel4246[[#This Row],[Kolom29133]]*CE$2</f>
        <v>0</v>
      </c>
      <c r="CG8" s="135">
        <f>IF(AB$2="x",(_xlfn.RANK.EQ(Tabel4246[[#This Row],[Kolom22]],AB$5:AB$35)),0)</f>
        <v>0</v>
      </c>
      <c r="CH8" s="135">
        <f>Tabel4246[[#This Row],[Kolom29134]]*CG$2</f>
        <v>0</v>
      </c>
      <c r="CI8" s="135">
        <f>IF(AC$2="x",(_xlfn.RANK.EQ(Tabel4246[[#This Row],[Kolom223]],AC$5:AC$35)),0)</f>
        <v>7</v>
      </c>
      <c r="CJ8" s="135">
        <f>Tabel4246[[#This Row],[Kolom29135]]*CI$2</f>
        <v>7</v>
      </c>
      <c r="CK8" s="135">
        <f>IF(AD$2="x",(_xlfn.RANK.EQ(Tabel4246[[#This Row],[Kolom222]],AD$5:AD$35)),0)</f>
        <v>0</v>
      </c>
      <c r="CL8" s="135">
        <f>Tabel4246[[#This Row],[Kolom29136]]*CK$2</f>
        <v>0</v>
      </c>
      <c r="CM8" s="135">
        <f t="shared" si="13"/>
        <v>3</v>
      </c>
      <c r="CN8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Row],[Kolom29130]]+CA8+Tabel4246[[#This Row],[Kolom29132]]+Tabel4246[[#This Row],[Kolom29133]]+Tabel4246[[#This Row],[Kolom29134]]+Tabel4246[[#This Row],[Kolom29135]]+Tabel4246[[#This Row],[Kolom29136]])/Tabel4246[[#This Row],[Kolom29137]]</f>
        <v>13.333333333333334</v>
      </c>
      <c r="CO8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Row],[Kolom291302]]+CB8+Tabel4246[[#This Row],[Kolom291322]]+Tabel4246[[#This Row],[Kolom291332]]+Tabel4246[[#This Row],[Kolom291342]]+Tabel4246[[#This Row],[Kolom291352]]+Tabel4246[[#This Row],[Kolom291362]])/Tabel4246[[#This Row],[Kolom29137]]</f>
        <v>44</v>
      </c>
      <c r="CP8" s="142">
        <f>_xlfn.RANK.EQ(Tabel4246[[#This Row],[Kolom29138]],CN$5:CN$35,1)</f>
        <v>17</v>
      </c>
      <c r="CQ8" s="142">
        <f>_xlfn.RANK.EQ(Tabel4246[[#This Row],[Kolom291382]],CO$5:CO$35,1)</f>
        <v>25</v>
      </c>
    </row>
    <row r="9" spans="1:96">
      <c r="B9" s="21" t="str">
        <f>'Symptomen (alle)'!A6</f>
        <v>Swellings (Cancers, Trematodes, Nematodes, Sporozoa, etc.)</v>
      </c>
      <c r="C9" s="77">
        <f>'Symptomen (alle)'!B6</f>
        <v>0</v>
      </c>
      <c r="D9" s="21">
        <f>IF(D$2="x",'Symptomen (alle)'!C6,0)</f>
        <v>0</v>
      </c>
      <c r="E9" s="21">
        <f>IF(E$2="x",'Symptomen (alle)'!D6,0)</f>
        <v>0</v>
      </c>
      <c r="F9" s="21">
        <f>IF(F$2="x",'Symptomen (alle)'!E6,0)</f>
        <v>0</v>
      </c>
      <c r="G9" s="21">
        <f>IF(G$2="x",'Symptomen (alle)'!F6,0)</f>
        <v>0</v>
      </c>
      <c r="H9" s="21">
        <f>IF(H$2="x",'Symptomen (alle)'!G6,0)</f>
        <v>0</v>
      </c>
      <c r="I9" s="21">
        <f>IF(I$2="x",'Symptomen (alle)'!H6,0)</f>
        <v>0</v>
      </c>
      <c r="J9" s="21">
        <f>IF(J$2="x",'Symptomen (alle)'!I6,0)</f>
        <v>0</v>
      </c>
      <c r="K9" s="21">
        <f>IF(K$2="x",'Symptomen (alle)'!J6,0)</f>
        <v>0</v>
      </c>
      <c r="L9" s="21">
        <f>IF(L$2="x",'Symptomen (alle)'!K6,0)</f>
        <v>0</v>
      </c>
      <c r="M9" s="21">
        <f>IF(M$2="x",'Symptomen (alle)'!L6,0)</f>
        <v>0</v>
      </c>
      <c r="N9" s="21">
        <f>IF(N$2="x",'Symptomen (alle)'!M6,0)</f>
        <v>0</v>
      </c>
      <c r="O9" s="21">
        <f>IF(O$2="x",'Symptomen (alle)'!N6,0)</f>
        <v>0</v>
      </c>
      <c r="P9" s="21">
        <f>IF(P$2="x",'Symptomen (alle)'!O6,0)</f>
        <v>0</v>
      </c>
      <c r="Q9" s="21">
        <f>IF(Q$2="x",'Symptomen (alle)'!P6,0)</f>
        <v>0</v>
      </c>
      <c r="R9" s="21">
        <f>IF(R$2="x",'Symptomen (alle)'!Q6,0)</f>
        <v>0</v>
      </c>
      <c r="S9" s="21">
        <f>IF(S$2="x",'Symptomen (alle)'!R6,0)</f>
        <v>0</v>
      </c>
      <c r="T9" s="21">
        <f>IF(T$2="x",'Symptomen (alle)'!S6,0)</f>
        <v>0</v>
      </c>
      <c r="U9" s="21">
        <f>IF(U$2="x",'Symptomen (alle)'!T6,0)</f>
        <v>0</v>
      </c>
      <c r="V9" s="21">
        <f>IF(V$2="x",'Symptomen (alle)'!U6,0)</f>
        <v>0</v>
      </c>
      <c r="W9" s="21">
        <f>IF(W$2="x",'Symptomen (alle)'!V6,0)</f>
        <v>0</v>
      </c>
      <c r="X9" s="21">
        <f>IF(X$2="x",'Symptomen (alle)'!W6,0)</f>
        <v>0</v>
      </c>
      <c r="Y9" s="21">
        <f>IF(Y$2="x",'Symptomen (alle)'!X6,0)</f>
        <v>0</v>
      </c>
      <c r="Z9" s="21">
        <f>IF(Z$2="x",'Symptomen (alle)'!Y6,0)</f>
        <v>0</v>
      </c>
      <c r="AA9" s="21">
        <f>IF(AA$2="x",'Symptomen (alle)'!Z6,0)</f>
        <v>0</v>
      </c>
      <c r="AB9" s="21">
        <f>IF(AB$2="x",'Symptomen (alle)'!AA6,0)</f>
        <v>0</v>
      </c>
      <c r="AC9" s="21">
        <f>IF(AC$2="x",'Symptomen (alle)'!AB6,0)</f>
        <v>3</v>
      </c>
      <c r="AD9" s="21">
        <f>IF(AD$2="x",'Symptomen (alle)'!AC6,0)</f>
        <v>0</v>
      </c>
      <c r="AE9" s="21">
        <f t="shared" si="11"/>
        <v>3</v>
      </c>
      <c r="AF9" s="21">
        <f>HLOOKUP($B$2,ZiekteFam!$B$1:$T$32,AG9,FALSE)</f>
        <v>3</v>
      </c>
      <c r="AG9" s="32">
        <f t="shared" si="12"/>
        <v>6</v>
      </c>
      <c r="AH9" s="32">
        <f>SUM('Symptomen (alle)'!D6:AC6)</f>
        <v>25</v>
      </c>
      <c r="AI9" s="22">
        <f>Tabel4246[[#This Row],[Kolom25]]/Tabel4246[[#This Row],[Kolom28]]</f>
        <v>0.12</v>
      </c>
      <c r="AJ9" s="22"/>
      <c r="AK9" s="22">
        <f>Tabel4246[[#This Row],[Kolom29]]</f>
        <v>0.12</v>
      </c>
      <c r="AL9" s="36">
        <f>_xlfn.RANK.EQ(Tabel4246[[#This Row],[Kolom29]],$AI$5:$AI$35)</f>
        <v>28</v>
      </c>
      <c r="AM9" s="135">
        <f>IF(E$2="x",(_xlfn.RANK.EQ(Tabel4246[[#This Row],[Kolom3]],E$5:E$35)),0)</f>
        <v>0</v>
      </c>
      <c r="AN9" s="135">
        <f>Tabel4246[[#This Row],[Kolom2911]]*AM$2</f>
        <v>0</v>
      </c>
      <c r="AO9" s="135">
        <f>IF(F$2="x",(_xlfn.RANK.EQ(Tabel4246[[#This Row],[Kolom4]],F$5:F$35)),0)</f>
        <v>0</v>
      </c>
      <c r="AP9" s="135">
        <f>Tabel4246[[#This Row],[Kolom29112]]*AO$2</f>
        <v>0</v>
      </c>
      <c r="AQ9" s="135">
        <f>IF(G$2="x",(_xlfn.RANK.EQ(Tabel4246[[#This Row],[Kolom5]],G$5:G$35)),0)</f>
        <v>0</v>
      </c>
      <c r="AR9" s="135">
        <f>Tabel4246[[#This Row],[Kolom29113]]*AQ$2</f>
        <v>0</v>
      </c>
      <c r="AS9" s="135">
        <f>IF(H$2="x",(_xlfn.RANK.EQ(Tabel4246[[#This Row],[Kolom6]],H$5:H$35)),0)</f>
        <v>0</v>
      </c>
      <c r="AT9" s="135">
        <f>Tabel4246[[#This Row],[Kolom29114]]*AS$2</f>
        <v>0</v>
      </c>
      <c r="AU9" s="135">
        <f>IF(I$2="x",(_xlfn.RANK.EQ(Tabel4246[[#This Row],[Kolom62]],I$5:I$35)),0)</f>
        <v>0</v>
      </c>
      <c r="AV9" s="135">
        <f>Tabel4246[[#This Row],[Kolom29115]]*AU$2</f>
        <v>0</v>
      </c>
      <c r="AW9" s="135">
        <f>IF(J$2="x",(_xlfn.RANK.EQ(Tabel4246[[#This Row],[Kolom7]],J$5:J$35)),0)</f>
        <v>23</v>
      </c>
      <c r="AX9" s="135">
        <f>Tabel4246[[#This Row],[Kolom29116]]*AW$2</f>
        <v>115</v>
      </c>
      <c r="AY9" s="135">
        <f>IF(K$2="x",(_xlfn.RANK.EQ(Tabel4246[[#This Row],[Kolom72]],K$5:K$35)),0)</f>
        <v>0</v>
      </c>
      <c r="AZ9" s="135">
        <f>Tabel4246[[#This Row],[Kolom29117]]*AY$2</f>
        <v>0</v>
      </c>
      <c r="BA9" s="135">
        <f>IF(L$2="x",(_xlfn.RANK.EQ(Tabel4246[[#This Row],[Kolom8]],L$5:L$35)),0)</f>
        <v>0</v>
      </c>
      <c r="BB9" s="135">
        <f>Tabel4246[[#This Row],[Kolom29118]]*BA$2</f>
        <v>0</v>
      </c>
      <c r="BC9" s="135">
        <f>IF(M$2="x",(_xlfn.RANK.EQ(Tabel4246[[#This Row],[Kolom9]],M$5:M$35)),0)</f>
        <v>0</v>
      </c>
      <c r="BD9" s="135">
        <f>Tabel4246[[#This Row],[Kolom29119]]*BC$2</f>
        <v>0</v>
      </c>
      <c r="BE9" s="135">
        <f>IF(N$2="x",(_xlfn.RANK.EQ(Tabel4246[[#This Row],[Kolom10]],N$5:N$35)),0)</f>
        <v>0</v>
      </c>
      <c r="BF9" s="135">
        <f>Tabel4246[[#This Row],[Kolom29120]]*BE$2</f>
        <v>0</v>
      </c>
      <c r="BG9" s="135">
        <f>IF(O$2="x",(_xlfn.RANK.EQ(Tabel4246[[#This Row],[Kolom11]],O$5:O$35)),0)</f>
        <v>0</v>
      </c>
      <c r="BH9" s="135">
        <f>Tabel4246[[#This Row],[Kolom29121]]*BG$2</f>
        <v>0</v>
      </c>
      <c r="BI9" s="135">
        <f>IF(P$2="x",(_xlfn.RANK.EQ(Tabel4246[[#This Row],[Kolom12]],P$5:P$35)),0)</f>
        <v>0</v>
      </c>
      <c r="BJ9" s="135">
        <f>Tabel4246[[#This Row],[Kolom29122]]*BI$2</f>
        <v>0</v>
      </c>
      <c r="BK9" s="135">
        <f>IF(Q$2="x",(_xlfn.RANK.EQ(Tabel4246[[#This Row],[Kolom13]],Q$5:Q$35)),0)</f>
        <v>0</v>
      </c>
      <c r="BL9" s="135">
        <f>Tabel4246[[#This Row],[Kolom29123]]*BK$2</f>
        <v>0</v>
      </c>
      <c r="BM9" s="135">
        <f>IF(R$2="x",(_xlfn.RANK.EQ(Tabel4246[[#This Row],[Kolom133]],R$5:R$35)),0)</f>
        <v>0</v>
      </c>
      <c r="BN9" s="135">
        <f>Tabel4246[[#This Row],[Kolom29124]]*BM$2</f>
        <v>0</v>
      </c>
      <c r="BO9" s="135">
        <f>IF(S$2="x",(_xlfn.RANK.EQ(Tabel4246[[#This Row],[Kolom132]],S$5:S$35)),0)</f>
        <v>0</v>
      </c>
      <c r="BP9" s="135">
        <f>Tabel4246[[#This Row],[Kolom29125]]*BO$2</f>
        <v>0</v>
      </c>
      <c r="BQ9" s="135">
        <f>IF(T$2="x",(_xlfn.RANK.EQ(Tabel4246[[#This Row],[Kolom14]],T$5:T$35)),0)</f>
        <v>0</v>
      </c>
      <c r="BR9" s="135">
        <f>Tabel4246[[#This Row],[Kolom29126]]*BQ$2</f>
        <v>0</v>
      </c>
      <c r="BS9" s="135">
        <f>IF(U$2="x",(_xlfn.RANK.EQ(Tabel4246[[#This Row],[Kolom16]],U$5:U$35)),0)</f>
        <v>0</v>
      </c>
      <c r="BT9" s="135">
        <f>Tabel4246[[#This Row],[Kolom29127]]*BS$2</f>
        <v>0</v>
      </c>
      <c r="BU9" s="135">
        <f>IF(V$2="x",(_xlfn.RANK.EQ(Tabel4246[[#This Row],[Kolom173]],V$5:V$35)),0)</f>
        <v>0</v>
      </c>
      <c r="BV9" s="135">
        <f>Tabel4246[[#This Row],[Kolom29128]]*BU$2</f>
        <v>0</v>
      </c>
      <c r="BW9" s="135">
        <f>IF(W$2="x",(_xlfn.RANK.EQ(Tabel4246[[#This Row],[Kolom172]],W$5:W$35)),0)</f>
        <v>0</v>
      </c>
      <c r="BX9" s="135">
        <f>Tabel4246[[#This Row],[Kolom29129]]*BW$2</f>
        <v>0</v>
      </c>
      <c r="BY9" s="135">
        <f>IF(X$2="x",(_xlfn.RANK.EQ(Tabel4246[[#This Row],[Kolom18]],X$5:X$35)),0)</f>
        <v>0</v>
      </c>
      <c r="BZ9" s="135">
        <f>Tabel4246[[#This Row],[Kolom29130]]*BY$2</f>
        <v>0</v>
      </c>
      <c r="CA9" s="135">
        <f>IF(Y$2="x",(_xlfn.RANK.EQ(Tabel4246[[#This Row],[Kolom19]],Y$5:Y$35)),0)</f>
        <v>0</v>
      </c>
      <c r="CB9" s="135">
        <f>Tabel4246[[#This Row],[Kolom29131]]*CA$2</f>
        <v>0</v>
      </c>
      <c r="CC9" s="135">
        <f>IF(Z$2="x",(_xlfn.RANK.EQ(Tabel4246[[#This Row],[Kolom20]],Z$5:Z$35)),0)</f>
        <v>29</v>
      </c>
      <c r="CD9" s="135">
        <f>Tabel4246[[#This Row],[Kolom29132]]*CC$2</f>
        <v>29</v>
      </c>
      <c r="CE9" s="135">
        <f>IF(AA$2="x",(_xlfn.RANK.EQ(Tabel4246[[#This Row],[Kolom21]],AA$5:AA$35)),0)</f>
        <v>0</v>
      </c>
      <c r="CF9" s="135">
        <f>Tabel4246[[#This Row],[Kolom29133]]*CE$2</f>
        <v>0</v>
      </c>
      <c r="CG9" s="135">
        <f>IF(AB$2="x",(_xlfn.RANK.EQ(Tabel4246[[#This Row],[Kolom22]],AB$5:AB$35)),0)</f>
        <v>0</v>
      </c>
      <c r="CH9" s="135">
        <f>Tabel4246[[#This Row],[Kolom29134]]*CG$2</f>
        <v>0</v>
      </c>
      <c r="CI9" s="135">
        <f>IF(AC$2="x",(_xlfn.RANK.EQ(Tabel4246[[#This Row],[Kolom223]],AC$5:AC$35)),0)</f>
        <v>7</v>
      </c>
      <c r="CJ9" s="135">
        <f>Tabel4246[[#This Row],[Kolom29135]]*CI$2</f>
        <v>7</v>
      </c>
      <c r="CK9" s="135">
        <f>IF(AD$2="x",(_xlfn.RANK.EQ(Tabel4246[[#This Row],[Kolom222]],AD$5:AD$35)),0)</f>
        <v>0</v>
      </c>
      <c r="CL9" s="135">
        <f>Tabel4246[[#This Row],[Kolom29136]]*CK$2</f>
        <v>0</v>
      </c>
      <c r="CM9" s="135">
        <f t="shared" si="13"/>
        <v>3</v>
      </c>
      <c r="CN9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Row],[Kolom29130]]+CA9+Tabel4246[[#This Row],[Kolom29132]]+Tabel4246[[#This Row],[Kolom29133]]+Tabel4246[[#This Row],[Kolom29134]]+Tabel4246[[#This Row],[Kolom29135]]+Tabel4246[[#This Row],[Kolom29136]])/Tabel4246[[#This Row],[Kolom29137]]</f>
        <v>19.666666666666668</v>
      </c>
      <c r="CO9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Row],[Kolom291302]]+CB9+Tabel4246[[#This Row],[Kolom291322]]+Tabel4246[[#This Row],[Kolom291332]]+Tabel4246[[#This Row],[Kolom291342]]+Tabel4246[[#This Row],[Kolom291352]]+Tabel4246[[#This Row],[Kolom291362]])/Tabel4246[[#This Row],[Kolom29137]]</f>
        <v>50.333333333333336</v>
      </c>
      <c r="CP9" s="142">
        <f>_xlfn.RANK.EQ(Tabel4246[[#This Row],[Kolom29138]],CN$5:CN$35,1)</f>
        <v>28</v>
      </c>
      <c r="CQ9" s="142">
        <f>_xlfn.RANK.EQ(Tabel4246[[#This Row],[Kolom291382]],CO$5:CO$35,1)</f>
        <v>30</v>
      </c>
    </row>
    <row r="10" spans="1:96">
      <c r="B10" s="21" t="str">
        <f>'Symptomen (alle)'!A7</f>
        <v>Skin fluke (i.e. Gyrodactylus)</v>
      </c>
      <c r="C10" s="21">
        <f>'Symptomen (alle)'!B7</f>
        <v>0</v>
      </c>
      <c r="D10" s="21">
        <f>IF(D$2="x",'Symptomen (alle)'!C7,0)</f>
        <v>0</v>
      </c>
      <c r="E10" s="21">
        <f>IF(E$2="x",'Symptomen (alle)'!D7,0)</f>
        <v>0</v>
      </c>
      <c r="F10" s="21">
        <f>IF(F$2="x",'Symptomen (alle)'!E7,0)</f>
        <v>0</v>
      </c>
      <c r="G10" s="21">
        <f>IF(G$2="x",'Symptomen (alle)'!F7,0)</f>
        <v>0</v>
      </c>
      <c r="H10" s="21">
        <f>IF(H$2="x",'Symptomen (alle)'!G7,0)</f>
        <v>0</v>
      </c>
      <c r="I10" s="21">
        <f>IF(I$2="x",'Symptomen (alle)'!H7,0)</f>
        <v>0</v>
      </c>
      <c r="J10" s="21">
        <f>IF(J$2="x",'Symptomen (alle)'!I7,0)</f>
        <v>2</v>
      </c>
      <c r="K10" s="21">
        <f>IF(K$2="x",'Symptomen (alle)'!J7,0)</f>
        <v>0</v>
      </c>
      <c r="L10" s="21">
        <f>IF(L$2="x",'Symptomen (alle)'!K7,0)</f>
        <v>0</v>
      </c>
      <c r="M10" s="21">
        <f>IF(M$2="x",'Symptomen (alle)'!L7,0)</f>
        <v>0</v>
      </c>
      <c r="N10" s="21">
        <f>IF(N$2="x",'Symptomen (alle)'!M7,0)</f>
        <v>0</v>
      </c>
      <c r="O10" s="21">
        <f>IF(O$2="x",'Symptomen (alle)'!N7,0)</f>
        <v>0</v>
      </c>
      <c r="P10" s="21">
        <f>IF(P$2="x",'Symptomen (alle)'!O7,0)</f>
        <v>0</v>
      </c>
      <c r="Q10" s="21">
        <f>IF(Q$2="x",'Symptomen (alle)'!P7,0)</f>
        <v>0</v>
      </c>
      <c r="R10" s="21">
        <f>IF(R$2="x",'Symptomen (alle)'!Q7,0)</f>
        <v>0</v>
      </c>
      <c r="S10" s="21">
        <f>IF(S$2="x",'Symptomen (alle)'!R7,0)</f>
        <v>0</v>
      </c>
      <c r="T10" s="21">
        <f>IF(T$2="x",'Symptomen (alle)'!S7,0)</f>
        <v>0</v>
      </c>
      <c r="U10" s="21">
        <f>IF(U$2="x",'Symptomen (alle)'!T7,0)</f>
        <v>0</v>
      </c>
      <c r="V10" s="21">
        <f>IF(V$2="x",'Symptomen (alle)'!U7,0)</f>
        <v>0</v>
      </c>
      <c r="W10" s="21">
        <f>IF(W$2="x",'Symptomen (alle)'!V7,0)</f>
        <v>0</v>
      </c>
      <c r="X10" s="21">
        <f>IF(X$2="x",'Symptomen (alle)'!W7,0)</f>
        <v>0</v>
      </c>
      <c r="Y10" s="21">
        <f>IF(Y$2="x",'Symptomen (alle)'!X7,0)</f>
        <v>0</v>
      </c>
      <c r="Z10" s="21">
        <f>IF(Z$2="x",'Symptomen (alle)'!Y7,0)</f>
        <v>3</v>
      </c>
      <c r="AA10" s="21">
        <f>IF(AA$2="x",'Symptomen (alle)'!Z7,0)</f>
        <v>0</v>
      </c>
      <c r="AB10" s="21">
        <f>IF(AB$2="x",'Symptomen (alle)'!AA7,0)</f>
        <v>0</v>
      </c>
      <c r="AC10" s="21">
        <f>IF(AC$2="x",'Symptomen (alle)'!AB7,0)</f>
        <v>2</v>
      </c>
      <c r="AD10" s="21">
        <f>IF(AD$2="x",'Symptomen (alle)'!AC7,0)</f>
        <v>0</v>
      </c>
      <c r="AE10" s="21">
        <f t="shared" si="11"/>
        <v>7</v>
      </c>
      <c r="AF10" s="21">
        <f>HLOOKUP($B$2,ZiekteFam!$B$1:$T$32,AG10,FALSE)</f>
        <v>0</v>
      </c>
      <c r="AG10" s="32">
        <f t="shared" si="12"/>
        <v>7</v>
      </c>
      <c r="AH10" s="32">
        <f>SUM('Symptomen (alle)'!D7:AC7)</f>
        <v>48</v>
      </c>
      <c r="AI10" s="22">
        <f>Tabel4246[[#This Row],[Kolom25]]/Tabel4246[[#This Row],[Kolom28]]</f>
        <v>0.14583333333333334</v>
      </c>
      <c r="AJ10" s="22"/>
      <c r="AK10" s="22">
        <f>Tabel4246[[#This Row],[Kolom29]]</f>
        <v>0.14583333333333334</v>
      </c>
      <c r="AL10" s="36">
        <f>_xlfn.RANK.EQ(Tabel4246[[#This Row],[Kolom29]],$AI$5:$AI$35)</f>
        <v>24</v>
      </c>
      <c r="AM10" s="135">
        <f>IF(E$2="x",(_xlfn.RANK.EQ(Tabel4246[[#This Row],[Kolom3]],E$5:E$35)),0)</f>
        <v>0</v>
      </c>
      <c r="AN10" s="135">
        <f>Tabel4246[[#This Row],[Kolom2911]]*AM$2</f>
        <v>0</v>
      </c>
      <c r="AO10" s="135">
        <f>IF(F$2="x",(_xlfn.RANK.EQ(Tabel4246[[#This Row],[Kolom4]],F$5:F$35)),0)</f>
        <v>0</v>
      </c>
      <c r="AP10" s="135">
        <f>Tabel4246[[#This Row],[Kolom29112]]*AO$2</f>
        <v>0</v>
      </c>
      <c r="AQ10" s="135">
        <f>IF(G$2="x",(_xlfn.RANK.EQ(Tabel4246[[#This Row],[Kolom5]],G$5:G$35)),0)</f>
        <v>0</v>
      </c>
      <c r="AR10" s="135">
        <f>Tabel4246[[#This Row],[Kolom29113]]*AQ$2</f>
        <v>0</v>
      </c>
      <c r="AS10" s="135">
        <f>IF(H$2="x",(_xlfn.RANK.EQ(Tabel4246[[#This Row],[Kolom6]],H$5:H$35)),0)</f>
        <v>0</v>
      </c>
      <c r="AT10" s="135">
        <f>Tabel4246[[#This Row],[Kolom29114]]*AS$2</f>
        <v>0</v>
      </c>
      <c r="AU10" s="135">
        <f>IF(I$2="x",(_xlfn.RANK.EQ(Tabel4246[[#This Row],[Kolom62]],I$5:I$35)),0)</f>
        <v>0</v>
      </c>
      <c r="AV10" s="135">
        <f>Tabel4246[[#This Row],[Kolom29115]]*AU$2</f>
        <v>0</v>
      </c>
      <c r="AW10" s="135">
        <f>IF(J$2="x",(_xlfn.RANK.EQ(Tabel4246[[#This Row],[Kolom7]],J$5:J$35)),0)</f>
        <v>7</v>
      </c>
      <c r="AX10" s="135">
        <f>Tabel4246[[#This Row],[Kolom29116]]*AW$2</f>
        <v>35</v>
      </c>
      <c r="AY10" s="135">
        <f>IF(K$2="x",(_xlfn.RANK.EQ(Tabel4246[[#This Row],[Kolom72]],K$5:K$35)),0)</f>
        <v>0</v>
      </c>
      <c r="AZ10" s="135">
        <f>Tabel4246[[#This Row],[Kolom29117]]*AY$2</f>
        <v>0</v>
      </c>
      <c r="BA10" s="135">
        <f>IF(L$2="x",(_xlfn.RANK.EQ(Tabel4246[[#This Row],[Kolom8]],L$5:L$35)),0)</f>
        <v>0</v>
      </c>
      <c r="BB10" s="135">
        <f>Tabel4246[[#This Row],[Kolom29118]]*BA$2</f>
        <v>0</v>
      </c>
      <c r="BC10" s="135">
        <f>IF(M$2="x",(_xlfn.RANK.EQ(Tabel4246[[#This Row],[Kolom9]],M$5:M$35)),0)</f>
        <v>0</v>
      </c>
      <c r="BD10" s="135">
        <f>Tabel4246[[#This Row],[Kolom29119]]*BC$2</f>
        <v>0</v>
      </c>
      <c r="BE10" s="135">
        <f>IF(N$2="x",(_xlfn.RANK.EQ(Tabel4246[[#This Row],[Kolom10]],N$5:N$35)),0)</f>
        <v>0</v>
      </c>
      <c r="BF10" s="135">
        <f>Tabel4246[[#This Row],[Kolom29120]]*BE$2</f>
        <v>0</v>
      </c>
      <c r="BG10" s="135">
        <f>IF(O$2="x",(_xlfn.RANK.EQ(Tabel4246[[#This Row],[Kolom11]],O$5:O$35)),0)</f>
        <v>0</v>
      </c>
      <c r="BH10" s="135">
        <f>Tabel4246[[#This Row],[Kolom29121]]*BG$2</f>
        <v>0</v>
      </c>
      <c r="BI10" s="135">
        <f>IF(P$2="x",(_xlfn.RANK.EQ(Tabel4246[[#This Row],[Kolom12]],P$5:P$35)),0)</f>
        <v>0</v>
      </c>
      <c r="BJ10" s="135">
        <f>Tabel4246[[#This Row],[Kolom29122]]*BI$2</f>
        <v>0</v>
      </c>
      <c r="BK10" s="135">
        <f>IF(Q$2="x",(_xlfn.RANK.EQ(Tabel4246[[#This Row],[Kolom13]],Q$5:Q$35)),0)</f>
        <v>0</v>
      </c>
      <c r="BL10" s="135">
        <f>Tabel4246[[#This Row],[Kolom29123]]*BK$2</f>
        <v>0</v>
      </c>
      <c r="BM10" s="135">
        <f>IF(R$2="x",(_xlfn.RANK.EQ(Tabel4246[[#This Row],[Kolom133]],R$5:R$35)),0)</f>
        <v>0</v>
      </c>
      <c r="BN10" s="135">
        <f>Tabel4246[[#This Row],[Kolom29124]]*BM$2</f>
        <v>0</v>
      </c>
      <c r="BO10" s="135">
        <f>IF(S$2="x",(_xlfn.RANK.EQ(Tabel4246[[#This Row],[Kolom132]],S$5:S$35)),0)</f>
        <v>0</v>
      </c>
      <c r="BP10" s="135">
        <f>Tabel4246[[#This Row],[Kolom29125]]*BO$2</f>
        <v>0</v>
      </c>
      <c r="BQ10" s="135">
        <f>IF(T$2="x",(_xlfn.RANK.EQ(Tabel4246[[#This Row],[Kolom14]],T$5:T$35)),0)</f>
        <v>0</v>
      </c>
      <c r="BR10" s="135">
        <f>Tabel4246[[#This Row],[Kolom29126]]*BQ$2</f>
        <v>0</v>
      </c>
      <c r="BS10" s="135">
        <f>IF(U$2="x",(_xlfn.RANK.EQ(Tabel4246[[#This Row],[Kolom16]],U$5:U$35)),0)</f>
        <v>0</v>
      </c>
      <c r="BT10" s="135">
        <f>Tabel4246[[#This Row],[Kolom29127]]*BS$2</f>
        <v>0</v>
      </c>
      <c r="BU10" s="135">
        <f>IF(V$2="x",(_xlfn.RANK.EQ(Tabel4246[[#This Row],[Kolom173]],V$5:V$35)),0)</f>
        <v>0</v>
      </c>
      <c r="BV10" s="135">
        <f>Tabel4246[[#This Row],[Kolom29128]]*BU$2</f>
        <v>0</v>
      </c>
      <c r="BW10" s="135">
        <f>IF(W$2="x",(_xlfn.RANK.EQ(Tabel4246[[#This Row],[Kolom172]],W$5:W$35)),0)</f>
        <v>0</v>
      </c>
      <c r="BX10" s="135">
        <f>Tabel4246[[#This Row],[Kolom29129]]*BW$2</f>
        <v>0</v>
      </c>
      <c r="BY10" s="135">
        <f>IF(X$2="x",(_xlfn.RANK.EQ(Tabel4246[[#This Row],[Kolom18]],X$5:X$35)),0)</f>
        <v>0</v>
      </c>
      <c r="BZ10" s="135">
        <f>Tabel4246[[#This Row],[Kolom29130]]*BY$2</f>
        <v>0</v>
      </c>
      <c r="CA10" s="135">
        <f>IF(Y$2="x",(_xlfn.RANK.EQ(Tabel4246[[#This Row],[Kolom19]],Y$5:Y$35)),0)</f>
        <v>0</v>
      </c>
      <c r="CB10" s="135">
        <f>Tabel4246[[#This Row],[Kolom29131]]*CA$2</f>
        <v>0</v>
      </c>
      <c r="CC10" s="135">
        <f>IF(Z$2="x",(_xlfn.RANK.EQ(Tabel4246[[#This Row],[Kolom20]],Z$5:Z$35)),0)</f>
        <v>3</v>
      </c>
      <c r="CD10" s="135">
        <f>Tabel4246[[#This Row],[Kolom29132]]*CC$2</f>
        <v>3</v>
      </c>
      <c r="CE10" s="135">
        <f>IF(AA$2="x",(_xlfn.RANK.EQ(Tabel4246[[#This Row],[Kolom21]],AA$5:AA$35)),0)</f>
        <v>0</v>
      </c>
      <c r="CF10" s="135">
        <f>Tabel4246[[#This Row],[Kolom29133]]*CE$2</f>
        <v>0</v>
      </c>
      <c r="CG10" s="135">
        <f>IF(AB$2="x",(_xlfn.RANK.EQ(Tabel4246[[#This Row],[Kolom22]],AB$5:AB$35)),0)</f>
        <v>0</v>
      </c>
      <c r="CH10" s="135">
        <f>Tabel4246[[#This Row],[Kolom29134]]*CG$2</f>
        <v>0</v>
      </c>
      <c r="CI10" s="135">
        <f>IF(AC$2="x",(_xlfn.RANK.EQ(Tabel4246[[#This Row],[Kolom223]],AC$5:AC$35)),0)</f>
        <v>17</v>
      </c>
      <c r="CJ10" s="135">
        <f>Tabel4246[[#This Row],[Kolom29135]]*CI$2</f>
        <v>17</v>
      </c>
      <c r="CK10" s="135">
        <f>IF(AD$2="x",(_xlfn.RANK.EQ(Tabel4246[[#This Row],[Kolom222]],AD$5:AD$35)),0)</f>
        <v>0</v>
      </c>
      <c r="CL10" s="135">
        <f>Tabel4246[[#This Row],[Kolom29136]]*CK$2</f>
        <v>0</v>
      </c>
      <c r="CM10" s="135">
        <f t="shared" si="13"/>
        <v>3</v>
      </c>
      <c r="CN10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Row],[Kolom29130]]+CA10+Tabel4246[[#This Row],[Kolom29132]]+Tabel4246[[#This Row],[Kolom29133]]+Tabel4246[[#This Row],[Kolom29134]]+Tabel4246[[#This Row],[Kolom29135]]+Tabel4246[[#This Row],[Kolom29136]])/Tabel4246[[#This Row],[Kolom29137]]</f>
        <v>9</v>
      </c>
      <c r="CO10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Row],[Kolom291302]]+CB10+Tabel4246[[#This Row],[Kolom291322]]+Tabel4246[[#This Row],[Kolom291332]]+Tabel4246[[#This Row],[Kolom291342]]+Tabel4246[[#This Row],[Kolom291352]]+Tabel4246[[#This Row],[Kolom291362]])/Tabel4246[[#This Row],[Kolom29137]]</f>
        <v>18.333333333333332</v>
      </c>
      <c r="CP10" s="142">
        <f>_xlfn.RANK.EQ(Tabel4246[[#This Row],[Kolom29138]],CN$5:CN$35,1)</f>
        <v>5</v>
      </c>
      <c r="CQ10" s="142">
        <f>_xlfn.RANK.EQ(Tabel4246[[#This Row],[Kolom291382]],CO$5:CO$35,1)</f>
        <v>8</v>
      </c>
    </row>
    <row r="11" spans="1:96">
      <c r="B11" s="21" t="str">
        <f>'Symptomen (alle)'!A8</f>
        <v>Gill fluke (i.e. Dactylogyrus)</v>
      </c>
      <c r="C11" s="21">
        <f>'Symptomen (alle)'!B8</f>
        <v>0</v>
      </c>
      <c r="D11" s="21">
        <f>IF(D$2="x",'Symptomen (alle)'!C8,0)</f>
        <v>0</v>
      </c>
      <c r="E11" s="21">
        <f>IF(E$2="x",'Symptomen (alle)'!D8,0)</f>
        <v>0</v>
      </c>
      <c r="F11" s="21">
        <f>IF(F$2="x",'Symptomen (alle)'!E8,0)</f>
        <v>0</v>
      </c>
      <c r="G11" s="21">
        <f>IF(G$2="x",'Symptomen (alle)'!F8,0)</f>
        <v>0</v>
      </c>
      <c r="H11" s="21">
        <f>IF(H$2="x",'Symptomen (alle)'!G8,0)</f>
        <v>0</v>
      </c>
      <c r="I11" s="21">
        <f>IF(I$2="x",'Symptomen (alle)'!H8,0)</f>
        <v>0</v>
      </c>
      <c r="J11" s="21">
        <f>IF(J$2="x",'Symptomen (alle)'!I8,0)</f>
        <v>0</v>
      </c>
      <c r="K11" s="21">
        <f>IF(K$2="x",'Symptomen (alle)'!J8,0)</f>
        <v>0</v>
      </c>
      <c r="L11" s="21">
        <f>IF(L$2="x",'Symptomen (alle)'!K8,0)</f>
        <v>0</v>
      </c>
      <c r="M11" s="21">
        <f>IF(M$2="x",'Symptomen (alle)'!L8,0)</f>
        <v>0</v>
      </c>
      <c r="N11" s="21">
        <f>IF(N$2="x",'Symptomen (alle)'!M8,0)</f>
        <v>0</v>
      </c>
      <c r="O11" s="21">
        <f>IF(O$2="x",'Symptomen (alle)'!N8,0)</f>
        <v>0</v>
      </c>
      <c r="P11" s="21">
        <f>IF(P$2="x",'Symptomen (alle)'!O8,0)</f>
        <v>0</v>
      </c>
      <c r="Q11" s="21">
        <f>IF(Q$2="x",'Symptomen (alle)'!P8,0)</f>
        <v>0</v>
      </c>
      <c r="R11" s="21">
        <f>IF(R$2="x",'Symptomen (alle)'!Q8,0)</f>
        <v>0</v>
      </c>
      <c r="S11" s="21">
        <f>IF(S$2="x",'Symptomen (alle)'!R8,0)</f>
        <v>0</v>
      </c>
      <c r="T11" s="21">
        <f>IF(T$2="x",'Symptomen (alle)'!S8,0)</f>
        <v>0</v>
      </c>
      <c r="U11" s="21">
        <f>IF(U$2="x",'Symptomen (alle)'!T8,0)</f>
        <v>0</v>
      </c>
      <c r="V11" s="21">
        <f>IF(V$2="x",'Symptomen (alle)'!U8,0)</f>
        <v>0</v>
      </c>
      <c r="W11" s="21">
        <f>IF(W$2="x",'Symptomen (alle)'!V8,0)</f>
        <v>0</v>
      </c>
      <c r="X11" s="21">
        <f>IF(X$2="x",'Symptomen (alle)'!W8,0)</f>
        <v>0</v>
      </c>
      <c r="Y11" s="21">
        <f>IF(Y$2="x",'Symptomen (alle)'!X8,0)</f>
        <v>0</v>
      </c>
      <c r="Z11" s="21">
        <f>IF(Z$2="x",'Symptomen (alle)'!Y8,0)</f>
        <v>2</v>
      </c>
      <c r="AA11" s="21">
        <f>IF(AA$2="x",'Symptomen (alle)'!Z8,0)</f>
        <v>0</v>
      </c>
      <c r="AB11" s="21">
        <f>IF(AB$2="x",'Symptomen (alle)'!AA8,0)</f>
        <v>0</v>
      </c>
      <c r="AC11" s="21">
        <f>IF(AC$2="x",'Symptomen (alle)'!AB8,0)</f>
        <v>3</v>
      </c>
      <c r="AD11" s="21">
        <f>IF(AD$2="x",'Symptomen (alle)'!AC8,0)</f>
        <v>0</v>
      </c>
      <c r="AE11" s="21">
        <f t="shared" si="11"/>
        <v>5</v>
      </c>
      <c r="AF11" s="21">
        <f>HLOOKUP($B$2,ZiekteFam!$B$1:$T$32,AG11,FALSE)</f>
        <v>0</v>
      </c>
      <c r="AG11" s="32">
        <f t="shared" si="12"/>
        <v>8</v>
      </c>
      <c r="AH11" s="32">
        <f>SUM('Symptomen (alle)'!D8:AC8)</f>
        <v>33</v>
      </c>
      <c r="AI11" s="22">
        <f>Tabel4246[[#This Row],[Kolom25]]/Tabel4246[[#This Row],[Kolom28]]</f>
        <v>0.15151515151515152</v>
      </c>
      <c r="AJ11" s="22"/>
      <c r="AK11" s="22">
        <f>Tabel4246[[#This Row],[Kolom29]]</f>
        <v>0.15151515151515152</v>
      </c>
      <c r="AL11" s="36">
        <f>_xlfn.RANK.EQ(Tabel4246[[#This Row],[Kolom29]],$AI$5:$AI$35)</f>
        <v>22</v>
      </c>
      <c r="AM11" s="135">
        <f>IF(E$2="x",(_xlfn.RANK.EQ(Tabel4246[[#This Row],[Kolom3]],E$5:E$35)),0)</f>
        <v>0</v>
      </c>
      <c r="AN11" s="135">
        <f>Tabel4246[[#This Row],[Kolom2911]]*AM$2</f>
        <v>0</v>
      </c>
      <c r="AO11" s="135">
        <f>IF(F$2="x",(_xlfn.RANK.EQ(Tabel4246[[#This Row],[Kolom4]],F$5:F$35)),0)</f>
        <v>0</v>
      </c>
      <c r="AP11" s="135">
        <f>Tabel4246[[#This Row],[Kolom29112]]*AO$2</f>
        <v>0</v>
      </c>
      <c r="AQ11" s="135">
        <f>IF(G$2="x",(_xlfn.RANK.EQ(Tabel4246[[#This Row],[Kolom5]],G$5:G$35)),0)</f>
        <v>0</v>
      </c>
      <c r="AR11" s="135">
        <f>Tabel4246[[#This Row],[Kolom29113]]*AQ$2</f>
        <v>0</v>
      </c>
      <c r="AS11" s="135">
        <f>IF(H$2="x",(_xlfn.RANK.EQ(Tabel4246[[#This Row],[Kolom6]],H$5:H$35)),0)</f>
        <v>0</v>
      </c>
      <c r="AT11" s="135">
        <f>Tabel4246[[#This Row],[Kolom29114]]*AS$2</f>
        <v>0</v>
      </c>
      <c r="AU11" s="135">
        <f>IF(I$2="x",(_xlfn.RANK.EQ(Tabel4246[[#This Row],[Kolom62]],I$5:I$35)),0)</f>
        <v>0</v>
      </c>
      <c r="AV11" s="135">
        <f>Tabel4246[[#This Row],[Kolom29115]]*AU$2</f>
        <v>0</v>
      </c>
      <c r="AW11" s="135">
        <f>IF(J$2="x",(_xlfn.RANK.EQ(Tabel4246[[#This Row],[Kolom7]],J$5:J$35)),0)</f>
        <v>23</v>
      </c>
      <c r="AX11" s="135">
        <f>Tabel4246[[#This Row],[Kolom29116]]*AW$2</f>
        <v>115</v>
      </c>
      <c r="AY11" s="135">
        <f>IF(K$2="x",(_xlfn.RANK.EQ(Tabel4246[[#This Row],[Kolom72]],K$5:K$35)),0)</f>
        <v>0</v>
      </c>
      <c r="AZ11" s="135">
        <f>Tabel4246[[#This Row],[Kolom29117]]*AY$2</f>
        <v>0</v>
      </c>
      <c r="BA11" s="135">
        <f>IF(L$2="x",(_xlfn.RANK.EQ(Tabel4246[[#This Row],[Kolom8]],L$5:L$35)),0)</f>
        <v>0</v>
      </c>
      <c r="BB11" s="135">
        <f>Tabel4246[[#This Row],[Kolom29118]]*BA$2</f>
        <v>0</v>
      </c>
      <c r="BC11" s="135">
        <f>IF(M$2="x",(_xlfn.RANK.EQ(Tabel4246[[#This Row],[Kolom9]],M$5:M$35)),0)</f>
        <v>0</v>
      </c>
      <c r="BD11" s="135">
        <f>Tabel4246[[#This Row],[Kolom29119]]*BC$2</f>
        <v>0</v>
      </c>
      <c r="BE11" s="135">
        <f>IF(N$2="x",(_xlfn.RANK.EQ(Tabel4246[[#This Row],[Kolom10]],N$5:N$35)),0)</f>
        <v>0</v>
      </c>
      <c r="BF11" s="135">
        <f>Tabel4246[[#This Row],[Kolom29120]]*BE$2</f>
        <v>0</v>
      </c>
      <c r="BG11" s="135">
        <f>IF(O$2="x",(_xlfn.RANK.EQ(Tabel4246[[#This Row],[Kolom11]],O$5:O$35)),0)</f>
        <v>0</v>
      </c>
      <c r="BH11" s="135">
        <f>Tabel4246[[#This Row],[Kolom29121]]*BG$2</f>
        <v>0</v>
      </c>
      <c r="BI11" s="135">
        <f>IF(P$2="x",(_xlfn.RANK.EQ(Tabel4246[[#This Row],[Kolom12]],P$5:P$35)),0)</f>
        <v>0</v>
      </c>
      <c r="BJ11" s="135">
        <f>Tabel4246[[#This Row],[Kolom29122]]*BI$2</f>
        <v>0</v>
      </c>
      <c r="BK11" s="135">
        <f>IF(Q$2="x",(_xlfn.RANK.EQ(Tabel4246[[#This Row],[Kolom13]],Q$5:Q$35)),0)</f>
        <v>0</v>
      </c>
      <c r="BL11" s="135">
        <f>Tabel4246[[#This Row],[Kolom29123]]*BK$2</f>
        <v>0</v>
      </c>
      <c r="BM11" s="135">
        <f>IF(R$2="x",(_xlfn.RANK.EQ(Tabel4246[[#This Row],[Kolom133]],R$5:R$35)),0)</f>
        <v>0</v>
      </c>
      <c r="BN11" s="135">
        <f>Tabel4246[[#This Row],[Kolom29124]]*BM$2</f>
        <v>0</v>
      </c>
      <c r="BO11" s="135">
        <f>IF(S$2="x",(_xlfn.RANK.EQ(Tabel4246[[#This Row],[Kolom132]],S$5:S$35)),0)</f>
        <v>0</v>
      </c>
      <c r="BP11" s="135">
        <f>Tabel4246[[#This Row],[Kolom29125]]*BO$2</f>
        <v>0</v>
      </c>
      <c r="BQ11" s="135">
        <f>IF(T$2="x",(_xlfn.RANK.EQ(Tabel4246[[#This Row],[Kolom14]],T$5:T$35)),0)</f>
        <v>0</v>
      </c>
      <c r="BR11" s="135">
        <f>Tabel4246[[#This Row],[Kolom29126]]*BQ$2</f>
        <v>0</v>
      </c>
      <c r="BS11" s="135">
        <f>IF(U$2="x",(_xlfn.RANK.EQ(Tabel4246[[#This Row],[Kolom16]],U$5:U$35)),0)</f>
        <v>0</v>
      </c>
      <c r="BT11" s="135">
        <f>Tabel4246[[#This Row],[Kolom29127]]*BS$2</f>
        <v>0</v>
      </c>
      <c r="BU11" s="135">
        <f>IF(V$2="x",(_xlfn.RANK.EQ(Tabel4246[[#This Row],[Kolom173]],V$5:V$35)),0)</f>
        <v>0</v>
      </c>
      <c r="BV11" s="135">
        <f>Tabel4246[[#This Row],[Kolom29128]]*BU$2</f>
        <v>0</v>
      </c>
      <c r="BW11" s="135">
        <f>IF(W$2="x",(_xlfn.RANK.EQ(Tabel4246[[#This Row],[Kolom172]],W$5:W$35)),0)</f>
        <v>0</v>
      </c>
      <c r="BX11" s="135">
        <f>Tabel4246[[#This Row],[Kolom29129]]*BW$2</f>
        <v>0</v>
      </c>
      <c r="BY11" s="135">
        <f>IF(X$2="x",(_xlfn.RANK.EQ(Tabel4246[[#This Row],[Kolom18]],X$5:X$35)),0)</f>
        <v>0</v>
      </c>
      <c r="BZ11" s="135">
        <f>Tabel4246[[#This Row],[Kolom29130]]*BY$2</f>
        <v>0</v>
      </c>
      <c r="CA11" s="135">
        <f>IF(Y$2="x",(_xlfn.RANK.EQ(Tabel4246[[#This Row],[Kolom19]],Y$5:Y$35)),0)</f>
        <v>0</v>
      </c>
      <c r="CB11" s="135">
        <f>Tabel4246[[#This Row],[Kolom29131]]*CA$2</f>
        <v>0</v>
      </c>
      <c r="CC11" s="135">
        <f>IF(Z$2="x",(_xlfn.RANK.EQ(Tabel4246[[#This Row],[Kolom20]],Z$5:Z$35)),0)</f>
        <v>10</v>
      </c>
      <c r="CD11" s="135">
        <f>Tabel4246[[#This Row],[Kolom29132]]*CC$2</f>
        <v>10</v>
      </c>
      <c r="CE11" s="135">
        <f>IF(AA$2="x",(_xlfn.RANK.EQ(Tabel4246[[#This Row],[Kolom21]],AA$5:AA$35)),0)</f>
        <v>0</v>
      </c>
      <c r="CF11" s="135">
        <f>Tabel4246[[#This Row],[Kolom29133]]*CE$2</f>
        <v>0</v>
      </c>
      <c r="CG11" s="135">
        <f>IF(AB$2="x",(_xlfn.RANK.EQ(Tabel4246[[#This Row],[Kolom22]],AB$5:AB$35)),0)</f>
        <v>0</v>
      </c>
      <c r="CH11" s="135">
        <f>Tabel4246[[#This Row],[Kolom29134]]*CG$2</f>
        <v>0</v>
      </c>
      <c r="CI11" s="135">
        <f>IF(AC$2="x",(_xlfn.RANK.EQ(Tabel4246[[#This Row],[Kolom223]],AC$5:AC$35)),0)</f>
        <v>7</v>
      </c>
      <c r="CJ11" s="135">
        <f>Tabel4246[[#This Row],[Kolom29135]]*CI$2</f>
        <v>7</v>
      </c>
      <c r="CK11" s="135">
        <f>IF(AD$2="x",(_xlfn.RANK.EQ(Tabel4246[[#This Row],[Kolom222]],AD$5:AD$35)),0)</f>
        <v>0</v>
      </c>
      <c r="CL11" s="135">
        <f>Tabel4246[[#This Row],[Kolom29136]]*CK$2</f>
        <v>0</v>
      </c>
      <c r="CM11" s="135">
        <f t="shared" si="13"/>
        <v>3</v>
      </c>
      <c r="CN11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Row],[Kolom29130]]+CA11+Tabel4246[[#This Row],[Kolom29132]]+Tabel4246[[#This Row],[Kolom29133]]+Tabel4246[[#This Row],[Kolom29134]]+Tabel4246[[#This Row],[Kolom29135]]+Tabel4246[[#This Row],[Kolom29136]])/Tabel4246[[#This Row],[Kolom29137]]</f>
        <v>13.333333333333334</v>
      </c>
      <c r="CO11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Row],[Kolom291302]]+CB11+Tabel4246[[#This Row],[Kolom291322]]+Tabel4246[[#This Row],[Kolom291332]]+Tabel4246[[#This Row],[Kolom291342]]+Tabel4246[[#This Row],[Kolom291352]]+Tabel4246[[#This Row],[Kolom291362]])/Tabel4246[[#This Row],[Kolom29137]]</f>
        <v>44</v>
      </c>
      <c r="CP11" s="142">
        <f>_xlfn.RANK.EQ(Tabel4246[[#This Row],[Kolom29138]],CN$5:CN$35,1)</f>
        <v>17</v>
      </c>
      <c r="CQ11" s="142">
        <f>_xlfn.RANK.EQ(Tabel4246[[#This Row],[Kolom291382]],CO$5:CO$35,1)</f>
        <v>25</v>
      </c>
    </row>
    <row r="12" spans="1:96">
      <c r="B12" s="21" t="str">
        <f>'Symptomen (alle)'!A9</f>
        <v>ICH/White spot disease_x000D_(Ichthyophthirius)</v>
      </c>
      <c r="C12" s="21">
        <f>'Symptomen (alle)'!B9</f>
        <v>1</v>
      </c>
      <c r="D12" s="21">
        <f>IF(D$2="x",'Symptomen (alle)'!C9,0)</f>
        <v>0</v>
      </c>
      <c r="E12" s="21">
        <f>IF(E$2="x",'Symptomen (alle)'!D9,0)</f>
        <v>0</v>
      </c>
      <c r="F12" s="21">
        <f>IF(F$2="x",'Symptomen (alle)'!E9,0)</f>
        <v>0</v>
      </c>
      <c r="G12" s="21">
        <f>IF(G$2="x",'Symptomen (alle)'!F9,0)</f>
        <v>0</v>
      </c>
      <c r="H12" s="21">
        <f>IF(H$2="x",'Symptomen (alle)'!G9,0)</f>
        <v>0</v>
      </c>
      <c r="I12" s="21">
        <f>IF(I$2="x",'Symptomen (alle)'!H9,0)</f>
        <v>0</v>
      </c>
      <c r="J12" s="21">
        <f>IF(J$2="x",'Symptomen (alle)'!I9,0)</f>
        <v>2</v>
      </c>
      <c r="K12" s="21">
        <f>IF(K$2="x",'Symptomen (alle)'!J9,0)</f>
        <v>0</v>
      </c>
      <c r="L12" s="21">
        <f>IF(L$2="x",'Symptomen (alle)'!K9,0)</f>
        <v>0</v>
      </c>
      <c r="M12" s="21">
        <f>IF(M$2="x",'Symptomen (alle)'!L9,0)</f>
        <v>0</v>
      </c>
      <c r="N12" s="21">
        <f>IF(N$2="x",'Symptomen (alle)'!M9,0)</f>
        <v>0</v>
      </c>
      <c r="O12" s="21">
        <f>IF(O$2="x",'Symptomen (alle)'!N9,0)</f>
        <v>0</v>
      </c>
      <c r="P12" s="21">
        <f>IF(P$2="x",'Symptomen (alle)'!O9,0)</f>
        <v>0</v>
      </c>
      <c r="Q12" s="21">
        <f>IF(Q$2="x",'Symptomen (alle)'!P9,0)</f>
        <v>0</v>
      </c>
      <c r="R12" s="21">
        <f>IF(R$2="x",'Symptomen (alle)'!Q9,0)</f>
        <v>0</v>
      </c>
      <c r="S12" s="21">
        <f>IF(S$2="x",'Symptomen (alle)'!R9,0)</f>
        <v>0</v>
      </c>
      <c r="T12" s="21">
        <f>IF(T$2="x",'Symptomen (alle)'!S9,0)</f>
        <v>0</v>
      </c>
      <c r="U12" s="21">
        <f>IF(U$2="x",'Symptomen (alle)'!T9,0)</f>
        <v>0</v>
      </c>
      <c r="V12" s="21">
        <f>IF(V$2="x",'Symptomen (alle)'!U9,0)</f>
        <v>0</v>
      </c>
      <c r="W12" s="21">
        <f>IF(W$2="x",'Symptomen (alle)'!V9,0)</f>
        <v>0</v>
      </c>
      <c r="X12" s="21">
        <f>IF(X$2="x",'Symptomen (alle)'!W9,0)</f>
        <v>0</v>
      </c>
      <c r="Y12" s="21">
        <f>IF(Y$2="x",'Symptomen (alle)'!X9,0)</f>
        <v>0</v>
      </c>
      <c r="Z12" s="21">
        <f>IF(Z$2="x",'Symptomen (alle)'!Y9,0)</f>
        <v>3</v>
      </c>
      <c r="AA12" s="21">
        <f>IF(AA$2="x",'Symptomen (alle)'!Z9,0)</f>
        <v>0</v>
      </c>
      <c r="AB12" s="21">
        <f>IF(AB$2="x",'Symptomen (alle)'!AA9,0)</f>
        <v>0</v>
      </c>
      <c r="AC12" s="21">
        <f>IF(AC$2="x",'Symptomen (alle)'!AB9,0)</f>
        <v>1</v>
      </c>
      <c r="AD12" s="21">
        <f>IF(AD$2="x",'Symptomen (alle)'!AC9,0)</f>
        <v>0</v>
      </c>
      <c r="AE12" s="21">
        <f t="shared" si="11"/>
        <v>6</v>
      </c>
      <c r="AF12" s="21">
        <f>HLOOKUP($B$2,ZiekteFam!$B$1:$T$32,AG12,FALSE)</f>
        <v>10</v>
      </c>
      <c r="AG12" s="32">
        <f t="shared" si="12"/>
        <v>9</v>
      </c>
      <c r="AH12" s="32">
        <f>SUM('Symptomen (alle)'!D9:AC9)</f>
        <v>43</v>
      </c>
      <c r="AI12" s="22">
        <f>Tabel4246[[#This Row],[Kolom25]]/Tabel4246[[#This Row],[Kolom28]]</f>
        <v>0.13953488372093023</v>
      </c>
      <c r="AJ12" s="22"/>
      <c r="AK12" s="22">
        <f>Tabel4246[[#This Row],[Kolom29]]</f>
        <v>0.13953488372093023</v>
      </c>
      <c r="AL12" s="36">
        <f>_xlfn.RANK.EQ(Tabel4246[[#This Row],[Kolom29]],$AI$5:$AI$35)</f>
        <v>25</v>
      </c>
      <c r="AM12" s="135">
        <f>IF(E$2="x",(_xlfn.RANK.EQ(Tabel4246[[#This Row],[Kolom3]],E$5:E$35)),0)</f>
        <v>0</v>
      </c>
      <c r="AN12" s="135">
        <f>Tabel4246[[#This Row],[Kolom2911]]*AM$2</f>
        <v>0</v>
      </c>
      <c r="AO12" s="135">
        <f>IF(F$2="x",(_xlfn.RANK.EQ(Tabel4246[[#This Row],[Kolom4]],F$5:F$35)),0)</f>
        <v>0</v>
      </c>
      <c r="AP12" s="135">
        <f>Tabel4246[[#This Row],[Kolom29112]]*AO$2</f>
        <v>0</v>
      </c>
      <c r="AQ12" s="135">
        <f>IF(G$2="x",(_xlfn.RANK.EQ(Tabel4246[[#This Row],[Kolom5]],G$5:G$35)),0)</f>
        <v>0</v>
      </c>
      <c r="AR12" s="135">
        <f>Tabel4246[[#This Row],[Kolom29113]]*AQ$2</f>
        <v>0</v>
      </c>
      <c r="AS12" s="135">
        <f>IF(H$2="x",(_xlfn.RANK.EQ(Tabel4246[[#This Row],[Kolom6]],H$5:H$35)),0)</f>
        <v>0</v>
      </c>
      <c r="AT12" s="135">
        <f>Tabel4246[[#This Row],[Kolom29114]]*AS$2</f>
        <v>0</v>
      </c>
      <c r="AU12" s="135">
        <f>IF(I$2="x",(_xlfn.RANK.EQ(Tabel4246[[#This Row],[Kolom62]],I$5:I$35)),0)</f>
        <v>0</v>
      </c>
      <c r="AV12" s="135">
        <f>Tabel4246[[#This Row],[Kolom29115]]*AU$2</f>
        <v>0</v>
      </c>
      <c r="AW12" s="135">
        <f>IF(J$2="x",(_xlfn.RANK.EQ(Tabel4246[[#This Row],[Kolom7]],J$5:J$35)),0)</f>
        <v>7</v>
      </c>
      <c r="AX12" s="135">
        <f>Tabel4246[[#This Row],[Kolom29116]]*AW$2</f>
        <v>35</v>
      </c>
      <c r="AY12" s="135">
        <f>IF(K$2="x",(_xlfn.RANK.EQ(Tabel4246[[#This Row],[Kolom72]],K$5:K$35)),0)</f>
        <v>0</v>
      </c>
      <c r="AZ12" s="135">
        <f>Tabel4246[[#This Row],[Kolom29117]]*AY$2</f>
        <v>0</v>
      </c>
      <c r="BA12" s="135">
        <f>IF(L$2="x",(_xlfn.RANK.EQ(Tabel4246[[#This Row],[Kolom8]],L$5:L$35)),0)</f>
        <v>0</v>
      </c>
      <c r="BB12" s="135">
        <f>Tabel4246[[#This Row],[Kolom29118]]*BA$2</f>
        <v>0</v>
      </c>
      <c r="BC12" s="135">
        <f>IF(M$2="x",(_xlfn.RANK.EQ(Tabel4246[[#This Row],[Kolom9]],M$5:M$35)),0)</f>
        <v>0</v>
      </c>
      <c r="BD12" s="135">
        <f>Tabel4246[[#This Row],[Kolom29119]]*BC$2</f>
        <v>0</v>
      </c>
      <c r="BE12" s="135">
        <f>IF(N$2="x",(_xlfn.RANK.EQ(Tabel4246[[#This Row],[Kolom10]],N$5:N$35)),0)</f>
        <v>0</v>
      </c>
      <c r="BF12" s="135">
        <f>Tabel4246[[#This Row],[Kolom29120]]*BE$2</f>
        <v>0</v>
      </c>
      <c r="BG12" s="135">
        <f>IF(O$2="x",(_xlfn.RANK.EQ(Tabel4246[[#This Row],[Kolom11]],O$5:O$35)),0)</f>
        <v>0</v>
      </c>
      <c r="BH12" s="135">
        <f>Tabel4246[[#This Row],[Kolom29121]]*BG$2</f>
        <v>0</v>
      </c>
      <c r="BI12" s="135">
        <f>IF(P$2="x",(_xlfn.RANK.EQ(Tabel4246[[#This Row],[Kolom12]],P$5:P$35)),0)</f>
        <v>0</v>
      </c>
      <c r="BJ12" s="135">
        <f>Tabel4246[[#This Row],[Kolom29122]]*BI$2</f>
        <v>0</v>
      </c>
      <c r="BK12" s="135">
        <f>IF(Q$2="x",(_xlfn.RANK.EQ(Tabel4246[[#This Row],[Kolom13]],Q$5:Q$35)),0)</f>
        <v>0</v>
      </c>
      <c r="BL12" s="135">
        <f>Tabel4246[[#This Row],[Kolom29123]]*BK$2</f>
        <v>0</v>
      </c>
      <c r="BM12" s="135">
        <f>IF(R$2="x",(_xlfn.RANK.EQ(Tabel4246[[#This Row],[Kolom133]],R$5:R$35)),0)</f>
        <v>0</v>
      </c>
      <c r="BN12" s="135">
        <f>Tabel4246[[#This Row],[Kolom29124]]*BM$2</f>
        <v>0</v>
      </c>
      <c r="BO12" s="135">
        <f>IF(S$2="x",(_xlfn.RANK.EQ(Tabel4246[[#This Row],[Kolom132]],S$5:S$35)),0)</f>
        <v>0</v>
      </c>
      <c r="BP12" s="135">
        <f>Tabel4246[[#This Row],[Kolom29125]]*BO$2</f>
        <v>0</v>
      </c>
      <c r="BQ12" s="135">
        <f>IF(T$2="x",(_xlfn.RANK.EQ(Tabel4246[[#This Row],[Kolom14]],T$5:T$35)),0)</f>
        <v>0</v>
      </c>
      <c r="BR12" s="135">
        <f>Tabel4246[[#This Row],[Kolom29126]]*BQ$2</f>
        <v>0</v>
      </c>
      <c r="BS12" s="135">
        <f>IF(U$2="x",(_xlfn.RANK.EQ(Tabel4246[[#This Row],[Kolom16]],U$5:U$35)),0)</f>
        <v>0</v>
      </c>
      <c r="BT12" s="135">
        <f>Tabel4246[[#This Row],[Kolom29127]]*BS$2</f>
        <v>0</v>
      </c>
      <c r="BU12" s="135">
        <f>IF(V$2="x",(_xlfn.RANK.EQ(Tabel4246[[#This Row],[Kolom173]],V$5:V$35)),0)</f>
        <v>0</v>
      </c>
      <c r="BV12" s="135">
        <f>Tabel4246[[#This Row],[Kolom29128]]*BU$2</f>
        <v>0</v>
      </c>
      <c r="BW12" s="135">
        <f>IF(W$2="x",(_xlfn.RANK.EQ(Tabel4246[[#This Row],[Kolom172]],W$5:W$35)),0)</f>
        <v>0</v>
      </c>
      <c r="BX12" s="135">
        <f>Tabel4246[[#This Row],[Kolom29129]]*BW$2</f>
        <v>0</v>
      </c>
      <c r="BY12" s="135">
        <f>IF(X$2="x",(_xlfn.RANK.EQ(Tabel4246[[#This Row],[Kolom18]],X$5:X$35)),0)</f>
        <v>0</v>
      </c>
      <c r="BZ12" s="135">
        <f>Tabel4246[[#This Row],[Kolom29130]]*BY$2</f>
        <v>0</v>
      </c>
      <c r="CA12" s="135">
        <f>IF(Y$2="x",(_xlfn.RANK.EQ(Tabel4246[[#This Row],[Kolom19]],Y$5:Y$35)),0)</f>
        <v>0</v>
      </c>
      <c r="CB12" s="135">
        <f>Tabel4246[[#This Row],[Kolom29131]]*CA$2</f>
        <v>0</v>
      </c>
      <c r="CC12" s="135">
        <f>IF(Z$2="x",(_xlfn.RANK.EQ(Tabel4246[[#This Row],[Kolom20]],Z$5:Z$35)),0)</f>
        <v>3</v>
      </c>
      <c r="CD12" s="135">
        <f>Tabel4246[[#This Row],[Kolom29132]]*CC$2</f>
        <v>3</v>
      </c>
      <c r="CE12" s="135">
        <f>IF(AA$2="x",(_xlfn.RANK.EQ(Tabel4246[[#This Row],[Kolom21]],AA$5:AA$35)),0)</f>
        <v>0</v>
      </c>
      <c r="CF12" s="135">
        <f>Tabel4246[[#This Row],[Kolom29133]]*CE$2</f>
        <v>0</v>
      </c>
      <c r="CG12" s="135">
        <f>IF(AB$2="x",(_xlfn.RANK.EQ(Tabel4246[[#This Row],[Kolom22]],AB$5:AB$35)),0)</f>
        <v>0</v>
      </c>
      <c r="CH12" s="135">
        <f>Tabel4246[[#This Row],[Kolom29134]]*CG$2</f>
        <v>0</v>
      </c>
      <c r="CI12" s="135">
        <f>IF(AC$2="x",(_xlfn.RANK.EQ(Tabel4246[[#This Row],[Kolom223]],AC$5:AC$35)),0)</f>
        <v>27</v>
      </c>
      <c r="CJ12" s="135">
        <f>Tabel4246[[#This Row],[Kolom29135]]*CI$2</f>
        <v>27</v>
      </c>
      <c r="CK12" s="135">
        <f>IF(AD$2="x",(_xlfn.RANK.EQ(Tabel4246[[#This Row],[Kolom222]],AD$5:AD$35)),0)</f>
        <v>0</v>
      </c>
      <c r="CL12" s="135">
        <f>Tabel4246[[#This Row],[Kolom29136]]*CK$2</f>
        <v>0</v>
      </c>
      <c r="CM12" s="135">
        <f t="shared" si="13"/>
        <v>3</v>
      </c>
      <c r="CN12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Row],[Kolom29130]]+CA12+Tabel4246[[#This Row],[Kolom29132]]+Tabel4246[[#This Row],[Kolom29133]]+Tabel4246[[#This Row],[Kolom29134]]+Tabel4246[[#This Row],[Kolom29135]]+Tabel4246[[#This Row],[Kolom29136]])/Tabel4246[[#This Row],[Kolom29137]]</f>
        <v>12.333333333333334</v>
      </c>
      <c r="CO12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Row],[Kolom291302]]+CB12+Tabel4246[[#This Row],[Kolom291322]]+Tabel4246[[#This Row],[Kolom291332]]+Tabel4246[[#This Row],[Kolom291342]]+Tabel4246[[#This Row],[Kolom291352]]+Tabel4246[[#This Row],[Kolom291362]])/Tabel4246[[#This Row],[Kolom29137]]</f>
        <v>21.666666666666668</v>
      </c>
      <c r="CP12" s="142">
        <f>_xlfn.RANK.EQ(Tabel4246[[#This Row],[Kolom29138]],CN$5:CN$35,1)</f>
        <v>16</v>
      </c>
      <c r="CQ12" s="142">
        <f>_xlfn.RANK.EQ(Tabel4246[[#This Row],[Kolom291382]],CO$5:CO$35,1)</f>
        <v>13</v>
      </c>
    </row>
    <row r="13" spans="1:96">
      <c r="B13" s="21" t="str">
        <f>'Symptomen (alle)'!A10</f>
        <v>Oodinium/Velvet disease</v>
      </c>
      <c r="C13">
        <f>'Symptomen (alle)'!B10</f>
        <v>1</v>
      </c>
      <c r="D13" s="21">
        <f>IF(D$2="x",'Symptomen (alle)'!C10,0)</f>
        <v>0</v>
      </c>
      <c r="E13" s="21">
        <f>IF(E$2="x",'Symptomen (alle)'!D10,0)</f>
        <v>0</v>
      </c>
      <c r="F13" s="21">
        <f>IF(F$2="x",'Symptomen (alle)'!E10,0)</f>
        <v>0</v>
      </c>
      <c r="G13" s="21">
        <f>IF(G$2="x",'Symptomen (alle)'!F10,0)</f>
        <v>0</v>
      </c>
      <c r="H13" s="21">
        <f>IF(H$2="x",'Symptomen (alle)'!G10,0)</f>
        <v>0</v>
      </c>
      <c r="I13" s="21">
        <f>IF(I$2="x",'Symptomen (alle)'!H10,0)</f>
        <v>0</v>
      </c>
      <c r="J13" s="21">
        <f>IF(J$2="x",'Symptomen (alle)'!I10,0)</f>
        <v>2</v>
      </c>
      <c r="K13" s="21">
        <f>IF(K$2="x",'Symptomen (alle)'!J10,0)</f>
        <v>0</v>
      </c>
      <c r="L13" s="21">
        <f>IF(L$2="x",'Symptomen (alle)'!K10,0)</f>
        <v>0</v>
      </c>
      <c r="M13" s="21">
        <f>IF(M$2="x",'Symptomen (alle)'!L10,0)</f>
        <v>0</v>
      </c>
      <c r="N13" s="21">
        <f>IF(N$2="x",'Symptomen (alle)'!M10,0)</f>
        <v>0</v>
      </c>
      <c r="O13" s="21">
        <f>IF(O$2="x",'Symptomen (alle)'!N10,0)</f>
        <v>0</v>
      </c>
      <c r="P13" s="21">
        <f>IF(P$2="x",'Symptomen (alle)'!O10,0)</f>
        <v>0</v>
      </c>
      <c r="Q13" s="21">
        <f>IF(Q$2="x",'Symptomen (alle)'!P10,0)</f>
        <v>0</v>
      </c>
      <c r="R13" s="21">
        <f>IF(R$2="x",'Symptomen (alle)'!Q10,0)</f>
        <v>0</v>
      </c>
      <c r="S13" s="21">
        <f>IF(S$2="x",'Symptomen (alle)'!R10,0)</f>
        <v>0</v>
      </c>
      <c r="T13" s="21">
        <f>IF(T$2="x",'Symptomen (alle)'!S10,0)</f>
        <v>0</v>
      </c>
      <c r="U13" s="21">
        <f>IF(U$2="x",'Symptomen (alle)'!T10,0)</f>
        <v>0</v>
      </c>
      <c r="V13" s="21">
        <f>IF(V$2="x",'Symptomen (alle)'!U10,0)</f>
        <v>0</v>
      </c>
      <c r="W13" s="21">
        <f>IF(W$2="x",'Symptomen (alle)'!V10,0)</f>
        <v>0</v>
      </c>
      <c r="X13" s="21">
        <f>IF(X$2="x",'Symptomen (alle)'!W10,0)</f>
        <v>0</v>
      </c>
      <c r="Y13" s="21">
        <f>IF(Y$2="x",'Symptomen (alle)'!X10,0)</f>
        <v>0</v>
      </c>
      <c r="Z13" s="21">
        <f>IF(Z$2="x",'Symptomen (alle)'!Y10,0)</f>
        <v>3</v>
      </c>
      <c r="AA13" s="21">
        <f>IF(AA$2="x",'Symptomen (alle)'!Z10,0)</f>
        <v>0</v>
      </c>
      <c r="AB13" s="21">
        <f>IF(AB$2="x",'Symptomen (alle)'!AA10,0)</f>
        <v>0</v>
      </c>
      <c r="AC13" s="21">
        <f>IF(AC$2="x",'Symptomen (alle)'!AB10,0)</f>
        <v>2</v>
      </c>
      <c r="AD13" s="21">
        <f>IF(AD$2="x",'Symptomen (alle)'!AC10,0)</f>
        <v>0</v>
      </c>
      <c r="AE13" s="21">
        <f t="shared" si="11"/>
        <v>7</v>
      </c>
      <c r="AF13" s="21">
        <f>HLOOKUP($B$2,ZiekteFam!$B$1:$T$32,AG13,FALSE)</f>
        <v>3</v>
      </c>
      <c r="AG13" s="32">
        <f t="shared" si="12"/>
        <v>10</v>
      </c>
      <c r="AH13" s="32">
        <f>SUM('Symptomen (alle)'!D10:AC10)</f>
        <v>41</v>
      </c>
      <c r="AI13" s="22">
        <f>Tabel4246[[#This Row],[Kolom25]]/Tabel4246[[#This Row],[Kolom28]]</f>
        <v>0.17073170731707318</v>
      </c>
      <c r="AJ13" s="22"/>
      <c r="AK13" s="22">
        <f>Tabel4246[[#This Row],[Kolom29]]</f>
        <v>0.17073170731707318</v>
      </c>
      <c r="AL13" s="36">
        <f>_xlfn.RANK.EQ(Tabel4246[[#This Row],[Kolom29]],$AI$5:$AI$35)</f>
        <v>18</v>
      </c>
      <c r="AM13" s="135">
        <f>IF(E$2="x",(_xlfn.RANK.EQ(Tabel4246[[#This Row],[Kolom3]],E$5:E$35)),0)</f>
        <v>0</v>
      </c>
      <c r="AN13" s="135">
        <f>Tabel4246[[#This Row],[Kolom2911]]*AM$2</f>
        <v>0</v>
      </c>
      <c r="AO13" s="135">
        <f>IF(F$2="x",(_xlfn.RANK.EQ(Tabel4246[[#This Row],[Kolom4]],F$5:F$35)),0)</f>
        <v>0</v>
      </c>
      <c r="AP13" s="135">
        <f>Tabel4246[[#This Row],[Kolom29112]]*AO$2</f>
        <v>0</v>
      </c>
      <c r="AQ13" s="135">
        <f>IF(G$2="x",(_xlfn.RANK.EQ(Tabel4246[[#This Row],[Kolom5]],G$5:G$35)),0)</f>
        <v>0</v>
      </c>
      <c r="AR13" s="135">
        <f>Tabel4246[[#This Row],[Kolom29113]]*AQ$2</f>
        <v>0</v>
      </c>
      <c r="AS13" s="135">
        <f>IF(H$2="x",(_xlfn.RANK.EQ(Tabel4246[[#This Row],[Kolom6]],H$5:H$35)),0)</f>
        <v>0</v>
      </c>
      <c r="AT13" s="135">
        <f>Tabel4246[[#This Row],[Kolom29114]]*AS$2</f>
        <v>0</v>
      </c>
      <c r="AU13" s="135">
        <f>IF(I$2="x",(_xlfn.RANK.EQ(Tabel4246[[#This Row],[Kolom62]],I$5:I$35)),0)</f>
        <v>0</v>
      </c>
      <c r="AV13" s="135">
        <f>Tabel4246[[#This Row],[Kolom29115]]*AU$2</f>
        <v>0</v>
      </c>
      <c r="AW13" s="135">
        <f>IF(J$2="x",(_xlfn.RANK.EQ(Tabel4246[[#This Row],[Kolom7]],J$5:J$35)),0)</f>
        <v>7</v>
      </c>
      <c r="AX13" s="135">
        <f>Tabel4246[[#This Row],[Kolom29116]]*AW$2</f>
        <v>35</v>
      </c>
      <c r="AY13" s="135">
        <f>IF(K$2="x",(_xlfn.RANK.EQ(Tabel4246[[#This Row],[Kolom72]],K$5:K$35)),0)</f>
        <v>0</v>
      </c>
      <c r="AZ13" s="135">
        <f>Tabel4246[[#This Row],[Kolom29117]]*AY$2</f>
        <v>0</v>
      </c>
      <c r="BA13" s="135">
        <f>IF(L$2="x",(_xlfn.RANK.EQ(Tabel4246[[#This Row],[Kolom8]],L$5:L$35)),0)</f>
        <v>0</v>
      </c>
      <c r="BB13" s="135">
        <f>Tabel4246[[#This Row],[Kolom29118]]*BA$2</f>
        <v>0</v>
      </c>
      <c r="BC13" s="135">
        <f>IF(M$2="x",(_xlfn.RANK.EQ(Tabel4246[[#This Row],[Kolom9]],M$5:M$35)),0)</f>
        <v>0</v>
      </c>
      <c r="BD13" s="135">
        <f>Tabel4246[[#This Row],[Kolom29119]]*BC$2</f>
        <v>0</v>
      </c>
      <c r="BE13" s="135">
        <f>IF(N$2="x",(_xlfn.RANK.EQ(Tabel4246[[#This Row],[Kolom10]],N$5:N$35)),0)</f>
        <v>0</v>
      </c>
      <c r="BF13" s="135">
        <f>Tabel4246[[#This Row],[Kolom29120]]*BE$2</f>
        <v>0</v>
      </c>
      <c r="BG13" s="135">
        <f>IF(O$2="x",(_xlfn.RANK.EQ(Tabel4246[[#This Row],[Kolom11]],O$5:O$35)),0)</f>
        <v>0</v>
      </c>
      <c r="BH13" s="135">
        <f>Tabel4246[[#This Row],[Kolom29121]]*BG$2</f>
        <v>0</v>
      </c>
      <c r="BI13" s="135">
        <f>IF(P$2="x",(_xlfn.RANK.EQ(Tabel4246[[#This Row],[Kolom12]],P$5:P$35)),0)</f>
        <v>0</v>
      </c>
      <c r="BJ13" s="135">
        <f>Tabel4246[[#This Row],[Kolom29122]]*BI$2</f>
        <v>0</v>
      </c>
      <c r="BK13" s="135">
        <f>IF(Q$2="x",(_xlfn.RANK.EQ(Tabel4246[[#This Row],[Kolom13]],Q$5:Q$35)),0)</f>
        <v>0</v>
      </c>
      <c r="BL13" s="135">
        <f>Tabel4246[[#This Row],[Kolom29123]]*BK$2</f>
        <v>0</v>
      </c>
      <c r="BM13" s="135">
        <f>IF(R$2="x",(_xlfn.RANK.EQ(Tabel4246[[#This Row],[Kolom133]],R$5:R$35)),0)</f>
        <v>0</v>
      </c>
      <c r="BN13" s="135">
        <f>Tabel4246[[#This Row],[Kolom29124]]*BM$2</f>
        <v>0</v>
      </c>
      <c r="BO13" s="135">
        <f>IF(S$2="x",(_xlfn.RANK.EQ(Tabel4246[[#This Row],[Kolom132]],S$5:S$35)),0)</f>
        <v>0</v>
      </c>
      <c r="BP13" s="135">
        <f>Tabel4246[[#This Row],[Kolom29125]]*BO$2</f>
        <v>0</v>
      </c>
      <c r="BQ13" s="135">
        <f>IF(T$2="x",(_xlfn.RANK.EQ(Tabel4246[[#This Row],[Kolom14]],T$5:T$35)),0)</f>
        <v>0</v>
      </c>
      <c r="BR13" s="135">
        <f>Tabel4246[[#This Row],[Kolom29126]]*BQ$2</f>
        <v>0</v>
      </c>
      <c r="BS13" s="135">
        <f>IF(U$2="x",(_xlfn.RANK.EQ(Tabel4246[[#This Row],[Kolom16]],U$5:U$35)),0)</f>
        <v>0</v>
      </c>
      <c r="BT13" s="135">
        <f>Tabel4246[[#This Row],[Kolom29127]]*BS$2</f>
        <v>0</v>
      </c>
      <c r="BU13" s="135">
        <f>IF(V$2="x",(_xlfn.RANK.EQ(Tabel4246[[#This Row],[Kolom173]],V$5:V$35)),0)</f>
        <v>0</v>
      </c>
      <c r="BV13" s="135">
        <f>Tabel4246[[#This Row],[Kolom29128]]*BU$2</f>
        <v>0</v>
      </c>
      <c r="BW13" s="135">
        <f>IF(W$2="x",(_xlfn.RANK.EQ(Tabel4246[[#This Row],[Kolom172]],W$5:W$35)),0)</f>
        <v>0</v>
      </c>
      <c r="BX13" s="135">
        <f>Tabel4246[[#This Row],[Kolom29129]]*BW$2</f>
        <v>0</v>
      </c>
      <c r="BY13" s="135">
        <f>IF(X$2="x",(_xlfn.RANK.EQ(Tabel4246[[#This Row],[Kolom18]],X$5:X$35)),0)</f>
        <v>0</v>
      </c>
      <c r="BZ13" s="135">
        <f>Tabel4246[[#This Row],[Kolom29130]]*BY$2</f>
        <v>0</v>
      </c>
      <c r="CA13" s="135">
        <f>IF(Y$2="x",(_xlfn.RANK.EQ(Tabel4246[[#This Row],[Kolom19]],Y$5:Y$35)),0)</f>
        <v>0</v>
      </c>
      <c r="CB13" s="135">
        <f>Tabel4246[[#This Row],[Kolom29131]]*CA$2</f>
        <v>0</v>
      </c>
      <c r="CC13" s="135">
        <f>IF(Z$2="x",(_xlfn.RANK.EQ(Tabel4246[[#This Row],[Kolom20]],Z$5:Z$35)),0)</f>
        <v>3</v>
      </c>
      <c r="CD13" s="135">
        <f>Tabel4246[[#This Row],[Kolom29132]]*CC$2</f>
        <v>3</v>
      </c>
      <c r="CE13" s="135">
        <f>IF(AA$2="x",(_xlfn.RANK.EQ(Tabel4246[[#This Row],[Kolom21]],AA$5:AA$35)),0)</f>
        <v>0</v>
      </c>
      <c r="CF13" s="135">
        <f>Tabel4246[[#This Row],[Kolom29133]]*CE$2</f>
        <v>0</v>
      </c>
      <c r="CG13" s="135">
        <f>IF(AB$2="x",(_xlfn.RANK.EQ(Tabel4246[[#This Row],[Kolom22]],AB$5:AB$35)),0)</f>
        <v>0</v>
      </c>
      <c r="CH13" s="135">
        <f>Tabel4246[[#This Row],[Kolom29134]]*CG$2</f>
        <v>0</v>
      </c>
      <c r="CI13" s="135">
        <f>IF(AC$2="x",(_xlfn.RANK.EQ(Tabel4246[[#This Row],[Kolom223]],AC$5:AC$35)),0)</f>
        <v>17</v>
      </c>
      <c r="CJ13" s="135">
        <f>Tabel4246[[#This Row],[Kolom29135]]*CI$2</f>
        <v>17</v>
      </c>
      <c r="CK13" s="135">
        <f>IF(AD$2="x",(_xlfn.RANK.EQ(Tabel4246[[#This Row],[Kolom222]],AD$5:AD$35)),0)</f>
        <v>0</v>
      </c>
      <c r="CL13" s="135">
        <f>Tabel4246[[#This Row],[Kolom29136]]*CK$2</f>
        <v>0</v>
      </c>
      <c r="CM13" s="135">
        <f t="shared" si="13"/>
        <v>3</v>
      </c>
      <c r="CN13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Row],[Kolom29130]]+CA13+Tabel4246[[#This Row],[Kolom29132]]+Tabel4246[[#This Row],[Kolom29133]]+Tabel4246[[#This Row],[Kolom29134]]+Tabel4246[[#This Row],[Kolom29135]]+Tabel4246[[#This Row],[Kolom29136]])/Tabel4246[[#This Row],[Kolom29137]]</f>
        <v>9</v>
      </c>
      <c r="CO13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Row],[Kolom291302]]+CB13+Tabel4246[[#This Row],[Kolom291322]]+Tabel4246[[#This Row],[Kolom291332]]+Tabel4246[[#This Row],[Kolom291342]]+Tabel4246[[#This Row],[Kolom291352]]+Tabel4246[[#This Row],[Kolom291362]])/Tabel4246[[#This Row],[Kolom29137]]</f>
        <v>18.333333333333332</v>
      </c>
      <c r="CP13" s="142">
        <f>_xlfn.RANK.EQ(Tabel4246[[#This Row],[Kolom29138]],CN$5:CN$35,1)</f>
        <v>5</v>
      </c>
      <c r="CQ13" s="142">
        <f>_xlfn.RANK.EQ(Tabel4246[[#This Row],[Kolom291382]],CO$5:CO$35,1)</f>
        <v>8</v>
      </c>
    </row>
    <row r="14" spans="1:96">
      <c r="B14" s="21" t="str">
        <f>'Symptomen (alle)'!A11</f>
        <v>Black spot disease (mostly encapsulated worm larvae)</v>
      </c>
      <c r="C14" s="77">
        <f>'Symptomen (alle)'!B11</f>
        <v>1</v>
      </c>
      <c r="D14" s="21">
        <f>IF(D$2="x",'Symptomen (alle)'!C11,0)</f>
        <v>0</v>
      </c>
      <c r="E14" s="21">
        <f>IF(E$2="x",'Symptomen (alle)'!D11,0)</f>
        <v>0</v>
      </c>
      <c r="F14" s="21">
        <f>IF(F$2="x",'Symptomen (alle)'!E11,0)</f>
        <v>0</v>
      </c>
      <c r="G14" s="21">
        <f>IF(G$2="x",'Symptomen (alle)'!F11,0)</f>
        <v>0</v>
      </c>
      <c r="H14" s="21">
        <f>IF(H$2="x",'Symptomen (alle)'!G11,0)</f>
        <v>0</v>
      </c>
      <c r="I14" s="21">
        <f>IF(I$2="x",'Symptomen (alle)'!H11,0)</f>
        <v>0</v>
      </c>
      <c r="J14" s="21">
        <f>IF(J$2="x",'Symptomen (alle)'!I11,0)</f>
        <v>1</v>
      </c>
      <c r="K14" s="21">
        <f>IF(K$2="x",'Symptomen (alle)'!J11,0)</f>
        <v>0</v>
      </c>
      <c r="L14" s="21">
        <f>IF(L$2="x",'Symptomen (alle)'!K11,0)</f>
        <v>0</v>
      </c>
      <c r="M14" s="21">
        <f>IF(M$2="x",'Symptomen (alle)'!L11,0)</f>
        <v>0</v>
      </c>
      <c r="N14" s="21">
        <f>IF(N$2="x",'Symptomen (alle)'!M11,0)</f>
        <v>0</v>
      </c>
      <c r="O14" s="21">
        <f>IF(O$2="x",'Symptomen (alle)'!N11,0)</f>
        <v>0</v>
      </c>
      <c r="P14" s="21">
        <f>IF(P$2="x",'Symptomen (alle)'!O11,0)</f>
        <v>0</v>
      </c>
      <c r="Q14" s="21">
        <f>IF(Q$2="x",'Symptomen (alle)'!P11,0)</f>
        <v>0</v>
      </c>
      <c r="R14" s="21">
        <f>IF(R$2="x",'Symptomen (alle)'!Q11,0)</f>
        <v>0</v>
      </c>
      <c r="S14" s="21">
        <f>IF(S$2="x",'Symptomen (alle)'!R11,0)</f>
        <v>0</v>
      </c>
      <c r="T14" s="21">
        <f>IF(T$2="x",'Symptomen (alle)'!S11,0)</f>
        <v>0</v>
      </c>
      <c r="U14" s="21">
        <f>IF(U$2="x",'Symptomen (alle)'!T11,0)</f>
        <v>0</v>
      </c>
      <c r="V14" s="21">
        <f>IF(V$2="x",'Symptomen (alle)'!U11,0)</f>
        <v>0</v>
      </c>
      <c r="W14" s="21">
        <f>IF(W$2="x",'Symptomen (alle)'!V11,0)</f>
        <v>0</v>
      </c>
      <c r="X14" s="21">
        <f>IF(X$2="x",'Symptomen (alle)'!W11,0)</f>
        <v>0</v>
      </c>
      <c r="Y14" s="21">
        <f>IF(Y$2="x",'Symptomen (alle)'!X11,0)</f>
        <v>0</v>
      </c>
      <c r="Z14" s="21">
        <f>IF(Z$2="x",'Symptomen (alle)'!Y11,0)</f>
        <v>0</v>
      </c>
      <c r="AA14" s="21">
        <f>IF(AA$2="x",'Symptomen (alle)'!Z11,0)</f>
        <v>0</v>
      </c>
      <c r="AB14" s="21">
        <f>IF(AB$2="x",'Symptomen (alle)'!AA11,0)</f>
        <v>0</v>
      </c>
      <c r="AC14" s="21">
        <f>IF(AC$2="x",'Symptomen (alle)'!AB11,0)</f>
        <v>3</v>
      </c>
      <c r="AD14" s="21">
        <f>IF(AD$2="x",'Symptomen (alle)'!AC11,0)</f>
        <v>0</v>
      </c>
      <c r="AE14" s="21">
        <f t="shared" si="11"/>
        <v>4</v>
      </c>
      <c r="AF14" s="21">
        <f>HLOOKUP($B$2,ZiekteFam!$B$1:$T$32,AG14,FALSE)</f>
        <v>3</v>
      </c>
      <c r="AG14" s="32">
        <f t="shared" si="12"/>
        <v>11</v>
      </c>
      <c r="AH14" s="32">
        <f>SUM('Symptomen (alle)'!D11:AC11)</f>
        <v>24</v>
      </c>
      <c r="AI14" s="22">
        <f>Tabel4246[[#This Row],[Kolom25]]/Tabel4246[[#This Row],[Kolom28]]</f>
        <v>0.16666666666666666</v>
      </c>
      <c r="AJ14" s="22"/>
      <c r="AK14" s="22">
        <f>Tabel4246[[#This Row],[Kolom29]]</f>
        <v>0.16666666666666666</v>
      </c>
      <c r="AL14" s="36">
        <f>_xlfn.RANK.EQ(Tabel4246[[#This Row],[Kolom29]],$AI$5:$AI$35)</f>
        <v>19</v>
      </c>
      <c r="AM14" s="135">
        <f>IF(E$2="x",(_xlfn.RANK.EQ(Tabel4246[[#This Row],[Kolom3]],E$5:E$35)),0)</f>
        <v>0</v>
      </c>
      <c r="AN14" s="135">
        <f>Tabel4246[[#This Row],[Kolom2911]]*AM$2</f>
        <v>0</v>
      </c>
      <c r="AO14" s="135">
        <f>IF(F$2="x",(_xlfn.RANK.EQ(Tabel4246[[#This Row],[Kolom4]],F$5:F$35)),0)</f>
        <v>0</v>
      </c>
      <c r="AP14" s="135">
        <f>Tabel4246[[#This Row],[Kolom29112]]*AO$2</f>
        <v>0</v>
      </c>
      <c r="AQ14" s="135">
        <f>IF(G$2="x",(_xlfn.RANK.EQ(Tabel4246[[#This Row],[Kolom5]],G$5:G$35)),0)</f>
        <v>0</v>
      </c>
      <c r="AR14" s="135">
        <f>Tabel4246[[#This Row],[Kolom29113]]*AQ$2</f>
        <v>0</v>
      </c>
      <c r="AS14" s="135">
        <f>IF(H$2="x",(_xlfn.RANK.EQ(Tabel4246[[#This Row],[Kolom6]],H$5:H$35)),0)</f>
        <v>0</v>
      </c>
      <c r="AT14" s="135">
        <f>Tabel4246[[#This Row],[Kolom29114]]*AS$2</f>
        <v>0</v>
      </c>
      <c r="AU14" s="135">
        <f>IF(I$2="x",(_xlfn.RANK.EQ(Tabel4246[[#This Row],[Kolom62]],I$5:I$35)),0)</f>
        <v>0</v>
      </c>
      <c r="AV14" s="135">
        <f>Tabel4246[[#This Row],[Kolom29115]]*AU$2</f>
        <v>0</v>
      </c>
      <c r="AW14" s="135">
        <f>IF(J$2="x",(_xlfn.RANK.EQ(Tabel4246[[#This Row],[Kolom7]],J$5:J$35)),0)</f>
        <v>16</v>
      </c>
      <c r="AX14" s="135">
        <f>Tabel4246[[#This Row],[Kolom29116]]*AW$2</f>
        <v>80</v>
      </c>
      <c r="AY14" s="135">
        <f>IF(K$2="x",(_xlfn.RANK.EQ(Tabel4246[[#This Row],[Kolom72]],K$5:K$35)),0)</f>
        <v>0</v>
      </c>
      <c r="AZ14" s="135">
        <f>Tabel4246[[#This Row],[Kolom29117]]*AY$2</f>
        <v>0</v>
      </c>
      <c r="BA14" s="135">
        <f>IF(L$2="x",(_xlfn.RANK.EQ(Tabel4246[[#This Row],[Kolom8]],L$5:L$35)),0)</f>
        <v>0</v>
      </c>
      <c r="BB14" s="135">
        <f>Tabel4246[[#This Row],[Kolom29118]]*BA$2</f>
        <v>0</v>
      </c>
      <c r="BC14" s="135">
        <f>IF(M$2="x",(_xlfn.RANK.EQ(Tabel4246[[#This Row],[Kolom9]],M$5:M$35)),0)</f>
        <v>0</v>
      </c>
      <c r="BD14" s="135">
        <f>Tabel4246[[#This Row],[Kolom29119]]*BC$2</f>
        <v>0</v>
      </c>
      <c r="BE14" s="135">
        <f>IF(N$2="x",(_xlfn.RANK.EQ(Tabel4246[[#This Row],[Kolom10]],N$5:N$35)),0)</f>
        <v>0</v>
      </c>
      <c r="BF14" s="135">
        <f>Tabel4246[[#This Row],[Kolom29120]]*BE$2</f>
        <v>0</v>
      </c>
      <c r="BG14" s="135">
        <f>IF(O$2="x",(_xlfn.RANK.EQ(Tabel4246[[#This Row],[Kolom11]],O$5:O$35)),0)</f>
        <v>0</v>
      </c>
      <c r="BH14" s="135">
        <f>Tabel4246[[#This Row],[Kolom29121]]*BG$2</f>
        <v>0</v>
      </c>
      <c r="BI14" s="135">
        <f>IF(P$2="x",(_xlfn.RANK.EQ(Tabel4246[[#This Row],[Kolom12]],P$5:P$35)),0)</f>
        <v>0</v>
      </c>
      <c r="BJ14" s="135">
        <f>Tabel4246[[#This Row],[Kolom29122]]*BI$2</f>
        <v>0</v>
      </c>
      <c r="BK14" s="135">
        <f>IF(Q$2="x",(_xlfn.RANK.EQ(Tabel4246[[#This Row],[Kolom13]],Q$5:Q$35)),0)</f>
        <v>0</v>
      </c>
      <c r="BL14" s="135">
        <f>Tabel4246[[#This Row],[Kolom29123]]*BK$2</f>
        <v>0</v>
      </c>
      <c r="BM14" s="135">
        <f>IF(R$2="x",(_xlfn.RANK.EQ(Tabel4246[[#This Row],[Kolom133]],R$5:R$35)),0)</f>
        <v>0</v>
      </c>
      <c r="BN14" s="135">
        <f>Tabel4246[[#This Row],[Kolom29124]]*BM$2</f>
        <v>0</v>
      </c>
      <c r="BO14" s="135">
        <f>IF(S$2="x",(_xlfn.RANK.EQ(Tabel4246[[#This Row],[Kolom132]],S$5:S$35)),0)</f>
        <v>0</v>
      </c>
      <c r="BP14" s="135">
        <f>Tabel4246[[#This Row],[Kolom29125]]*BO$2</f>
        <v>0</v>
      </c>
      <c r="BQ14" s="135">
        <f>IF(T$2="x",(_xlfn.RANK.EQ(Tabel4246[[#This Row],[Kolom14]],T$5:T$35)),0)</f>
        <v>0</v>
      </c>
      <c r="BR14" s="135">
        <f>Tabel4246[[#This Row],[Kolom29126]]*BQ$2</f>
        <v>0</v>
      </c>
      <c r="BS14" s="135">
        <f>IF(U$2="x",(_xlfn.RANK.EQ(Tabel4246[[#This Row],[Kolom16]],U$5:U$35)),0)</f>
        <v>0</v>
      </c>
      <c r="BT14" s="135">
        <f>Tabel4246[[#This Row],[Kolom29127]]*BS$2</f>
        <v>0</v>
      </c>
      <c r="BU14" s="135">
        <f>IF(V$2="x",(_xlfn.RANK.EQ(Tabel4246[[#This Row],[Kolom173]],V$5:V$35)),0)</f>
        <v>0</v>
      </c>
      <c r="BV14" s="135">
        <f>Tabel4246[[#This Row],[Kolom29128]]*BU$2</f>
        <v>0</v>
      </c>
      <c r="BW14" s="135">
        <f>IF(W$2="x",(_xlfn.RANK.EQ(Tabel4246[[#This Row],[Kolom172]],W$5:W$35)),0)</f>
        <v>0</v>
      </c>
      <c r="BX14" s="135">
        <f>Tabel4246[[#This Row],[Kolom29129]]*BW$2</f>
        <v>0</v>
      </c>
      <c r="BY14" s="135">
        <f>IF(X$2="x",(_xlfn.RANK.EQ(Tabel4246[[#This Row],[Kolom18]],X$5:X$35)),0)</f>
        <v>0</v>
      </c>
      <c r="BZ14" s="135">
        <f>Tabel4246[[#This Row],[Kolom29130]]*BY$2</f>
        <v>0</v>
      </c>
      <c r="CA14" s="135">
        <f>IF(Y$2="x",(_xlfn.RANK.EQ(Tabel4246[[#This Row],[Kolom19]],Y$5:Y$35)),0)</f>
        <v>0</v>
      </c>
      <c r="CB14" s="135">
        <f>Tabel4246[[#This Row],[Kolom29131]]*CA$2</f>
        <v>0</v>
      </c>
      <c r="CC14" s="135">
        <f>IF(Z$2="x",(_xlfn.RANK.EQ(Tabel4246[[#This Row],[Kolom20]],Z$5:Z$35)),0)</f>
        <v>29</v>
      </c>
      <c r="CD14" s="135">
        <f>Tabel4246[[#This Row],[Kolom29132]]*CC$2</f>
        <v>29</v>
      </c>
      <c r="CE14" s="135">
        <f>IF(AA$2="x",(_xlfn.RANK.EQ(Tabel4246[[#This Row],[Kolom21]],AA$5:AA$35)),0)</f>
        <v>0</v>
      </c>
      <c r="CF14" s="135">
        <f>Tabel4246[[#This Row],[Kolom29133]]*CE$2</f>
        <v>0</v>
      </c>
      <c r="CG14" s="135">
        <f>IF(AB$2="x",(_xlfn.RANK.EQ(Tabel4246[[#This Row],[Kolom22]],AB$5:AB$35)),0)</f>
        <v>0</v>
      </c>
      <c r="CH14" s="135">
        <f>Tabel4246[[#This Row],[Kolom29134]]*CG$2</f>
        <v>0</v>
      </c>
      <c r="CI14" s="135">
        <f>IF(AC$2="x",(_xlfn.RANK.EQ(Tabel4246[[#This Row],[Kolom223]],AC$5:AC$35)),0)</f>
        <v>7</v>
      </c>
      <c r="CJ14" s="135">
        <f>Tabel4246[[#This Row],[Kolom29135]]*CI$2</f>
        <v>7</v>
      </c>
      <c r="CK14" s="135">
        <f>IF(AD$2="x",(_xlfn.RANK.EQ(Tabel4246[[#This Row],[Kolom222]],AD$5:AD$35)),0)</f>
        <v>0</v>
      </c>
      <c r="CL14" s="135">
        <f>Tabel4246[[#This Row],[Kolom29136]]*CK$2</f>
        <v>0</v>
      </c>
      <c r="CM14" s="135">
        <f t="shared" si="13"/>
        <v>3</v>
      </c>
      <c r="CN14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Row],[Kolom29130]]+CA14+Tabel4246[[#This Row],[Kolom29132]]+Tabel4246[[#This Row],[Kolom29133]]+Tabel4246[[#This Row],[Kolom29134]]+Tabel4246[[#This Row],[Kolom29135]]+Tabel4246[[#This Row],[Kolom29136]])/Tabel4246[[#This Row],[Kolom29137]]</f>
        <v>17.333333333333332</v>
      </c>
      <c r="CO14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Row],[Kolom291302]]+CB14+Tabel4246[[#This Row],[Kolom291322]]+Tabel4246[[#This Row],[Kolom291332]]+Tabel4246[[#This Row],[Kolom291342]]+Tabel4246[[#This Row],[Kolom291352]]+Tabel4246[[#This Row],[Kolom291362]])/Tabel4246[[#This Row],[Kolom29137]]</f>
        <v>38.666666666666664</v>
      </c>
      <c r="CP14" s="142">
        <f>_xlfn.RANK.EQ(Tabel4246[[#This Row],[Kolom29138]],CN$5:CN$35,1)</f>
        <v>26</v>
      </c>
      <c r="CQ14" s="142">
        <f>_xlfn.RANK.EQ(Tabel4246[[#This Row],[Kolom291382]],CO$5:CO$35,1)</f>
        <v>19</v>
      </c>
    </row>
    <row r="15" spans="1:96">
      <c r="B15" s="21" t="str">
        <f>'Symptomen (alle)'!A12</f>
        <v>White grub disease (encapsulated worm larvae, NO ICH)</v>
      </c>
      <c r="C15" s="77" t="str">
        <f>'Symptomen (alle)'!B12</f>
        <v>4</v>
      </c>
      <c r="D15" s="21">
        <f>IF(D$2="x",'Symptomen (alle)'!C12,0)</f>
        <v>0</v>
      </c>
      <c r="E15" s="21">
        <f>IF(E$2="x",'Symptomen (alle)'!D12,0)</f>
        <v>0</v>
      </c>
      <c r="F15" s="21">
        <f>IF(F$2="x",'Symptomen (alle)'!E12,0)</f>
        <v>0</v>
      </c>
      <c r="G15" s="21">
        <f>IF(G$2="x",'Symptomen (alle)'!F12,0)</f>
        <v>0</v>
      </c>
      <c r="H15" s="21">
        <f>IF(H$2="x",'Symptomen (alle)'!G12,0)</f>
        <v>0</v>
      </c>
      <c r="I15" s="21">
        <f>IF(I$2="x",'Symptomen (alle)'!H12,0)</f>
        <v>0</v>
      </c>
      <c r="J15" s="21">
        <f>IF(J$2="x",'Symptomen (alle)'!I12,0)</f>
        <v>1</v>
      </c>
      <c r="K15" s="21">
        <f>IF(K$2="x",'Symptomen (alle)'!J12,0)</f>
        <v>0</v>
      </c>
      <c r="L15" s="21">
        <f>IF(L$2="x",'Symptomen (alle)'!K12,0)</f>
        <v>0</v>
      </c>
      <c r="M15" s="21">
        <f>IF(M$2="x",'Symptomen (alle)'!L12,0)</f>
        <v>0</v>
      </c>
      <c r="N15" s="21">
        <f>IF(N$2="x",'Symptomen (alle)'!M12,0)</f>
        <v>0</v>
      </c>
      <c r="O15" s="21">
        <f>IF(O$2="x",'Symptomen (alle)'!N12,0)</f>
        <v>0</v>
      </c>
      <c r="P15" s="21">
        <f>IF(P$2="x",'Symptomen (alle)'!O12,0)</f>
        <v>0</v>
      </c>
      <c r="Q15" s="21">
        <f>IF(Q$2="x",'Symptomen (alle)'!P12,0)</f>
        <v>0</v>
      </c>
      <c r="R15" s="21">
        <f>IF(R$2="x",'Symptomen (alle)'!Q12,0)</f>
        <v>0</v>
      </c>
      <c r="S15" s="21">
        <f>IF(S$2="x",'Symptomen (alle)'!R12,0)</f>
        <v>0</v>
      </c>
      <c r="T15" s="21">
        <f>IF(T$2="x",'Symptomen (alle)'!S12,0)</f>
        <v>0</v>
      </c>
      <c r="U15" s="21">
        <f>IF(U$2="x",'Symptomen (alle)'!T12,0)</f>
        <v>0</v>
      </c>
      <c r="V15" s="21">
        <f>IF(V$2="x",'Symptomen (alle)'!U12,0)</f>
        <v>0</v>
      </c>
      <c r="W15" s="21">
        <f>IF(W$2="x",'Symptomen (alle)'!V12,0)</f>
        <v>0</v>
      </c>
      <c r="X15" s="21">
        <f>IF(X$2="x",'Symptomen (alle)'!W12,0)</f>
        <v>0</v>
      </c>
      <c r="Y15" s="21">
        <f>IF(Y$2="x",'Symptomen (alle)'!X12,0)</f>
        <v>0</v>
      </c>
      <c r="Z15" s="21">
        <f>IF(Z$2="x",'Symptomen (alle)'!Y12,0)</f>
        <v>0</v>
      </c>
      <c r="AA15" s="21">
        <f>IF(AA$2="x",'Symptomen (alle)'!Z12,0)</f>
        <v>0</v>
      </c>
      <c r="AB15" s="21">
        <f>IF(AB$2="x",'Symptomen (alle)'!AA12,0)</f>
        <v>0</v>
      </c>
      <c r="AC15" s="21">
        <f>IF(AC$2="x",'Symptomen (alle)'!AB12,0)</f>
        <v>2</v>
      </c>
      <c r="AD15" s="21">
        <f>IF(AD$2="x",'Symptomen (alle)'!AC12,0)</f>
        <v>0</v>
      </c>
      <c r="AE15" s="21">
        <f t="shared" si="11"/>
        <v>3</v>
      </c>
      <c r="AF15" s="21">
        <f>HLOOKUP($B$2,ZiekteFam!$B$1:$T$32,AG15,FALSE)</f>
        <v>3</v>
      </c>
      <c r="AG15" s="32">
        <f t="shared" si="12"/>
        <v>12</v>
      </c>
      <c r="AH15" s="32">
        <f>SUM('Symptomen (alle)'!D12:AC12)</f>
        <v>25</v>
      </c>
      <c r="AI15" s="22">
        <f>Tabel4246[[#This Row],[Kolom25]]/Tabel4246[[#This Row],[Kolom28]]</f>
        <v>0.12</v>
      </c>
      <c r="AJ15" s="22"/>
      <c r="AK15" s="22">
        <f>Tabel4246[[#This Row],[Kolom29]]</f>
        <v>0.12</v>
      </c>
      <c r="AL15" s="36">
        <f>_xlfn.RANK.EQ(Tabel4246[[#This Row],[Kolom29]],$AI$5:$AI$35)</f>
        <v>28</v>
      </c>
      <c r="AM15" s="135">
        <f>IF(E$2="x",(_xlfn.RANK.EQ(Tabel4246[[#This Row],[Kolom3]],E$5:E$35)),0)</f>
        <v>0</v>
      </c>
      <c r="AN15" s="135">
        <f>Tabel4246[[#This Row],[Kolom2911]]*AM$2</f>
        <v>0</v>
      </c>
      <c r="AO15" s="135">
        <f>IF(F$2="x",(_xlfn.RANK.EQ(Tabel4246[[#This Row],[Kolom4]],F$5:F$35)),0)</f>
        <v>0</v>
      </c>
      <c r="AP15" s="135">
        <f>Tabel4246[[#This Row],[Kolom29112]]*AO$2</f>
        <v>0</v>
      </c>
      <c r="AQ15" s="135">
        <f>IF(G$2="x",(_xlfn.RANK.EQ(Tabel4246[[#This Row],[Kolom5]],G$5:G$35)),0)</f>
        <v>0</v>
      </c>
      <c r="AR15" s="135">
        <f>Tabel4246[[#This Row],[Kolom29113]]*AQ$2</f>
        <v>0</v>
      </c>
      <c r="AS15" s="135">
        <f>IF(H$2="x",(_xlfn.RANK.EQ(Tabel4246[[#This Row],[Kolom6]],H$5:H$35)),0)</f>
        <v>0</v>
      </c>
      <c r="AT15" s="135">
        <f>Tabel4246[[#This Row],[Kolom29114]]*AS$2</f>
        <v>0</v>
      </c>
      <c r="AU15" s="135">
        <f>IF(I$2="x",(_xlfn.RANK.EQ(Tabel4246[[#This Row],[Kolom62]],I$5:I$35)),0)</f>
        <v>0</v>
      </c>
      <c r="AV15" s="135">
        <f>Tabel4246[[#This Row],[Kolom29115]]*AU$2</f>
        <v>0</v>
      </c>
      <c r="AW15" s="135">
        <f>IF(J$2="x",(_xlfn.RANK.EQ(Tabel4246[[#This Row],[Kolom7]],J$5:J$35)),0)</f>
        <v>16</v>
      </c>
      <c r="AX15" s="135">
        <f>Tabel4246[[#This Row],[Kolom29116]]*AW$2</f>
        <v>80</v>
      </c>
      <c r="AY15" s="135">
        <f>IF(K$2="x",(_xlfn.RANK.EQ(Tabel4246[[#This Row],[Kolom72]],K$5:K$35)),0)</f>
        <v>0</v>
      </c>
      <c r="AZ15" s="135">
        <f>Tabel4246[[#This Row],[Kolom29117]]*AY$2</f>
        <v>0</v>
      </c>
      <c r="BA15" s="135">
        <f>IF(L$2="x",(_xlfn.RANK.EQ(Tabel4246[[#This Row],[Kolom8]],L$5:L$35)),0)</f>
        <v>0</v>
      </c>
      <c r="BB15" s="135">
        <f>Tabel4246[[#This Row],[Kolom29118]]*BA$2</f>
        <v>0</v>
      </c>
      <c r="BC15" s="135">
        <f>IF(M$2="x",(_xlfn.RANK.EQ(Tabel4246[[#This Row],[Kolom9]],M$5:M$35)),0)</f>
        <v>0</v>
      </c>
      <c r="BD15" s="135">
        <f>Tabel4246[[#This Row],[Kolom29119]]*BC$2</f>
        <v>0</v>
      </c>
      <c r="BE15" s="135">
        <f>IF(N$2="x",(_xlfn.RANK.EQ(Tabel4246[[#This Row],[Kolom10]],N$5:N$35)),0)</f>
        <v>0</v>
      </c>
      <c r="BF15" s="135">
        <f>Tabel4246[[#This Row],[Kolom29120]]*BE$2</f>
        <v>0</v>
      </c>
      <c r="BG15" s="135">
        <f>IF(O$2="x",(_xlfn.RANK.EQ(Tabel4246[[#This Row],[Kolom11]],O$5:O$35)),0)</f>
        <v>0</v>
      </c>
      <c r="BH15" s="135">
        <f>Tabel4246[[#This Row],[Kolom29121]]*BG$2</f>
        <v>0</v>
      </c>
      <c r="BI15" s="135">
        <f>IF(P$2="x",(_xlfn.RANK.EQ(Tabel4246[[#This Row],[Kolom12]],P$5:P$35)),0)</f>
        <v>0</v>
      </c>
      <c r="BJ15" s="135">
        <f>Tabel4246[[#This Row],[Kolom29122]]*BI$2</f>
        <v>0</v>
      </c>
      <c r="BK15" s="135">
        <f>IF(Q$2="x",(_xlfn.RANK.EQ(Tabel4246[[#This Row],[Kolom13]],Q$5:Q$35)),0)</f>
        <v>0</v>
      </c>
      <c r="BL15" s="135">
        <f>Tabel4246[[#This Row],[Kolom29123]]*BK$2</f>
        <v>0</v>
      </c>
      <c r="BM15" s="135">
        <f>IF(R$2="x",(_xlfn.RANK.EQ(Tabel4246[[#This Row],[Kolom133]],R$5:R$35)),0)</f>
        <v>0</v>
      </c>
      <c r="BN15" s="135">
        <f>Tabel4246[[#This Row],[Kolom29124]]*BM$2</f>
        <v>0</v>
      </c>
      <c r="BO15" s="135">
        <f>IF(S$2="x",(_xlfn.RANK.EQ(Tabel4246[[#This Row],[Kolom132]],S$5:S$35)),0)</f>
        <v>0</v>
      </c>
      <c r="BP15" s="135">
        <f>Tabel4246[[#This Row],[Kolom29125]]*BO$2</f>
        <v>0</v>
      </c>
      <c r="BQ15" s="135">
        <f>IF(T$2="x",(_xlfn.RANK.EQ(Tabel4246[[#This Row],[Kolom14]],T$5:T$35)),0)</f>
        <v>0</v>
      </c>
      <c r="BR15" s="135">
        <f>Tabel4246[[#This Row],[Kolom29126]]*BQ$2</f>
        <v>0</v>
      </c>
      <c r="BS15" s="135">
        <f>IF(U$2="x",(_xlfn.RANK.EQ(Tabel4246[[#This Row],[Kolom16]],U$5:U$35)),0)</f>
        <v>0</v>
      </c>
      <c r="BT15" s="135">
        <f>Tabel4246[[#This Row],[Kolom29127]]*BS$2</f>
        <v>0</v>
      </c>
      <c r="BU15" s="135">
        <f>IF(V$2="x",(_xlfn.RANK.EQ(Tabel4246[[#This Row],[Kolom173]],V$5:V$35)),0)</f>
        <v>0</v>
      </c>
      <c r="BV15" s="135">
        <f>Tabel4246[[#This Row],[Kolom29128]]*BU$2</f>
        <v>0</v>
      </c>
      <c r="BW15" s="135">
        <f>IF(W$2="x",(_xlfn.RANK.EQ(Tabel4246[[#This Row],[Kolom172]],W$5:W$35)),0)</f>
        <v>0</v>
      </c>
      <c r="BX15" s="135">
        <f>Tabel4246[[#This Row],[Kolom29129]]*BW$2</f>
        <v>0</v>
      </c>
      <c r="BY15" s="135">
        <f>IF(X$2="x",(_xlfn.RANK.EQ(Tabel4246[[#This Row],[Kolom18]],X$5:X$35)),0)</f>
        <v>0</v>
      </c>
      <c r="BZ15" s="135">
        <f>Tabel4246[[#This Row],[Kolom29130]]*BY$2</f>
        <v>0</v>
      </c>
      <c r="CA15" s="135">
        <f>IF(Y$2="x",(_xlfn.RANK.EQ(Tabel4246[[#This Row],[Kolom19]],Y$5:Y$35)),0)</f>
        <v>0</v>
      </c>
      <c r="CB15" s="135">
        <f>Tabel4246[[#This Row],[Kolom29131]]*CA$2</f>
        <v>0</v>
      </c>
      <c r="CC15" s="135">
        <f>IF(Z$2="x",(_xlfn.RANK.EQ(Tabel4246[[#This Row],[Kolom20]],Z$5:Z$35)),0)</f>
        <v>29</v>
      </c>
      <c r="CD15" s="135">
        <f>Tabel4246[[#This Row],[Kolom29132]]*CC$2</f>
        <v>29</v>
      </c>
      <c r="CE15" s="135">
        <f>IF(AA$2="x",(_xlfn.RANK.EQ(Tabel4246[[#This Row],[Kolom21]],AA$5:AA$35)),0)</f>
        <v>0</v>
      </c>
      <c r="CF15" s="135">
        <f>Tabel4246[[#This Row],[Kolom29133]]*CE$2</f>
        <v>0</v>
      </c>
      <c r="CG15" s="135">
        <f>IF(AB$2="x",(_xlfn.RANK.EQ(Tabel4246[[#This Row],[Kolom22]],AB$5:AB$35)),0)</f>
        <v>0</v>
      </c>
      <c r="CH15" s="135">
        <f>Tabel4246[[#This Row],[Kolom29134]]*CG$2</f>
        <v>0</v>
      </c>
      <c r="CI15" s="135">
        <f>IF(AC$2="x",(_xlfn.RANK.EQ(Tabel4246[[#This Row],[Kolom223]],AC$5:AC$35)),0)</f>
        <v>17</v>
      </c>
      <c r="CJ15" s="135">
        <f>Tabel4246[[#This Row],[Kolom29135]]*CI$2</f>
        <v>17</v>
      </c>
      <c r="CK15" s="135">
        <f>IF(AD$2="x",(_xlfn.RANK.EQ(Tabel4246[[#This Row],[Kolom222]],AD$5:AD$35)),0)</f>
        <v>0</v>
      </c>
      <c r="CL15" s="135">
        <f>Tabel4246[[#This Row],[Kolom29136]]*CK$2</f>
        <v>0</v>
      </c>
      <c r="CM15" s="135">
        <f t="shared" si="13"/>
        <v>3</v>
      </c>
      <c r="CN15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Row],[Kolom29130]]+CA15+Tabel4246[[#This Row],[Kolom29132]]+Tabel4246[[#This Row],[Kolom29133]]+Tabel4246[[#This Row],[Kolom29134]]+Tabel4246[[#This Row],[Kolom29135]]+Tabel4246[[#This Row],[Kolom29136]])/Tabel4246[[#This Row],[Kolom29137]]</f>
        <v>20.666666666666668</v>
      </c>
      <c r="CO15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Row],[Kolom291302]]+CB15+Tabel4246[[#This Row],[Kolom291322]]+Tabel4246[[#This Row],[Kolom291332]]+Tabel4246[[#This Row],[Kolom291342]]+Tabel4246[[#This Row],[Kolom291352]]+Tabel4246[[#This Row],[Kolom291362]])/Tabel4246[[#This Row],[Kolom29137]]</f>
        <v>42</v>
      </c>
      <c r="CP15" s="142">
        <f>_xlfn.RANK.EQ(Tabel4246[[#This Row],[Kolom29138]],CN$5:CN$35,1)</f>
        <v>30</v>
      </c>
      <c r="CQ15" s="142">
        <f>_xlfn.RANK.EQ(Tabel4246[[#This Row],[Kolom291382]],CO$5:CO$35,1)</f>
        <v>23</v>
      </c>
    </row>
    <row r="16" spans="1:96">
      <c r="B16" s="21" t="str">
        <f>'Symptomen (alle)'!A13</f>
        <v>Chilodonella/(Ichthyobodo/Costia)/Trichodina</v>
      </c>
      <c r="C16" s="77">
        <f>'Symptomen (alle)'!B13</f>
        <v>0</v>
      </c>
      <c r="D16" s="21">
        <f>IF(D$2="x",'Symptomen (alle)'!C13,0)</f>
        <v>0</v>
      </c>
      <c r="E16" s="21">
        <f>IF(E$2="x",'Symptomen (alle)'!D13,0)</f>
        <v>0</v>
      </c>
      <c r="F16" s="21">
        <f>IF(F$2="x",'Symptomen (alle)'!E13,0)</f>
        <v>0</v>
      </c>
      <c r="G16" s="21">
        <f>IF(G$2="x",'Symptomen (alle)'!F13,0)</f>
        <v>0</v>
      </c>
      <c r="H16" s="21">
        <f>IF(H$2="x",'Symptomen (alle)'!G13,0)</f>
        <v>0</v>
      </c>
      <c r="I16" s="21">
        <f>IF(I$2="x",'Symptomen (alle)'!H13,0)</f>
        <v>0</v>
      </c>
      <c r="J16" s="21">
        <f>IF(J$2="x",'Symptomen (alle)'!I13,0)</f>
        <v>2</v>
      </c>
      <c r="K16" s="21">
        <f>IF(K$2="x",'Symptomen (alle)'!J13,0)</f>
        <v>0</v>
      </c>
      <c r="L16" s="21">
        <f>IF(L$2="x",'Symptomen (alle)'!K13,0)</f>
        <v>0</v>
      </c>
      <c r="M16" s="21">
        <f>IF(M$2="x",'Symptomen (alle)'!L13,0)</f>
        <v>0</v>
      </c>
      <c r="N16" s="21">
        <f>IF(N$2="x",'Symptomen (alle)'!M13,0)</f>
        <v>0</v>
      </c>
      <c r="O16" s="21">
        <f>IF(O$2="x",'Symptomen (alle)'!N13,0)</f>
        <v>0</v>
      </c>
      <c r="P16" s="21">
        <f>IF(P$2="x",'Symptomen (alle)'!O13,0)</f>
        <v>0</v>
      </c>
      <c r="Q16" s="21">
        <f>IF(Q$2="x",'Symptomen (alle)'!P13,0)</f>
        <v>0</v>
      </c>
      <c r="R16" s="21">
        <f>IF(R$2="x",'Symptomen (alle)'!Q13,0)</f>
        <v>0</v>
      </c>
      <c r="S16" s="21">
        <f>IF(S$2="x",'Symptomen (alle)'!R13,0)</f>
        <v>0</v>
      </c>
      <c r="T16" s="21">
        <f>IF(T$2="x",'Symptomen (alle)'!S13,0)</f>
        <v>0</v>
      </c>
      <c r="U16" s="21">
        <f>IF(U$2="x",'Symptomen (alle)'!T13,0)</f>
        <v>0</v>
      </c>
      <c r="V16" s="21">
        <f>IF(V$2="x",'Symptomen (alle)'!U13,0)</f>
        <v>0</v>
      </c>
      <c r="W16" s="21">
        <f>IF(W$2="x",'Symptomen (alle)'!V13,0)</f>
        <v>0</v>
      </c>
      <c r="X16" s="21">
        <f>IF(X$2="x",'Symptomen (alle)'!W13,0)</f>
        <v>0</v>
      </c>
      <c r="Y16" s="21">
        <f>IF(Y$2="x",'Symptomen (alle)'!X13,0)</f>
        <v>0</v>
      </c>
      <c r="Z16" s="21">
        <f>IF(Z$2="x",'Symptomen (alle)'!Y13,0)</f>
        <v>2</v>
      </c>
      <c r="AA16" s="21">
        <f>IF(AA$2="x",'Symptomen (alle)'!Z13,0)</f>
        <v>0</v>
      </c>
      <c r="AB16" s="21">
        <f>IF(AB$2="x",'Symptomen (alle)'!AA13,0)</f>
        <v>0</v>
      </c>
      <c r="AC16" s="21">
        <f>IF(AC$2="x",'Symptomen (alle)'!AB13,0)</f>
        <v>1</v>
      </c>
      <c r="AD16" s="21">
        <f>IF(AD$2="x",'Symptomen (alle)'!AC13,0)</f>
        <v>0</v>
      </c>
      <c r="AE16" s="21">
        <f t="shared" si="11"/>
        <v>5</v>
      </c>
      <c r="AF16" s="21">
        <f>HLOOKUP($B$2,ZiekteFam!$B$1:$T$32,AG16,FALSE)</f>
        <v>3</v>
      </c>
      <c r="AG16" s="32">
        <f t="shared" si="12"/>
        <v>13</v>
      </c>
      <c r="AH16" s="32">
        <f>SUM('Symptomen (alle)'!D13:AC13)</f>
        <v>33</v>
      </c>
      <c r="AI16" s="22">
        <f>Tabel4246[[#This Row],[Kolom25]]/Tabel4246[[#This Row],[Kolom28]]</f>
        <v>0.15151515151515152</v>
      </c>
      <c r="AJ16" s="22"/>
      <c r="AK16" s="22">
        <f>Tabel4246[[#This Row],[Kolom29]]</f>
        <v>0.15151515151515152</v>
      </c>
      <c r="AL16" s="36">
        <f>_xlfn.RANK.EQ(Tabel4246[[#This Row],[Kolom29]],$AI$5:$AI$35)</f>
        <v>22</v>
      </c>
      <c r="AM16" s="135">
        <f>IF(E$2="x",(_xlfn.RANK.EQ(Tabel4246[[#This Row],[Kolom3]],E$5:E$35)),0)</f>
        <v>0</v>
      </c>
      <c r="AN16" s="135">
        <f>Tabel4246[[#This Row],[Kolom2911]]*AM$2</f>
        <v>0</v>
      </c>
      <c r="AO16" s="135">
        <f>IF(F$2="x",(_xlfn.RANK.EQ(Tabel4246[[#This Row],[Kolom4]],F$5:F$35)),0)</f>
        <v>0</v>
      </c>
      <c r="AP16" s="135">
        <f>Tabel4246[[#This Row],[Kolom29112]]*AO$2</f>
        <v>0</v>
      </c>
      <c r="AQ16" s="135">
        <f>IF(G$2="x",(_xlfn.RANK.EQ(Tabel4246[[#This Row],[Kolom5]],G$5:G$35)),0)</f>
        <v>0</v>
      </c>
      <c r="AR16" s="135">
        <f>Tabel4246[[#This Row],[Kolom29113]]*AQ$2</f>
        <v>0</v>
      </c>
      <c r="AS16" s="135">
        <f>IF(H$2="x",(_xlfn.RANK.EQ(Tabel4246[[#This Row],[Kolom6]],H$5:H$35)),0)</f>
        <v>0</v>
      </c>
      <c r="AT16" s="135">
        <f>Tabel4246[[#This Row],[Kolom29114]]*AS$2</f>
        <v>0</v>
      </c>
      <c r="AU16" s="135">
        <f>IF(I$2="x",(_xlfn.RANK.EQ(Tabel4246[[#This Row],[Kolom62]],I$5:I$35)),0)</f>
        <v>0</v>
      </c>
      <c r="AV16" s="135">
        <f>Tabel4246[[#This Row],[Kolom29115]]*AU$2</f>
        <v>0</v>
      </c>
      <c r="AW16" s="135">
        <f>IF(J$2="x",(_xlfn.RANK.EQ(Tabel4246[[#This Row],[Kolom7]],J$5:J$35)),0)</f>
        <v>7</v>
      </c>
      <c r="AX16" s="135">
        <f>Tabel4246[[#This Row],[Kolom29116]]*AW$2</f>
        <v>35</v>
      </c>
      <c r="AY16" s="135">
        <f>IF(K$2="x",(_xlfn.RANK.EQ(Tabel4246[[#This Row],[Kolom72]],K$5:K$35)),0)</f>
        <v>0</v>
      </c>
      <c r="AZ16" s="135">
        <f>Tabel4246[[#This Row],[Kolom29117]]*AY$2</f>
        <v>0</v>
      </c>
      <c r="BA16" s="135">
        <f>IF(L$2="x",(_xlfn.RANK.EQ(Tabel4246[[#This Row],[Kolom8]],L$5:L$35)),0)</f>
        <v>0</v>
      </c>
      <c r="BB16" s="135">
        <f>Tabel4246[[#This Row],[Kolom29118]]*BA$2</f>
        <v>0</v>
      </c>
      <c r="BC16" s="135">
        <f>IF(M$2="x",(_xlfn.RANK.EQ(Tabel4246[[#This Row],[Kolom9]],M$5:M$35)),0)</f>
        <v>0</v>
      </c>
      <c r="BD16" s="135">
        <f>Tabel4246[[#This Row],[Kolom29119]]*BC$2</f>
        <v>0</v>
      </c>
      <c r="BE16" s="135">
        <f>IF(N$2="x",(_xlfn.RANK.EQ(Tabel4246[[#This Row],[Kolom10]],N$5:N$35)),0)</f>
        <v>0</v>
      </c>
      <c r="BF16" s="135">
        <f>Tabel4246[[#This Row],[Kolom29120]]*BE$2</f>
        <v>0</v>
      </c>
      <c r="BG16" s="135">
        <f>IF(O$2="x",(_xlfn.RANK.EQ(Tabel4246[[#This Row],[Kolom11]],O$5:O$35)),0)</f>
        <v>0</v>
      </c>
      <c r="BH16" s="135">
        <f>Tabel4246[[#This Row],[Kolom29121]]*BG$2</f>
        <v>0</v>
      </c>
      <c r="BI16" s="135">
        <f>IF(P$2="x",(_xlfn.RANK.EQ(Tabel4246[[#This Row],[Kolom12]],P$5:P$35)),0)</f>
        <v>0</v>
      </c>
      <c r="BJ16" s="135">
        <f>Tabel4246[[#This Row],[Kolom29122]]*BI$2</f>
        <v>0</v>
      </c>
      <c r="BK16" s="135">
        <f>IF(Q$2="x",(_xlfn.RANK.EQ(Tabel4246[[#This Row],[Kolom13]],Q$5:Q$35)),0)</f>
        <v>0</v>
      </c>
      <c r="BL16" s="135">
        <f>Tabel4246[[#This Row],[Kolom29123]]*BK$2</f>
        <v>0</v>
      </c>
      <c r="BM16" s="135">
        <f>IF(R$2="x",(_xlfn.RANK.EQ(Tabel4246[[#This Row],[Kolom133]],R$5:R$35)),0)</f>
        <v>0</v>
      </c>
      <c r="BN16" s="135">
        <f>Tabel4246[[#This Row],[Kolom29124]]*BM$2</f>
        <v>0</v>
      </c>
      <c r="BO16" s="135">
        <f>IF(S$2="x",(_xlfn.RANK.EQ(Tabel4246[[#This Row],[Kolom132]],S$5:S$35)),0)</f>
        <v>0</v>
      </c>
      <c r="BP16" s="135">
        <f>Tabel4246[[#This Row],[Kolom29125]]*BO$2</f>
        <v>0</v>
      </c>
      <c r="BQ16" s="135">
        <f>IF(T$2="x",(_xlfn.RANK.EQ(Tabel4246[[#This Row],[Kolom14]],T$5:T$35)),0)</f>
        <v>0</v>
      </c>
      <c r="BR16" s="135">
        <f>Tabel4246[[#This Row],[Kolom29126]]*BQ$2</f>
        <v>0</v>
      </c>
      <c r="BS16" s="135">
        <f>IF(U$2="x",(_xlfn.RANK.EQ(Tabel4246[[#This Row],[Kolom16]],U$5:U$35)),0)</f>
        <v>0</v>
      </c>
      <c r="BT16" s="135">
        <f>Tabel4246[[#This Row],[Kolom29127]]*BS$2</f>
        <v>0</v>
      </c>
      <c r="BU16" s="135">
        <f>IF(V$2="x",(_xlfn.RANK.EQ(Tabel4246[[#This Row],[Kolom173]],V$5:V$35)),0)</f>
        <v>0</v>
      </c>
      <c r="BV16" s="135">
        <f>Tabel4246[[#This Row],[Kolom29128]]*BU$2</f>
        <v>0</v>
      </c>
      <c r="BW16" s="135">
        <f>IF(W$2="x",(_xlfn.RANK.EQ(Tabel4246[[#This Row],[Kolom172]],W$5:W$35)),0)</f>
        <v>0</v>
      </c>
      <c r="BX16" s="135">
        <f>Tabel4246[[#This Row],[Kolom29129]]*BW$2</f>
        <v>0</v>
      </c>
      <c r="BY16" s="135">
        <f>IF(X$2="x",(_xlfn.RANK.EQ(Tabel4246[[#This Row],[Kolom18]],X$5:X$35)),0)</f>
        <v>0</v>
      </c>
      <c r="BZ16" s="135">
        <f>Tabel4246[[#This Row],[Kolom29130]]*BY$2</f>
        <v>0</v>
      </c>
      <c r="CA16" s="135">
        <f>IF(Y$2="x",(_xlfn.RANK.EQ(Tabel4246[[#This Row],[Kolom19]],Y$5:Y$35)),0)</f>
        <v>0</v>
      </c>
      <c r="CB16" s="135">
        <f>Tabel4246[[#This Row],[Kolom29131]]*CA$2</f>
        <v>0</v>
      </c>
      <c r="CC16" s="135">
        <f>IF(Z$2="x",(_xlfn.RANK.EQ(Tabel4246[[#This Row],[Kolom20]],Z$5:Z$35)),0)</f>
        <v>10</v>
      </c>
      <c r="CD16" s="135">
        <f>Tabel4246[[#This Row],[Kolom29132]]*CC$2</f>
        <v>10</v>
      </c>
      <c r="CE16" s="135">
        <f>IF(AA$2="x",(_xlfn.RANK.EQ(Tabel4246[[#This Row],[Kolom21]],AA$5:AA$35)),0)</f>
        <v>0</v>
      </c>
      <c r="CF16" s="135">
        <f>Tabel4246[[#This Row],[Kolom29133]]*CE$2</f>
        <v>0</v>
      </c>
      <c r="CG16" s="135">
        <f>IF(AB$2="x",(_xlfn.RANK.EQ(Tabel4246[[#This Row],[Kolom22]],AB$5:AB$35)),0)</f>
        <v>0</v>
      </c>
      <c r="CH16" s="135">
        <f>Tabel4246[[#This Row],[Kolom29134]]*CG$2</f>
        <v>0</v>
      </c>
      <c r="CI16" s="135">
        <f>IF(AC$2="x",(_xlfn.RANK.EQ(Tabel4246[[#This Row],[Kolom223]],AC$5:AC$35)),0)</f>
        <v>27</v>
      </c>
      <c r="CJ16" s="135">
        <f>Tabel4246[[#This Row],[Kolom29135]]*CI$2</f>
        <v>27</v>
      </c>
      <c r="CK16" s="135">
        <f>IF(AD$2="x",(_xlfn.RANK.EQ(Tabel4246[[#This Row],[Kolom222]],AD$5:AD$35)),0)</f>
        <v>0</v>
      </c>
      <c r="CL16" s="135">
        <f>Tabel4246[[#This Row],[Kolom29136]]*CK$2</f>
        <v>0</v>
      </c>
      <c r="CM16" s="135">
        <f t="shared" si="13"/>
        <v>3</v>
      </c>
      <c r="CN16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Row],[Kolom29130]]+CA16+Tabel4246[[#This Row],[Kolom29132]]+Tabel4246[[#This Row],[Kolom29133]]+Tabel4246[[#This Row],[Kolom29134]]+Tabel4246[[#This Row],[Kolom29135]]+Tabel4246[[#This Row],[Kolom29136]])/Tabel4246[[#This Row],[Kolom29137]]</f>
        <v>14.666666666666666</v>
      </c>
      <c r="CO16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Row],[Kolom291302]]+CB16+Tabel4246[[#This Row],[Kolom291322]]+Tabel4246[[#This Row],[Kolom291332]]+Tabel4246[[#This Row],[Kolom291342]]+Tabel4246[[#This Row],[Kolom291352]]+Tabel4246[[#This Row],[Kolom291362]])/Tabel4246[[#This Row],[Kolom29137]]</f>
        <v>24</v>
      </c>
      <c r="CP16" s="142">
        <f>_xlfn.RANK.EQ(Tabel4246[[#This Row],[Kolom29138]],CN$5:CN$35,1)</f>
        <v>22</v>
      </c>
      <c r="CQ16" s="142">
        <f>_xlfn.RANK.EQ(Tabel4246[[#This Row],[Kolom291382]],CO$5:CO$35,1)</f>
        <v>14</v>
      </c>
    </row>
    <row r="17" spans="1:95">
      <c r="B17" s="21" t="str">
        <f>'Symptomen (alle)'!A14</f>
        <v>Tetrahymena (also called Guppy-killer)</v>
      </c>
      <c r="C17" s="21">
        <f>'Symptomen (alle)'!B14</f>
        <v>0</v>
      </c>
      <c r="D17" s="21">
        <f>IF(D$2="x",'Symptomen (alle)'!C14,0)</f>
        <v>0</v>
      </c>
      <c r="E17" s="21">
        <f>IF(E$2="x",'Symptomen (alle)'!D14,0)</f>
        <v>0</v>
      </c>
      <c r="F17" s="21">
        <f>IF(F$2="x",'Symptomen (alle)'!E14,0)</f>
        <v>0</v>
      </c>
      <c r="G17" s="21">
        <f>IF(G$2="x",'Symptomen (alle)'!F14,0)</f>
        <v>0</v>
      </c>
      <c r="H17" s="21">
        <f>IF(H$2="x",'Symptomen (alle)'!G14,0)</f>
        <v>0</v>
      </c>
      <c r="I17" s="21">
        <f>IF(I$2="x",'Symptomen (alle)'!H14,0)</f>
        <v>0</v>
      </c>
      <c r="J17" s="21">
        <f>IF(J$2="x",'Symptomen (alle)'!I14,0)</f>
        <v>3</v>
      </c>
      <c r="K17" s="21">
        <f>IF(K$2="x",'Symptomen (alle)'!J14,0)</f>
        <v>0</v>
      </c>
      <c r="L17" s="21">
        <f>IF(L$2="x",'Symptomen (alle)'!K14,0)</f>
        <v>0</v>
      </c>
      <c r="M17" s="21">
        <f>IF(M$2="x",'Symptomen (alle)'!L14,0)</f>
        <v>0</v>
      </c>
      <c r="N17" s="21">
        <f>IF(N$2="x",'Symptomen (alle)'!M14,0)</f>
        <v>0</v>
      </c>
      <c r="O17" s="21">
        <f>IF(O$2="x",'Symptomen (alle)'!N14,0)</f>
        <v>0</v>
      </c>
      <c r="P17" s="21">
        <f>IF(P$2="x",'Symptomen (alle)'!O14,0)</f>
        <v>0</v>
      </c>
      <c r="Q17" s="21">
        <f>IF(Q$2="x",'Symptomen (alle)'!P14,0)</f>
        <v>0</v>
      </c>
      <c r="R17" s="21">
        <f>IF(R$2="x",'Symptomen (alle)'!Q14,0)</f>
        <v>0</v>
      </c>
      <c r="S17" s="21">
        <f>IF(S$2="x",'Symptomen (alle)'!R14,0)</f>
        <v>0</v>
      </c>
      <c r="T17" s="21">
        <f>IF(T$2="x",'Symptomen (alle)'!S14,0)</f>
        <v>0</v>
      </c>
      <c r="U17" s="21">
        <f>IF(U$2="x",'Symptomen (alle)'!T14,0)</f>
        <v>0</v>
      </c>
      <c r="V17" s="21">
        <f>IF(V$2="x",'Symptomen (alle)'!U14,0)</f>
        <v>0</v>
      </c>
      <c r="W17" s="21">
        <f>IF(W$2="x",'Symptomen (alle)'!V14,0)</f>
        <v>0</v>
      </c>
      <c r="X17" s="21">
        <f>IF(X$2="x",'Symptomen (alle)'!W14,0)</f>
        <v>0</v>
      </c>
      <c r="Y17" s="21">
        <f>IF(Y$2="x",'Symptomen (alle)'!X14,0)</f>
        <v>0</v>
      </c>
      <c r="Z17" s="21">
        <f>IF(Z$2="x",'Symptomen (alle)'!Y14,0)</f>
        <v>3</v>
      </c>
      <c r="AA17" s="21">
        <f>IF(AA$2="x",'Symptomen (alle)'!Z14,0)</f>
        <v>0</v>
      </c>
      <c r="AB17" s="21">
        <f>IF(AB$2="x",'Symptomen (alle)'!AA14,0)</f>
        <v>0</v>
      </c>
      <c r="AC17" s="21">
        <f>IF(AC$2="x",'Symptomen (alle)'!AB14,0)</f>
        <v>2</v>
      </c>
      <c r="AD17" s="21">
        <f>IF(AD$2="x",'Symptomen (alle)'!AC14,0)</f>
        <v>0</v>
      </c>
      <c r="AE17" s="21">
        <f t="shared" si="11"/>
        <v>8</v>
      </c>
      <c r="AF17" s="21">
        <f>HLOOKUP($B$2,ZiekteFam!$B$1:$T$32,AG17,FALSE)</f>
        <v>0</v>
      </c>
      <c r="AG17" s="32">
        <f t="shared" si="12"/>
        <v>14</v>
      </c>
      <c r="AH17" s="32">
        <f>SUM('Symptomen (alle)'!D14:AC14)</f>
        <v>27</v>
      </c>
      <c r="AI17" s="22">
        <f>Tabel4246[[#This Row],[Kolom25]]/Tabel4246[[#This Row],[Kolom28]]</f>
        <v>0.29629629629629628</v>
      </c>
      <c r="AJ17" s="22"/>
      <c r="AK17" s="22">
        <f>Tabel4246[[#This Row],[Kolom29]]</f>
        <v>0.29629629629629628</v>
      </c>
      <c r="AL17" s="36">
        <f>_xlfn.RANK.EQ(Tabel4246[[#This Row],[Kolom29]],$AI$5:$AI$35)</f>
        <v>10</v>
      </c>
      <c r="AM17" s="135">
        <f>IF(E$2="x",(_xlfn.RANK.EQ(Tabel4246[[#This Row],[Kolom3]],E$5:E$35)),0)</f>
        <v>0</v>
      </c>
      <c r="AN17" s="135">
        <f>Tabel4246[[#This Row],[Kolom2911]]*AM$2</f>
        <v>0</v>
      </c>
      <c r="AO17" s="135">
        <f>IF(F$2="x",(_xlfn.RANK.EQ(Tabel4246[[#This Row],[Kolom4]],F$5:F$35)),0)</f>
        <v>0</v>
      </c>
      <c r="AP17" s="135">
        <f>Tabel4246[[#This Row],[Kolom29112]]*AO$2</f>
        <v>0</v>
      </c>
      <c r="AQ17" s="135">
        <f>IF(G$2="x",(_xlfn.RANK.EQ(Tabel4246[[#This Row],[Kolom5]],G$5:G$35)),0)</f>
        <v>0</v>
      </c>
      <c r="AR17" s="135">
        <f>Tabel4246[[#This Row],[Kolom29113]]*AQ$2</f>
        <v>0</v>
      </c>
      <c r="AS17" s="135">
        <f>IF(H$2="x",(_xlfn.RANK.EQ(Tabel4246[[#This Row],[Kolom6]],H$5:H$35)),0)</f>
        <v>0</v>
      </c>
      <c r="AT17" s="135">
        <f>Tabel4246[[#This Row],[Kolom29114]]*AS$2</f>
        <v>0</v>
      </c>
      <c r="AU17" s="135">
        <f>IF(I$2="x",(_xlfn.RANK.EQ(Tabel4246[[#This Row],[Kolom62]],I$5:I$35)),0)</f>
        <v>0</v>
      </c>
      <c r="AV17" s="135">
        <f>Tabel4246[[#This Row],[Kolom29115]]*AU$2</f>
        <v>0</v>
      </c>
      <c r="AW17" s="135">
        <f>IF(J$2="x",(_xlfn.RANK.EQ(Tabel4246[[#This Row],[Kolom7]],J$5:J$35)),0)</f>
        <v>5</v>
      </c>
      <c r="AX17" s="135">
        <f>Tabel4246[[#This Row],[Kolom29116]]*AW$2</f>
        <v>25</v>
      </c>
      <c r="AY17" s="135">
        <f>IF(K$2="x",(_xlfn.RANK.EQ(Tabel4246[[#This Row],[Kolom72]],K$5:K$35)),0)</f>
        <v>0</v>
      </c>
      <c r="AZ17" s="135">
        <f>Tabel4246[[#This Row],[Kolom29117]]*AY$2</f>
        <v>0</v>
      </c>
      <c r="BA17" s="135">
        <f>IF(L$2="x",(_xlfn.RANK.EQ(Tabel4246[[#This Row],[Kolom8]],L$5:L$35)),0)</f>
        <v>0</v>
      </c>
      <c r="BB17" s="135">
        <f>Tabel4246[[#This Row],[Kolom29118]]*BA$2</f>
        <v>0</v>
      </c>
      <c r="BC17" s="135">
        <f>IF(M$2="x",(_xlfn.RANK.EQ(Tabel4246[[#This Row],[Kolom9]],M$5:M$35)),0)</f>
        <v>0</v>
      </c>
      <c r="BD17" s="135">
        <f>Tabel4246[[#This Row],[Kolom29119]]*BC$2</f>
        <v>0</v>
      </c>
      <c r="BE17" s="135">
        <f>IF(N$2="x",(_xlfn.RANK.EQ(Tabel4246[[#This Row],[Kolom10]],N$5:N$35)),0)</f>
        <v>0</v>
      </c>
      <c r="BF17" s="135">
        <f>Tabel4246[[#This Row],[Kolom29120]]*BE$2</f>
        <v>0</v>
      </c>
      <c r="BG17" s="135">
        <f>IF(O$2="x",(_xlfn.RANK.EQ(Tabel4246[[#This Row],[Kolom11]],O$5:O$35)),0)</f>
        <v>0</v>
      </c>
      <c r="BH17" s="135">
        <f>Tabel4246[[#This Row],[Kolom29121]]*BG$2</f>
        <v>0</v>
      </c>
      <c r="BI17" s="135">
        <f>IF(P$2="x",(_xlfn.RANK.EQ(Tabel4246[[#This Row],[Kolom12]],P$5:P$35)),0)</f>
        <v>0</v>
      </c>
      <c r="BJ17" s="135">
        <f>Tabel4246[[#This Row],[Kolom29122]]*BI$2</f>
        <v>0</v>
      </c>
      <c r="BK17" s="135">
        <f>IF(Q$2="x",(_xlfn.RANK.EQ(Tabel4246[[#This Row],[Kolom13]],Q$5:Q$35)),0)</f>
        <v>0</v>
      </c>
      <c r="BL17" s="135">
        <f>Tabel4246[[#This Row],[Kolom29123]]*BK$2</f>
        <v>0</v>
      </c>
      <c r="BM17" s="135">
        <f>IF(R$2="x",(_xlfn.RANK.EQ(Tabel4246[[#This Row],[Kolom133]],R$5:R$35)),0)</f>
        <v>0</v>
      </c>
      <c r="BN17" s="135">
        <f>Tabel4246[[#This Row],[Kolom29124]]*BM$2</f>
        <v>0</v>
      </c>
      <c r="BO17" s="135">
        <f>IF(S$2="x",(_xlfn.RANK.EQ(Tabel4246[[#This Row],[Kolom132]],S$5:S$35)),0)</f>
        <v>0</v>
      </c>
      <c r="BP17" s="135">
        <f>Tabel4246[[#This Row],[Kolom29125]]*BO$2</f>
        <v>0</v>
      </c>
      <c r="BQ17" s="135">
        <f>IF(T$2="x",(_xlfn.RANK.EQ(Tabel4246[[#This Row],[Kolom14]],T$5:T$35)),0)</f>
        <v>0</v>
      </c>
      <c r="BR17" s="135">
        <f>Tabel4246[[#This Row],[Kolom29126]]*BQ$2</f>
        <v>0</v>
      </c>
      <c r="BS17" s="135">
        <f>IF(U$2="x",(_xlfn.RANK.EQ(Tabel4246[[#This Row],[Kolom16]],U$5:U$35)),0)</f>
        <v>0</v>
      </c>
      <c r="BT17" s="135">
        <f>Tabel4246[[#This Row],[Kolom29127]]*BS$2</f>
        <v>0</v>
      </c>
      <c r="BU17" s="135">
        <f>IF(V$2="x",(_xlfn.RANK.EQ(Tabel4246[[#This Row],[Kolom173]],V$5:V$35)),0)</f>
        <v>0</v>
      </c>
      <c r="BV17" s="135">
        <f>Tabel4246[[#This Row],[Kolom29128]]*BU$2</f>
        <v>0</v>
      </c>
      <c r="BW17" s="135">
        <f>IF(W$2="x",(_xlfn.RANK.EQ(Tabel4246[[#This Row],[Kolom172]],W$5:W$35)),0)</f>
        <v>0</v>
      </c>
      <c r="BX17" s="135">
        <f>Tabel4246[[#This Row],[Kolom29129]]*BW$2</f>
        <v>0</v>
      </c>
      <c r="BY17" s="135">
        <f>IF(X$2="x",(_xlfn.RANK.EQ(Tabel4246[[#This Row],[Kolom18]],X$5:X$35)),0)</f>
        <v>0</v>
      </c>
      <c r="BZ17" s="135">
        <f>Tabel4246[[#This Row],[Kolom29130]]*BY$2</f>
        <v>0</v>
      </c>
      <c r="CA17" s="135">
        <f>IF(Y$2="x",(_xlfn.RANK.EQ(Tabel4246[[#This Row],[Kolom19]],Y$5:Y$35)),0)</f>
        <v>0</v>
      </c>
      <c r="CB17" s="135">
        <f>Tabel4246[[#This Row],[Kolom29131]]*CA$2</f>
        <v>0</v>
      </c>
      <c r="CC17" s="135">
        <f>IF(Z$2="x",(_xlfn.RANK.EQ(Tabel4246[[#This Row],[Kolom20]],Z$5:Z$35)),0)</f>
        <v>3</v>
      </c>
      <c r="CD17" s="135">
        <f>Tabel4246[[#This Row],[Kolom29132]]*CC$2</f>
        <v>3</v>
      </c>
      <c r="CE17" s="135">
        <f>IF(AA$2="x",(_xlfn.RANK.EQ(Tabel4246[[#This Row],[Kolom21]],AA$5:AA$35)),0)</f>
        <v>0</v>
      </c>
      <c r="CF17" s="135">
        <f>Tabel4246[[#This Row],[Kolom29133]]*CE$2</f>
        <v>0</v>
      </c>
      <c r="CG17" s="135">
        <f>IF(AB$2="x",(_xlfn.RANK.EQ(Tabel4246[[#This Row],[Kolom22]],AB$5:AB$35)),0)</f>
        <v>0</v>
      </c>
      <c r="CH17" s="135">
        <f>Tabel4246[[#This Row],[Kolom29134]]*CG$2</f>
        <v>0</v>
      </c>
      <c r="CI17" s="135">
        <f>IF(AC$2="x",(_xlfn.RANK.EQ(Tabel4246[[#This Row],[Kolom223]],AC$5:AC$35)),0)</f>
        <v>17</v>
      </c>
      <c r="CJ17" s="135">
        <f>Tabel4246[[#This Row],[Kolom29135]]*CI$2</f>
        <v>17</v>
      </c>
      <c r="CK17" s="135">
        <f>IF(AD$2="x",(_xlfn.RANK.EQ(Tabel4246[[#This Row],[Kolom222]],AD$5:AD$35)),0)</f>
        <v>0</v>
      </c>
      <c r="CL17" s="135">
        <f>Tabel4246[[#This Row],[Kolom29136]]*CK$2</f>
        <v>0</v>
      </c>
      <c r="CM17" s="135">
        <f t="shared" si="13"/>
        <v>3</v>
      </c>
      <c r="CN17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Row],[Kolom29130]]+CA17+Tabel4246[[#This Row],[Kolom29132]]+Tabel4246[[#This Row],[Kolom29133]]+Tabel4246[[#This Row],[Kolom29134]]+Tabel4246[[#This Row],[Kolom29135]]+Tabel4246[[#This Row],[Kolom29136]])/Tabel4246[[#This Row],[Kolom29137]]</f>
        <v>8.3333333333333339</v>
      </c>
      <c r="CO17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Row],[Kolom291302]]+CB17+Tabel4246[[#This Row],[Kolom291322]]+Tabel4246[[#This Row],[Kolom291332]]+Tabel4246[[#This Row],[Kolom291342]]+Tabel4246[[#This Row],[Kolom291352]]+Tabel4246[[#This Row],[Kolom291362]])/Tabel4246[[#This Row],[Kolom29137]]</f>
        <v>15</v>
      </c>
      <c r="CP17" s="142">
        <f>_xlfn.RANK.EQ(Tabel4246[[#This Row],[Kolom29138]],CN$5:CN$35,1)</f>
        <v>3</v>
      </c>
      <c r="CQ17" s="142">
        <f>_xlfn.RANK.EQ(Tabel4246[[#This Row],[Kolom291382]],CO$5:CO$35,1)</f>
        <v>5</v>
      </c>
    </row>
    <row r="18" spans="1:95">
      <c r="B18" s="21" t="str">
        <f>'Symptomen (alle)'!A15</f>
        <v>Hole-in-the-head/HLLS/Head-and-Lateral-Line-Syndrome</v>
      </c>
      <c r="C18" s="21">
        <f>'Symptomen (alle)'!B15</f>
        <v>2</v>
      </c>
      <c r="D18" s="21">
        <f>IF(D$2="x",'Symptomen (alle)'!C15,0)</f>
        <v>0</v>
      </c>
      <c r="E18" s="21">
        <f>IF(E$2="x",'Symptomen (alle)'!D15,0)</f>
        <v>0</v>
      </c>
      <c r="F18" s="21">
        <f>IF(F$2="x",'Symptomen (alle)'!E15,0)</f>
        <v>0</v>
      </c>
      <c r="G18" s="21">
        <f>IF(G$2="x",'Symptomen (alle)'!F15,0)</f>
        <v>0</v>
      </c>
      <c r="H18" s="21">
        <f>IF(H$2="x",'Symptomen (alle)'!G15,0)</f>
        <v>0</v>
      </c>
      <c r="I18" s="21">
        <f>IF(I$2="x",'Symptomen (alle)'!H15,0)</f>
        <v>0</v>
      </c>
      <c r="J18" s="21">
        <f>IF(J$2="x",'Symptomen (alle)'!I15,0)</f>
        <v>10</v>
      </c>
      <c r="K18" s="21">
        <f>IF(K$2="x",'Symptomen (alle)'!J15,0)</f>
        <v>0</v>
      </c>
      <c r="L18" s="21">
        <f>IF(L$2="x",'Symptomen (alle)'!K15,0)</f>
        <v>0</v>
      </c>
      <c r="M18" s="21">
        <f>IF(M$2="x",'Symptomen (alle)'!L15,0)</f>
        <v>0</v>
      </c>
      <c r="N18" s="21">
        <f>IF(N$2="x",'Symptomen (alle)'!M15,0)</f>
        <v>0</v>
      </c>
      <c r="O18" s="21">
        <f>IF(O$2="x",'Symptomen (alle)'!N15,0)</f>
        <v>0</v>
      </c>
      <c r="P18" s="21">
        <f>IF(P$2="x",'Symptomen (alle)'!O15,0)</f>
        <v>0</v>
      </c>
      <c r="Q18" s="21">
        <f>IF(Q$2="x",'Symptomen (alle)'!P15,0)</f>
        <v>0</v>
      </c>
      <c r="R18" s="21">
        <f>IF(R$2="x",'Symptomen (alle)'!Q15,0)</f>
        <v>0</v>
      </c>
      <c r="S18" s="21">
        <f>IF(S$2="x",'Symptomen (alle)'!R15,0)</f>
        <v>0</v>
      </c>
      <c r="T18" s="21">
        <f>IF(T$2="x",'Symptomen (alle)'!S15,0)</f>
        <v>0</v>
      </c>
      <c r="U18" s="21">
        <f>IF(U$2="x",'Symptomen (alle)'!T15,0)</f>
        <v>0</v>
      </c>
      <c r="V18" s="21">
        <f>IF(V$2="x",'Symptomen (alle)'!U15,0)</f>
        <v>0</v>
      </c>
      <c r="W18" s="21">
        <f>IF(W$2="x",'Symptomen (alle)'!V15,0)</f>
        <v>0</v>
      </c>
      <c r="X18" s="21">
        <f>IF(X$2="x",'Symptomen (alle)'!W15,0)</f>
        <v>0</v>
      </c>
      <c r="Y18" s="21">
        <f>IF(Y$2="x",'Symptomen (alle)'!X15,0)</f>
        <v>0</v>
      </c>
      <c r="Z18" s="21">
        <f>IF(Z$2="x",'Symptomen (alle)'!Y15,0)</f>
        <v>2</v>
      </c>
      <c r="AA18" s="21">
        <f>IF(AA$2="x",'Symptomen (alle)'!Z15,0)</f>
        <v>0</v>
      </c>
      <c r="AB18" s="21">
        <f>IF(AB$2="x",'Symptomen (alle)'!AA15,0)</f>
        <v>0</v>
      </c>
      <c r="AC18" s="21">
        <f>IF(AC$2="x",'Symptomen (alle)'!AB15,0)</f>
        <v>2</v>
      </c>
      <c r="AD18" s="21">
        <f>IF(AD$2="x",'Symptomen (alle)'!AC15,0)</f>
        <v>0</v>
      </c>
      <c r="AE18" s="21">
        <f t="shared" si="11"/>
        <v>14</v>
      </c>
      <c r="AF18" s="21">
        <f>HLOOKUP($B$2,ZiekteFam!$B$1:$T$32,AG18,FALSE)</f>
        <v>3</v>
      </c>
      <c r="AG18" s="32">
        <f t="shared" si="12"/>
        <v>15</v>
      </c>
      <c r="AH18" s="32">
        <f>SUM('Symptomen (alle)'!D15:AC15)</f>
        <v>26</v>
      </c>
      <c r="AI18" s="22">
        <f>Tabel4246[[#This Row],[Kolom25]]/Tabel4246[[#This Row],[Kolom28]]</f>
        <v>0.53846153846153844</v>
      </c>
      <c r="AJ18" s="22"/>
      <c r="AK18" s="22">
        <f>Tabel4246[[#This Row],[Kolom29]]</f>
        <v>0.53846153846153844</v>
      </c>
      <c r="AL18" s="36">
        <f>_xlfn.RANK.EQ(Tabel4246[[#This Row],[Kolom29]],$AI$5:$AI$35)</f>
        <v>2</v>
      </c>
      <c r="AM18" s="135">
        <f>IF(E$2="x",(_xlfn.RANK.EQ(Tabel4246[[#This Row],[Kolom3]],E$5:E$35)),0)</f>
        <v>0</v>
      </c>
      <c r="AN18" s="135">
        <f>Tabel4246[[#This Row],[Kolom2911]]*AM$2</f>
        <v>0</v>
      </c>
      <c r="AO18" s="135">
        <f>IF(F$2="x",(_xlfn.RANK.EQ(Tabel4246[[#This Row],[Kolom4]],F$5:F$35)),0)</f>
        <v>0</v>
      </c>
      <c r="AP18" s="135">
        <f>Tabel4246[[#This Row],[Kolom29112]]*AO$2</f>
        <v>0</v>
      </c>
      <c r="AQ18" s="135">
        <f>IF(G$2="x",(_xlfn.RANK.EQ(Tabel4246[[#This Row],[Kolom5]],G$5:G$35)),0)</f>
        <v>0</v>
      </c>
      <c r="AR18" s="135">
        <f>Tabel4246[[#This Row],[Kolom29113]]*AQ$2</f>
        <v>0</v>
      </c>
      <c r="AS18" s="135">
        <f>IF(H$2="x",(_xlfn.RANK.EQ(Tabel4246[[#This Row],[Kolom6]],H$5:H$35)),0)</f>
        <v>0</v>
      </c>
      <c r="AT18" s="135">
        <f>Tabel4246[[#This Row],[Kolom29114]]*AS$2</f>
        <v>0</v>
      </c>
      <c r="AU18" s="135">
        <f>IF(I$2="x",(_xlfn.RANK.EQ(Tabel4246[[#This Row],[Kolom62]],I$5:I$35)),0)</f>
        <v>0</v>
      </c>
      <c r="AV18" s="135">
        <f>Tabel4246[[#This Row],[Kolom29115]]*AU$2</f>
        <v>0</v>
      </c>
      <c r="AW18" s="135">
        <f>IF(J$2="x",(_xlfn.RANK.EQ(Tabel4246[[#This Row],[Kolom7]],J$5:J$35)),0)</f>
        <v>1</v>
      </c>
      <c r="AX18" s="135">
        <f>Tabel4246[[#This Row],[Kolom29116]]*AW$2</f>
        <v>5</v>
      </c>
      <c r="AY18" s="135">
        <f>IF(K$2="x",(_xlfn.RANK.EQ(Tabel4246[[#This Row],[Kolom72]],K$5:K$35)),0)</f>
        <v>0</v>
      </c>
      <c r="AZ18" s="135">
        <f>Tabel4246[[#This Row],[Kolom29117]]*AY$2</f>
        <v>0</v>
      </c>
      <c r="BA18" s="135">
        <f>IF(L$2="x",(_xlfn.RANK.EQ(Tabel4246[[#This Row],[Kolom8]],L$5:L$35)),0)</f>
        <v>0</v>
      </c>
      <c r="BB18" s="135">
        <f>Tabel4246[[#This Row],[Kolom29118]]*BA$2</f>
        <v>0</v>
      </c>
      <c r="BC18" s="135">
        <f>IF(M$2="x",(_xlfn.RANK.EQ(Tabel4246[[#This Row],[Kolom9]],M$5:M$35)),0)</f>
        <v>0</v>
      </c>
      <c r="BD18" s="135">
        <f>Tabel4246[[#This Row],[Kolom29119]]*BC$2</f>
        <v>0</v>
      </c>
      <c r="BE18" s="135">
        <f>IF(N$2="x",(_xlfn.RANK.EQ(Tabel4246[[#This Row],[Kolom10]],N$5:N$35)),0)</f>
        <v>0</v>
      </c>
      <c r="BF18" s="135">
        <f>Tabel4246[[#This Row],[Kolom29120]]*BE$2</f>
        <v>0</v>
      </c>
      <c r="BG18" s="135">
        <f>IF(O$2="x",(_xlfn.RANK.EQ(Tabel4246[[#This Row],[Kolom11]],O$5:O$35)),0)</f>
        <v>0</v>
      </c>
      <c r="BH18" s="135">
        <f>Tabel4246[[#This Row],[Kolom29121]]*BG$2</f>
        <v>0</v>
      </c>
      <c r="BI18" s="135">
        <f>IF(P$2="x",(_xlfn.RANK.EQ(Tabel4246[[#This Row],[Kolom12]],P$5:P$35)),0)</f>
        <v>0</v>
      </c>
      <c r="BJ18" s="135">
        <f>Tabel4246[[#This Row],[Kolom29122]]*BI$2</f>
        <v>0</v>
      </c>
      <c r="BK18" s="135">
        <f>IF(Q$2="x",(_xlfn.RANK.EQ(Tabel4246[[#This Row],[Kolom13]],Q$5:Q$35)),0)</f>
        <v>0</v>
      </c>
      <c r="BL18" s="135">
        <f>Tabel4246[[#This Row],[Kolom29123]]*BK$2</f>
        <v>0</v>
      </c>
      <c r="BM18" s="135">
        <f>IF(R$2="x",(_xlfn.RANK.EQ(Tabel4246[[#This Row],[Kolom133]],R$5:R$35)),0)</f>
        <v>0</v>
      </c>
      <c r="BN18" s="135">
        <f>Tabel4246[[#This Row],[Kolom29124]]*BM$2</f>
        <v>0</v>
      </c>
      <c r="BO18" s="135">
        <f>IF(S$2="x",(_xlfn.RANK.EQ(Tabel4246[[#This Row],[Kolom132]],S$5:S$35)),0)</f>
        <v>0</v>
      </c>
      <c r="BP18" s="135">
        <f>Tabel4246[[#This Row],[Kolom29125]]*BO$2</f>
        <v>0</v>
      </c>
      <c r="BQ18" s="135">
        <f>IF(T$2="x",(_xlfn.RANK.EQ(Tabel4246[[#This Row],[Kolom14]],T$5:T$35)),0)</f>
        <v>0</v>
      </c>
      <c r="BR18" s="135">
        <f>Tabel4246[[#This Row],[Kolom29126]]*BQ$2</f>
        <v>0</v>
      </c>
      <c r="BS18" s="135">
        <f>IF(U$2="x",(_xlfn.RANK.EQ(Tabel4246[[#This Row],[Kolom16]],U$5:U$35)),0)</f>
        <v>0</v>
      </c>
      <c r="BT18" s="135">
        <f>Tabel4246[[#This Row],[Kolom29127]]*BS$2</f>
        <v>0</v>
      </c>
      <c r="BU18" s="135">
        <f>IF(V$2="x",(_xlfn.RANK.EQ(Tabel4246[[#This Row],[Kolom173]],V$5:V$35)),0)</f>
        <v>0</v>
      </c>
      <c r="BV18" s="135">
        <f>Tabel4246[[#This Row],[Kolom29128]]*BU$2</f>
        <v>0</v>
      </c>
      <c r="BW18" s="135">
        <f>IF(W$2="x",(_xlfn.RANK.EQ(Tabel4246[[#This Row],[Kolom172]],W$5:W$35)),0)</f>
        <v>0</v>
      </c>
      <c r="BX18" s="135">
        <f>Tabel4246[[#This Row],[Kolom29129]]*BW$2</f>
        <v>0</v>
      </c>
      <c r="BY18" s="135">
        <f>IF(X$2="x",(_xlfn.RANK.EQ(Tabel4246[[#This Row],[Kolom18]],X$5:X$35)),0)</f>
        <v>0</v>
      </c>
      <c r="BZ18" s="135">
        <f>Tabel4246[[#This Row],[Kolom29130]]*BY$2</f>
        <v>0</v>
      </c>
      <c r="CA18" s="135">
        <f>IF(Y$2="x",(_xlfn.RANK.EQ(Tabel4246[[#This Row],[Kolom19]],Y$5:Y$35)),0)</f>
        <v>0</v>
      </c>
      <c r="CB18" s="135">
        <f>Tabel4246[[#This Row],[Kolom29131]]*CA$2</f>
        <v>0</v>
      </c>
      <c r="CC18" s="135">
        <f>IF(Z$2="x",(_xlfn.RANK.EQ(Tabel4246[[#This Row],[Kolom20]],Z$5:Z$35)),0)</f>
        <v>10</v>
      </c>
      <c r="CD18" s="135">
        <f>Tabel4246[[#This Row],[Kolom29132]]*CC$2</f>
        <v>10</v>
      </c>
      <c r="CE18" s="135">
        <f>IF(AA$2="x",(_xlfn.RANK.EQ(Tabel4246[[#This Row],[Kolom21]],AA$5:AA$35)),0)</f>
        <v>0</v>
      </c>
      <c r="CF18" s="135">
        <f>Tabel4246[[#This Row],[Kolom29133]]*CE$2</f>
        <v>0</v>
      </c>
      <c r="CG18" s="135">
        <f>IF(AB$2="x",(_xlfn.RANK.EQ(Tabel4246[[#This Row],[Kolom22]],AB$5:AB$35)),0)</f>
        <v>0</v>
      </c>
      <c r="CH18" s="135">
        <f>Tabel4246[[#This Row],[Kolom29134]]*CG$2</f>
        <v>0</v>
      </c>
      <c r="CI18" s="135">
        <f>IF(AC$2="x",(_xlfn.RANK.EQ(Tabel4246[[#This Row],[Kolom223]],AC$5:AC$35)),0)</f>
        <v>17</v>
      </c>
      <c r="CJ18" s="135">
        <f>Tabel4246[[#This Row],[Kolom29135]]*CI$2</f>
        <v>17</v>
      </c>
      <c r="CK18" s="135">
        <f>IF(AD$2="x",(_xlfn.RANK.EQ(Tabel4246[[#This Row],[Kolom222]],AD$5:AD$35)),0)</f>
        <v>0</v>
      </c>
      <c r="CL18" s="135">
        <f>Tabel4246[[#This Row],[Kolom29136]]*CK$2</f>
        <v>0</v>
      </c>
      <c r="CM18" s="135">
        <f t="shared" si="13"/>
        <v>3</v>
      </c>
      <c r="CN18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Row],[Kolom29130]]+CA18+Tabel4246[[#This Row],[Kolom29132]]+Tabel4246[[#This Row],[Kolom29133]]+Tabel4246[[#This Row],[Kolom29134]]+Tabel4246[[#This Row],[Kolom29135]]+Tabel4246[[#This Row],[Kolom29136]])/Tabel4246[[#This Row],[Kolom29137]]</f>
        <v>9.3333333333333339</v>
      </c>
      <c r="CO18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Row],[Kolom291302]]+CB18+Tabel4246[[#This Row],[Kolom291322]]+Tabel4246[[#This Row],[Kolom291332]]+Tabel4246[[#This Row],[Kolom291342]]+Tabel4246[[#This Row],[Kolom291352]]+Tabel4246[[#This Row],[Kolom291362]])/Tabel4246[[#This Row],[Kolom29137]]</f>
        <v>10.666666666666666</v>
      </c>
      <c r="CP18" s="142">
        <f>_xlfn.RANK.EQ(Tabel4246[[#This Row],[Kolom29138]],CN$5:CN$35,1)</f>
        <v>10</v>
      </c>
      <c r="CQ18" s="142">
        <f>_xlfn.RANK.EQ(Tabel4246[[#This Row],[Kolom291382]],CO$5:CO$35,1)</f>
        <v>2</v>
      </c>
    </row>
    <row r="19" spans="1:95">
      <c r="B19" s="21" t="str">
        <f>'Symptomen (alle)'!A16</f>
        <v>Spironucleus/Hexamita</v>
      </c>
      <c r="C19" s="21">
        <f>'Symptomen (alle)'!B16</f>
        <v>2</v>
      </c>
      <c r="D19" s="21">
        <f>IF(D$2="x",'Symptomen (alle)'!C16,0)</f>
        <v>0</v>
      </c>
      <c r="E19" s="21">
        <f>IF(E$2="x",'Symptomen (alle)'!D16,0)</f>
        <v>0</v>
      </c>
      <c r="F19" s="21">
        <f>IF(F$2="x",'Symptomen (alle)'!E16,0)</f>
        <v>0</v>
      </c>
      <c r="G19" s="21">
        <f>IF(G$2="x",'Symptomen (alle)'!F16,0)</f>
        <v>0</v>
      </c>
      <c r="H19" s="21">
        <f>IF(H$2="x",'Symptomen (alle)'!G16,0)</f>
        <v>0</v>
      </c>
      <c r="I19" s="21">
        <f>IF(I$2="x",'Symptomen (alle)'!H16,0)</f>
        <v>0</v>
      </c>
      <c r="J19" s="21">
        <f>IF(J$2="x",'Symptomen (alle)'!I16,0)</f>
        <v>0</v>
      </c>
      <c r="K19" s="21">
        <f>IF(K$2="x",'Symptomen (alle)'!J16,0)</f>
        <v>0</v>
      </c>
      <c r="L19" s="21">
        <f>IF(L$2="x",'Symptomen (alle)'!K16,0)</f>
        <v>0</v>
      </c>
      <c r="M19" s="21">
        <f>IF(M$2="x",'Symptomen (alle)'!L16,0)</f>
        <v>0</v>
      </c>
      <c r="N19" s="21">
        <f>IF(N$2="x",'Symptomen (alle)'!M16,0)</f>
        <v>0</v>
      </c>
      <c r="O19" s="21">
        <f>IF(O$2="x",'Symptomen (alle)'!N16,0)</f>
        <v>0</v>
      </c>
      <c r="P19" s="21">
        <f>IF(P$2="x",'Symptomen (alle)'!O16,0)</f>
        <v>0</v>
      </c>
      <c r="Q19" s="21">
        <f>IF(Q$2="x",'Symptomen (alle)'!P16,0)</f>
        <v>0</v>
      </c>
      <c r="R19" s="21">
        <f>IF(R$2="x",'Symptomen (alle)'!Q16,0)</f>
        <v>0</v>
      </c>
      <c r="S19" s="21">
        <f>IF(S$2="x",'Symptomen (alle)'!R16,0)</f>
        <v>0</v>
      </c>
      <c r="T19" s="21">
        <f>IF(T$2="x",'Symptomen (alle)'!S16,0)</f>
        <v>0</v>
      </c>
      <c r="U19" s="21">
        <f>IF(U$2="x",'Symptomen (alle)'!T16,0)</f>
        <v>0</v>
      </c>
      <c r="V19" s="21">
        <f>IF(V$2="x",'Symptomen (alle)'!U16,0)</f>
        <v>0</v>
      </c>
      <c r="W19" s="21">
        <f>IF(W$2="x",'Symptomen (alle)'!V16,0)</f>
        <v>0</v>
      </c>
      <c r="X19" s="21">
        <f>IF(X$2="x",'Symptomen (alle)'!W16,0)</f>
        <v>0</v>
      </c>
      <c r="Y19" s="21">
        <f>IF(Y$2="x",'Symptomen (alle)'!X16,0)</f>
        <v>0</v>
      </c>
      <c r="Z19" s="21">
        <f>IF(Z$2="x",'Symptomen (alle)'!Y16,0)</f>
        <v>2</v>
      </c>
      <c r="AA19" s="21">
        <f>IF(AA$2="x",'Symptomen (alle)'!Z16,0)</f>
        <v>0</v>
      </c>
      <c r="AB19" s="21">
        <f>IF(AB$2="x",'Symptomen (alle)'!AA16,0)</f>
        <v>0</v>
      </c>
      <c r="AC19" s="21">
        <f>IF(AC$2="x",'Symptomen (alle)'!AB16,0)</f>
        <v>3</v>
      </c>
      <c r="AD19" s="21">
        <f>IF(AD$2="x",'Symptomen (alle)'!AC16,0)</f>
        <v>0</v>
      </c>
      <c r="AE19" s="21">
        <f t="shared" si="11"/>
        <v>5</v>
      </c>
      <c r="AF19" s="21">
        <f>HLOOKUP($B$2,ZiekteFam!$B$1:$T$32,AG19,FALSE)</f>
        <v>0</v>
      </c>
      <c r="AG19" s="32">
        <f t="shared" si="12"/>
        <v>16</v>
      </c>
      <c r="AH19" s="32">
        <f>SUM('Symptomen (alle)'!D16:AC16)</f>
        <v>26</v>
      </c>
      <c r="AI19" s="22">
        <f>Tabel4246[[#This Row],[Kolom25]]/Tabel4246[[#This Row],[Kolom28]]</f>
        <v>0.19230769230769232</v>
      </c>
      <c r="AJ19" s="22"/>
      <c r="AK19" s="22">
        <f>Tabel4246[[#This Row],[Kolom29]]</f>
        <v>0.19230769230769232</v>
      </c>
      <c r="AL19" s="36">
        <f>_xlfn.RANK.EQ(Tabel4246[[#This Row],[Kolom29]],$AI$5:$AI$35)</f>
        <v>16</v>
      </c>
      <c r="AM19" s="135">
        <f>IF(E$2="x",(_xlfn.RANK.EQ(Tabel4246[[#This Row],[Kolom3]],E$5:E$35)),0)</f>
        <v>0</v>
      </c>
      <c r="AN19" s="135">
        <f>Tabel4246[[#This Row],[Kolom2911]]*AM$2</f>
        <v>0</v>
      </c>
      <c r="AO19" s="135">
        <f>IF(F$2="x",(_xlfn.RANK.EQ(Tabel4246[[#This Row],[Kolom4]],F$5:F$35)),0)</f>
        <v>0</v>
      </c>
      <c r="AP19" s="135">
        <f>Tabel4246[[#This Row],[Kolom29112]]*AO$2</f>
        <v>0</v>
      </c>
      <c r="AQ19" s="135">
        <f>IF(G$2="x",(_xlfn.RANK.EQ(Tabel4246[[#This Row],[Kolom5]],G$5:G$35)),0)</f>
        <v>0</v>
      </c>
      <c r="AR19" s="135">
        <f>Tabel4246[[#This Row],[Kolom29113]]*AQ$2</f>
        <v>0</v>
      </c>
      <c r="AS19" s="135">
        <f>IF(H$2="x",(_xlfn.RANK.EQ(Tabel4246[[#This Row],[Kolom6]],H$5:H$35)),0)</f>
        <v>0</v>
      </c>
      <c r="AT19" s="135">
        <f>Tabel4246[[#This Row],[Kolom29114]]*AS$2</f>
        <v>0</v>
      </c>
      <c r="AU19" s="135">
        <f>IF(I$2="x",(_xlfn.RANK.EQ(Tabel4246[[#This Row],[Kolom62]],I$5:I$35)),0)</f>
        <v>0</v>
      </c>
      <c r="AV19" s="135">
        <f>Tabel4246[[#This Row],[Kolom29115]]*AU$2</f>
        <v>0</v>
      </c>
      <c r="AW19" s="135">
        <f>IF(J$2="x",(_xlfn.RANK.EQ(Tabel4246[[#This Row],[Kolom7]],J$5:J$35)),0)</f>
        <v>23</v>
      </c>
      <c r="AX19" s="135">
        <f>Tabel4246[[#This Row],[Kolom29116]]*AW$2</f>
        <v>115</v>
      </c>
      <c r="AY19" s="135">
        <f>IF(K$2="x",(_xlfn.RANK.EQ(Tabel4246[[#This Row],[Kolom72]],K$5:K$35)),0)</f>
        <v>0</v>
      </c>
      <c r="AZ19" s="135">
        <f>Tabel4246[[#This Row],[Kolom29117]]*AY$2</f>
        <v>0</v>
      </c>
      <c r="BA19" s="135">
        <f>IF(L$2="x",(_xlfn.RANK.EQ(Tabel4246[[#This Row],[Kolom8]],L$5:L$35)),0)</f>
        <v>0</v>
      </c>
      <c r="BB19" s="135">
        <f>Tabel4246[[#This Row],[Kolom29118]]*BA$2</f>
        <v>0</v>
      </c>
      <c r="BC19" s="135">
        <f>IF(M$2="x",(_xlfn.RANK.EQ(Tabel4246[[#This Row],[Kolom9]],M$5:M$35)),0)</f>
        <v>0</v>
      </c>
      <c r="BD19" s="135">
        <f>Tabel4246[[#This Row],[Kolom29119]]*BC$2</f>
        <v>0</v>
      </c>
      <c r="BE19" s="135">
        <f>IF(N$2="x",(_xlfn.RANK.EQ(Tabel4246[[#This Row],[Kolom10]],N$5:N$35)),0)</f>
        <v>0</v>
      </c>
      <c r="BF19" s="135">
        <f>Tabel4246[[#This Row],[Kolom29120]]*BE$2</f>
        <v>0</v>
      </c>
      <c r="BG19" s="135">
        <f>IF(O$2="x",(_xlfn.RANK.EQ(Tabel4246[[#This Row],[Kolom11]],O$5:O$35)),0)</f>
        <v>0</v>
      </c>
      <c r="BH19" s="135">
        <f>Tabel4246[[#This Row],[Kolom29121]]*BG$2</f>
        <v>0</v>
      </c>
      <c r="BI19" s="135">
        <f>IF(P$2="x",(_xlfn.RANK.EQ(Tabel4246[[#This Row],[Kolom12]],P$5:P$35)),0)</f>
        <v>0</v>
      </c>
      <c r="BJ19" s="135">
        <f>Tabel4246[[#This Row],[Kolom29122]]*BI$2</f>
        <v>0</v>
      </c>
      <c r="BK19" s="135">
        <f>IF(Q$2="x",(_xlfn.RANK.EQ(Tabel4246[[#This Row],[Kolom13]],Q$5:Q$35)),0)</f>
        <v>0</v>
      </c>
      <c r="BL19" s="135">
        <f>Tabel4246[[#This Row],[Kolom29123]]*BK$2</f>
        <v>0</v>
      </c>
      <c r="BM19" s="135">
        <f>IF(R$2="x",(_xlfn.RANK.EQ(Tabel4246[[#This Row],[Kolom133]],R$5:R$35)),0)</f>
        <v>0</v>
      </c>
      <c r="BN19" s="135">
        <f>Tabel4246[[#This Row],[Kolom29124]]*BM$2</f>
        <v>0</v>
      </c>
      <c r="BO19" s="135">
        <f>IF(S$2="x",(_xlfn.RANK.EQ(Tabel4246[[#This Row],[Kolom132]],S$5:S$35)),0)</f>
        <v>0</v>
      </c>
      <c r="BP19" s="135">
        <f>Tabel4246[[#This Row],[Kolom29125]]*BO$2</f>
        <v>0</v>
      </c>
      <c r="BQ19" s="135">
        <f>IF(T$2="x",(_xlfn.RANK.EQ(Tabel4246[[#This Row],[Kolom14]],T$5:T$35)),0)</f>
        <v>0</v>
      </c>
      <c r="BR19" s="135">
        <f>Tabel4246[[#This Row],[Kolom29126]]*BQ$2</f>
        <v>0</v>
      </c>
      <c r="BS19" s="135">
        <f>IF(U$2="x",(_xlfn.RANK.EQ(Tabel4246[[#This Row],[Kolom16]],U$5:U$35)),0)</f>
        <v>0</v>
      </c>
      <c r="BT19" s="135">
        <f>Tabel4246[[#This Row],[Kolom29127]]*BS$2</f>
        <v>0</v>
      </c>
      <c r="BU19" s="135">
        <f>IF(V$2="x",(_xlfn.RANK.EQ(Tabel4246[[#This Row],[Kolom173]],V$5:V$35)),0)</f>
        <v>0</v>
      </c>
      <c r="BV19" s="135">
        <f>Tabel4246[[#This Row],[Kolom29128]]*BU$2</f>
        <v>0</v>
      </c>
      <c r="BW19" s="135">
        <f>IF(W$2="x",(_xlfn.RANK.EQ(Tabel4246[[#This Row],[Kolom172]],W$5:W$35)),0)</f>
        <v>0</v>
      </c>
      <c r="BX19" s="135">
        <f>Tabel4246[[#This Row],[Kolom29129]]*BW$2</f>
        <v>0</v>
      </c>
      <c r="BY19" s="135">
        <f>IF(X$2="x",(_xlfn.RANK.EQ(Tabel4246[[#This Row],[Kolom18]],X$5:X$35)),0)</f>
        <v>0</v>
      </c>
      <c r="BZ19" s="135">
        <f>Tabel4246[[#This Row],[Kolom29130]]*BY$2</f>
        <v>0</v>
      </c>
      <c r="CA19" s="135">
        <f>IF(Y$2="x",(_xlfn.RANK.EQ(Tabel4246[[#This Row],[Kolom19]],Y$5:Y$35)),0)</f>
        <v>0</v>
      </c>
      <c r="CB19" s="135">
        <f>Tabel4246[[#This Row],[Kolom29131]]*CA$2</f>
        <v>0</v>
      </c>
      <c r="CC19" s="135">
        <f>IF(Z$2="x",(_xlfn.RANK.EQ(Tabel4246[[#This Row],[Kolom20]],Z$5:Z$35)),0)</f>
        <v>10</v>
      </c>
      <c r="CD19" s="135">
        <f>Tabel4246[[#This Row],[Kolom29132]]*CC$2</f>
        <v>10</v>
      </c>
      <c r="CE19" s="135">
        <f>IF(AA$2="x",(_xlfn.RANK.EQ(Tabel4246[[#This Row],[Kolom21]],AA$5:AA$35)),0)</f>
        <v>0</v>
      </c>
      <c r="CF19" s="135">
        <f>Tabel4246[[#This Row],[Kolom29133]]*CE$2</f>
        <v>0</v>
      </c>
      <c r="CG19" s="135">
        <f>IF(AB$2="x",(_xlfn.RANK.EQ(Tabel4246[[#This Row],[Kolom22]],AB$5:AB$35)),0)</f>
        <v>0</v>
      </c>
      <c r="CH19" s="135">
        <f>Tabel4246[[#This Row],[Kolom29134]]*CG$2</f>
        <v>0</v>
      </c>
      <c r="CI19" s="135">
        <f>IF(AC$2="x",(_xlfn.RANK.EQ(Tabel4246[[#This Row],[Kolom223]],AC$5:AC$35)),0)</f>
        <v>7</v>
      </c>
      <c r="CJ19" s="135">
        <f>Tabel4246[[#This Row],[Kolom29135]]*CI$2</f>
        <v>7</v>
      </c>
      <c r="CK19" s="135">
        <f>IF(AD$2="x",(_xlfn.RANK.EQ(Tabel4246[[#This Row],[Kolom222]],AD$5:AD$35)),0)</f>
        <v>0</v>
      </c>
      <c r="CL19" s="135">
        <f>Tabel4246[[#This Row],[Kolom29136]]*CK$2</f>
        <v>0</v>
      </c>
      <c r="CM19" s="135">
        <f t="shared" si="13"/>
        <v>3</v>
      </c>
      <c r="CN19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Row],[Kolom29130]]+CA19+Tabel4246[[#This Row],[Kolom29132]]+Tabel4246[[#This Row],[Kolom29133]]+Tabel4246[[#This Row],[Kolom29134]]+Tabel4246[[#This Row],[Kolom29135]]+Tabel4246[[#This Row],[Kolom29136]])/Tabel4246[[#This Row],[Kolom29137]]</f>
        <v>13.333333333333334</v>
      </c>
      <c r="CO19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Row],[Kolom291302]]+CB19+Tabel4246[[#This Row],[Kolom291322]]+Tabel4246[[#This Row],[Kolom291332]]+Tabel4246[[#This Row],[Kolom291342]]+Tabel4246[[#This Row],[Kolom291352]]+Tabel4246[[#This Row],[Kolom291362]])/Tabel4246[[#This Row],[Kolom29137]]</f>
        <v>44</v>
      </c>
      <c r="CP19" s="142">
        <f>_xlfn.RANK.EQ(Tabel4246[[#This Row],[Kolom29138]],CN$5:CN$35,1)</f>
        <v>17</v>
      </c>
      <c r="CQ19" s="142">
        <f>_xlfn.RANK.EQ(Tabel4246[[#This Row],[Kolom291382]],CO$5:CO$35,1)</f>
        <v>25</v>
      </c>
    </row>
    <row r="20" spans="1:95">
      <c r="B20" s="21" t="str">
        <f>'Symptomen (alle)'!A17</f>
        <v>Fungus (mostly Saprolegnia)</v>
      </c>
      <c r="C20">
        <f>'Symptomen (alle)'!B17</f>
        <v>3</v>
      </c>
      <c r="D20" s="21">
        <f>IF(D$2="x",'Symptomen (alle)'!C17,0)</f>
        <v>0</v>
      </c>
      <c r="E20" s="21">
        <f>IF(E$2="x",'Symptomen (alle)'!D17,0)</f>
        <v>0</v>
      </c>
      <c r="F20" s="21">
        <f>IF(F$2="x",'Symptomen (alle)'!E17,0)</f>
        <v>0</v>
      </c>
      <c r="G20" s="21">
        <f>IF(G$2="x",'Symptomen (alle)'!F17,0)</f>
        <v>0</v>
      </c>
      <c r="H20" s="21">
        <f>IF(H$2="x",'Symptomen (alle)'!G17,0)</f>
        <v>0</v>
      </c>
      <c r="I20" s="21">
        <f>IF(I$2="x",'Symptomen (alle)'!H17,0)</f>
        <v>0</v>
      </c>
      <c r="J20" s="21">
        <f>IF(J$2="x",'Symptomen (alle)'!I17,0)</f>
        <v>2</v>
      </c>
      <c r="K20" s="21">
        <f>IF(K$2="x",'Symptomen (alle)'!J17,0)</f>
        <v>0</v>
      </c>
      <c r="L20" s="21">
        <f>IF(L$2="x",'Symptomen (alle)'!K17,0)</f>
        <v>0</v>
      </c>
      <c r="M20" s="21">
        <f>IF(M$2="x",'Symptomen (alle)'!L17,0)</f>
        <v>0</v>
      </c>
      <c r="N20" s="21">
        <f>IF(N$2="x",'Symptomen (alle)'!M17,0)</f>
        <v>0</v>
      </c>
      <c r="O20" s="21">
        <f>IF(O$2="x",'Symptomen (alle)'!N17,0)</f>
        <v>0</v>
      </c>
      <c r="P20" s="21">
        <f>IF(P$2="x",'Symptomen (alle)'!O17,0)</f>
        <v>0</v>
      </c>
      <c r="Q20" s="21">
        <f>IF(Q$2="x",'Symptomen (alle)'!P17,0)</f>
        <v>0</v>
      </c>
      <c r="R20" s="21">
        <f>IF(R$2="x",'Symptomen (alle)'!Q17,0)</f>
        <v>0</v>
      </c>
      <c r="S20" s="21">
        <f>IF(S$2="x",'Symptomen (alle)'!R17,0)</f>
        <v>0</v>
      </c>
      <c r="T20" s="21">
        <f>IF(T$2="x",'Symptomen (alle)'!S17,0)</f>
        <v>0</v>
      </c>
      <c r="U20" s="21">
        <f>IF(U$2="x",'Symptomen (alle)'!T17,0)</f>
        <v>0</v>
      </c>
      <c r="V20" s="21">
        <f>IF(V$2="x",'Symptomen (alle)'!U17,0)</f>
        <v>0</v>
      </c>
      <c r="W20" s="21">
        <f>IF(W$2="x",'Symptomen (alle)'!V17,0)</f>
        <v>0</v>
      </c>
      <c r="X20" s="21">
        <f>IF(X$2="x",'Symptomen (alle)'!W17,0)</f>
        <v>0</v>
      </c>
      <c r="Y20" s="21">
        <f>IF(Y$2="x",'Symptomen (alle)'!X17,0)</f>
        <v>0</v>
      </c>
      <c r="Z20" s="21">
        <f>IF(Z$2="x",'Symptomen (alle)'!Y17,0)</f>
        <v>2</v>
      </c>
      <c r="AA20" s="21">
        <f>IF(AA$2="x",'Symptomen (alle)'!Z17,0)</f>
        <v>0</v>
      </c>
      <c r="AB20" s="21">
        <f>IF(AB$2="x",'Symptomen (alle)'!AA17,0)</f>
        <v>0</v>
      </c>
      <c r="AC20" s="21">
        <f>IF(AC$2="x",'Symptomen (alle)'!AB17,0)</f>
        <v>2</v>
      </c>
      <c r="AD20" s="21">
        <f>IF(AD$2="x",'Symptomen (alle)'!AC17,0)</f>
        <v>0</v>
      </c>
      <c r="AE20" s="21">
        <f t="shared" si="11"/>
        <v>6</v>
      </c>
      <c r="AF20" s="21">
        <f>HLOOKUP($B$2,ZiekteFam!$B$1:$T$32,AG20,FALSE)</f>
        <v>3</v>
      </c>
      <c r="AG20" s="32">
        <f t="shared" si="12"/>
        <v>17</v>
      </c>
      <c r="AH20" s="32">
        <f>SUM('Symptomen (alle)'!D17:AC17)</f>
        <v>28</v>
      </c>
      <c r="AI20" s="22">
        <f>Tabel4246[[#This Row],[Kolom25]]/Tabel4246[[#This Row],[Kolom28]]</f>
        <v>0.21428571428571427</v>
      </c>
      <c r="AJ20" s="22"/>
      <c r="AK20" s="22">
        <f>Tabel4246[[#This Row],[Kolom29]]</f>
        <v>0.21428571428571427</v>
      </c>
      <c r="AL20" s="36">
        <f>_xlfn.RANK.EQ(Tabel4246[[#This Row],[Kolom29]],$AI$5:$AI$35)</f>
        <v>14</v>
      </c>
      <c r="AM20" s="135">
        <f>IF(E$2="x",(_xlfn.RANK.EQ(Tabel4246[[#This Row],[Kolom3]],E$5:E$35)),0)</f>
        <v>0</v>
      </c>
      <c r="AN20" s="135">
        <f>Tabel4246[[#This Row],[Kolom2911]]*AM$2</f>
        <v>0</v>
      </c>
      <c r="AO20" s="135">
        <f>IF(F$2="x",(_xlfn.RANK.EQ(Tabel4246[[#This Row],[Kolom4]],F$5:F$35)),0)</f>
        <v>0</v>
      </c>
      <c r="AP20" s="135">
        <f>Tabel4246[[#This Row],[Kolom29112]]*AO$2</f>
        <v>0</v>
      </c>
      <c r="AQ20" s="135">
        <f>IF(G$2="x",(_xlfn.RANK.EQ(Tabel4246[[#This Row],[Kolom5]],G$5:G$35)),0)</f>
        <v>0</v>
      </c>
      <c r="AR20" s="135">
        <f>Tabel4246[[#This Row],[Kolom29113]]*AQ$2</f>
        <v>0</v>
      </c>
      <c r="AS20" s="135">
        <f>IF(H$2="x",(_xlfn.RANK.EQ(Tabel4246[[#This Row],[Kolom6]],H$5:H$35)),0)</f>
        <v>0</v>
      </c>
      <c r="AT20" s="135">
        <f>Tabel4246[[#This Row],[Kolom29114]]*AS$2</f>
        <v>0</v>
      </c>
      <c r="AU20" s="135">
        <f>IF(I$2="x",(_xlfn.RANK.EQ(Tabel4246[[#This Row],[Kolom62]],I$5:I$35)),0)</f>
        <v>0</v>
      </c>
      <c r="AV20" s="135">
        <f>Tabel4246[[#This Row],[Kolom29115]]*AU$2</f>
        <v>0</v>
      </c>
      <c r="AW20" s="135">
        <f>IF(J$2="x",(_xlfn.RANK.EQ(Tabel4246[[#This Row],[Kolom7]],J$5:J$35)),0)</f>
        <v>7</v>
      </c>
      <c r="AX20" s="135">
        <f>Tabel4246[[#This Row],[Kolom29116]]*AW$2</f>
        <v>35</v>
      </c>
      <c r="AY20" s="135">
        <f>IF(K$2="x",(_xlfn.RANK.EQ(Tabel4246[[#This Row],[Kolom72]],K$5:K$35)),0)</f>
        <v>0</v>
      </c>
      <c r="AZ20" s="135">
        <f>Tabel4246[[#This Row],[Kolom29117]]*AY$2</f>
        <v>0</v>
      </c>
      <c r="BA20" s="135">
        <f>IF(L$2="x",(_xlfn.RANK.EQ(Tabel4246[[#This Row],[Kolom8]],L$5:L$35)),0)</f>
        <v>0</v>
      </c>
      <c r="BB20" s="135">
        <f>Tabel4246[[#This Row],[Kolom29118]]*BA$2</f>
        <v>0</v>
      </c>
      <c r="BC20" s="135">
        <f>IF(M$2="x",(_xlfn.RANK.EQ(Tabel4246[[#This Row],[Kolom9]],M$5:M$35)),0)</f>
        <v>0</v>
      </c>
      <c r="BD20" s="135">
        <f>Tabel4246[[#This Row],[Kolom29119]]*BC$2</f>
        <v>0</v>
      </c>
      <c r="BE20" s="135">
        <f>IF(N$2="x",(_xlfn.RANK.EQ(Tabel4246[[#This Row],[Kolom10]],N$5:N$35)),0)</f>
        <v>0</v>
      </c>
      <c r="BF20" s="135">
        <f>Tabel4246[[#This Row],[Kolom29120]]*BE$2</f>
        <v>0</v>
      </c>
      <c r="BG20" s="135">
        <f>IF(O$2="x",(_xlfn.RANK.EQ(Tabel4246[[#This Row],[Kolom11]],O$5:O$35)),0)</f>
        <v>0</v>
      </c>
      <c r="BH20" s="135">
        <f>Tabel4246[[#This Row],[Kolom29121]]*BG$2</f>
        <v>0</v>
      </c>
      <c r="BI20" s="135">
        <f>IF(P$2="x",(_xlfn.RANK.EQ(Tabel4246[[#This Row],[Kolom12]],P$5:P$35)),0)</f>
        <v>0</v>
      </c>
      <c r="BJ20" s="135">
        <f>Tabel4246[[#This Row],[Kolom29122]]*BI$2</f>
        <v>0</v>
      </c>
      <c r="BK20" s="135">
        <f>IF(Q$2="x",(_xlfn.RANK.EQ(Tabel4246[[#This Row],[Kolom13]],Q$5:Q$35)),0)</f>
        <v>0</v>
      </c>
      <c r="BL20" s="135">
        <f>Tabel4246[[#This Row],[Kolom29123]]*BK$2</f>
        <v>0</v>
      </c>
      <c r="BM20" s="135">
        <f>IF(R$2="x",(_xlfn.RANK.EQ(Tabel4246[[#This Row],[Kolom133]],R$5:R$35)),0)</f>
        <v>0</v>
      </c>
      <c r="BN20" s="135">
        <f>Tabel4246[[#This Row],[Kolom29124]]*BM$2</f>
        <v>0</v>
      </c>
      <c r="BO20" s="135">
        <f>IF(S$2="x",(_xlfn.RANK.EQ(Tabel4246[[#This Row],[Kolom132]],S$5:S$35)),0)</f>
        <v>0</v>
      </c>
      <c r="BP20" s="135">
        <f>Tabel4246[[#This Row],[Kolom29125]]*BO$2</f>
        <v>0</v>
      </c>
      <c r="BQ20" s="135">
        <f>IF(T$2="x",(_xlfn.RANK.EQ(Tabel4246[[#This Row],[Kolom14]],T$5:T$35)),0)</f>
        <v>0</v>
      </c>
      <c r="BR20" s="135">
        <f>Tabel4246[[#This Row],[Kolom29126]]*BQ$2</f>
        <v>0</v>
      </c>
      <c r="BS20" s="135">
        <f>IF(U$2="x",(_xlfn.RANK.EQ(Tabel4246[[#This Row],[Kolom16]],U$5:U$35)),0)</f>
        <v>0</v>
      </c>
      <c r="BT20" s="135">
        <f>Tabel4246[[#This Row],[Kolom29127]]*BS$2</f>
        <v>0</v>
      </c>
      <c r="BU20" s="135">
        <f>IF(V$2="x",(_xlfn.RANK.EQ(Tabel4246[[#This Row],[Kolom173]],V$5:V$35)),0)</f>
        <v>0</v>
      </c>
      <c r="BV20" s="135">
        <f>Tabel4246[[#This Row],[Kolom29128]]*BU$2</f>
        <v>0</v>
      </c>
      <c r="BW20" s="135">
        <f>IF(W$2="x",(_xlfn.RANK.EQ(Tabel4246[[#This Row],[Kolom172]],W$5:W$35)),0)</f>
        <v>0</v>
      </c>
      <c r="BX20" s="135">
        <f>Tabel4246[[#This Row],[Kolom29129]]*BW$2</f>
        <v>0</v>
      </c>
      <c r="BY20" s="135">
        <f>IF(X$2="x",(_xlfn.RANK.EQ(Tabel4246[[#This Row],[Kolom18]],X$5:X$35)),0)</f>
        <v>0</v>
      </c>
      <c r="BZ20" s="135">
        <f>Tabel4246[[#This Row],[Kolom29130]]*BY$2</f>
        <v>0</v>
      </c>
      <c r="CA20" s="135">
        <f>IF(Y$2="x",(_xlfn.RANK.EQ(Tabel4246[[#This Row],[Kolom19]],Y$5:Y$35)),0)</f>
        <v>0</v>
      </c>
      <c r="CB20" s="135">
        <f>Tabel4246[[#This Row],[Kolom29131]]*CA$2</f>
        <v>0</v>
      </c>
      <c r="CC20" s="135">
        <f>IF(Z$2="x",(_xlfn.RANK.EQ(Tabel4246[[#This Row],[Kolom20]],Z$5:Z$35)),0)</f>
        <v>10</v>
      </c>
      <c r="CD20" s="135">
        <f>Tabel4246[[#This Row],[Kolom29132]]*CC$2</f>
        <v>10</v>
      </c>
      <c r="CE20" s="135">
        <f>IF(AA$2="x",(_xlfn.RANK.EQ(Tabel4246[[#This Row],[Kolom21]],AA$5:AA$35)),0)</f>
        <v>0</v>
      </c>
      <c r="CF20" s="135">
        <f>Tabel4246[[#This Row],[Kolom29133]]*CE$2</f>
        <v>0</v>
      </c>
      <c r="CG20" s="135">
        <f>IF(AB$2="x",(_xlfn.RANK.EQ(Tabel4246[[#This Row],[Kolom22]],AB$5:AB$35)),0)</f>
        <v>0</v>
      </c>
      <c r="CH20" s="135">
        <f>Tabel4246[[#This Row],[Kolom29134]]*CG$2</f>
        <v>0</v>
      </c>
      <c r="CI20" s="135">
        <f>IF(AC$2="x",(_xlfn.RANK.EQ(Tabel4246[[#This Row],[Kolom223]],AC$5:AC$35)),0)</f>
        <v>17</v>
      </c>
      <c r="CJ20" s="135">
        <f>Tabel4246[[#This Row],[Kolom29135]]*CI$2</f>
        <v>17</v>
      </c>
      <c r="CK20" s="135">
        <f>IF(AD$2="x",(_xlfn.RANK.EQ(Tabel4246[[#This Row],[Kolom222]],AD$5:AD$35)),0)</f>
        <v>0</v>
      </c>
      <c r="CL20" s="135">
        <f>Tabel4246[[#This Row],[Kolom29136]]*CK$2</f>
        <v>0</v>
      </c>
      <c r="CM20" s="135">
        <f t="shared" si="13"/>
        <v>3</v>
      </c>
      <c r="CN20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Row],[Kolom29130]]+CA20+Tabel4246[[#This Row],[Kolom29132]]+Tabel4246[[#This Row],[Kolom29133]]+Tabel4246[[#This Row],[Kolom29134]]+Tabel4246[[#This Row],[Kolom29135]]+Tabel4246[[#This Row],[Kolom29136]])/Tabel4246[[#This Row],[Kolom29137]]</f>
        <v>11.333333333333334</v>
      </c>
      <c r="CO20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Row],[Kolom291302]]+CB20+Tabel4246[[#This Row],[Kolom291322]]+Tabel4246[[#This Row],[Kolom291332]]+Tabel4246[[#This Row],[Kolom291342]]+Tabel4246[[#This Row],[Kolom291352]]+Tabel4246[[#This Row],[Kolom291362]])/Tabel4246[[#This Row],[Kolom29137]]</f>
        <v>20.666666666666668</v>
      </c>
      <c r="CP20" s="142">
        <f>_xlfn.RANK.EQ(Tabel4246[[#This Row],[Kolom29138]],CN$5:CN$35,1)</f>
        <v>15</v>
      </c>
      <c r="CQ20" s="142">
        <f>_xlfn.RANK.EQ(Tabel4246[[#This Row],[Kolom291382]],CO$5:CO$35,1)</f>
        <v>12</v>
      </c>
    </row>
    <row r="21" spans="1:95">
      <c r="B21" s="21" t="str">
        <f>'Symptomen (alle)'!A18</f>
        <v>False Fungal Parasites (Stalked ciliates)</v>
      </c>
      <c r="C21" s="77">
        <f>'Symptomen (alle)'!B18</f>
        <v>3</v>
      </c>
      <c r="D21" s="21">
        <f>IF(D$2="x",'Symptomen (alle)'!C18,0)</f>
        <v>0</v>
      </c>
      <c r="E21" s="21">
        <f>IF(E$2="x",'Symptomen (alle)'!D18,0)</f>
        <v>0</v>
      </c>
      <c r="F21" s="21">
        <f>IF(F$2="x",'Symptomen (alle)'!E18,0)</f>
        <v>0</v>
      </c>
      <c r="G21" s="21">
        <f>IF(G$2="x",'Symptomen (alle)'!F18,0)</f>
        <v>0</v>
      </c>
      <c r="H21" s="21">
        <f>IF(H$2="x",'Symptomen (alle)'!G18,0)</f>
        <v>0</v>
      </c>
      <c r="I21" s="21">
        <f>IF(I$2="x",'Symptomen (alle)'!H18,0)</f>
        <v>0</v>
      </c>
      <c r="J21" s="21">
        <f>IF(J$2="x",'Symptomen (alle)'!I18,0)</f>
        <v>1</v>
      </c>
      <c r="K21" s="21">
        <f>IF(K$2="x",'Symptomen (alle)'!J18,0)</f>
        <v>0</v>
      </c>
      <c r="L21" s="21">
        <f>IF(L$2="x",'Symptomen (alle)'!K18,0)</f>
        <v>0</v>
      </c>
      <c r="M21" s="21">
        <f>IF(M$2="x",'Symptomen (alle)'!L18,0)</f>
        <v>0</v>
      </c>
      <c r="N21" s="21">
        <f>IF(N$2="x",'Symptomen (alle)'!M18,0)</f>
        <v>0</v>
      </c>
      <c r="O21" s="21">
        <f>IF(O$2="x",'Symptomen (alle)'!N18,0)</f>
        <v>0</v>
      </c>
      <c r="P21" s="21">
        <f>IF(P$2="x",'Symptomen (alle)'!O18,0)</f>
        <v>0</v>
      </c>
      <c r="Q21" s="21">
        <f>IF(Q$2="x",'Symptomen (alle)'!P18,0)</f>
        <v>0</v>
      </c>
      <c r="R21" s="21">
        <f>IF(R$2="x",'Symptomen (alle)'!Q18,0)</f>
        <v>0</v>
      </c>
      <c r="S21" s="21">
        <f>IF(S$2="x",'Symptomen (alle)'!R18,0)</f>
        <v>0</v>
      </c>
      <c r="T21" s="21">
        <f>IF(T$2="x",'Symptomen (alle)'!S18,0)</f>
        <v>0</v>
      </c>
      <c r="U21" s="21">
        <f>IF(U$2="x",'Symptomen (alle)'!T18,0)</f>
        <v>0</v>
      </c>
      <c r="V21" s="21">
        <f>IF(V$2="x",'Symptomen (alle)'!U18,0)</f>
        <v>0</v>
      </c>
      <c r="W21" s="21">
        <f>IF(W$2="x",'Symptomen (alle)'!V18,0)</f>
        <v>0</v>
      </c>
      <c r="X21" s="21">
        <f>IF(X$2="x",'Symptomen (alle)'!W18,0)</f>
        <v>0</v>
      </c>
      <c r="Y21" s="21">
        <f>IF(Y$2="x",'Symptomen (alle)'!X18,0)</f>
        <v>0</v>
      </c>
      <c r="Z21" s="21">
        <f>IF(Z$2="x",'Symptomen (alle)'!Y18,0)</f>
        <v>1</v>
      </c>
      <c r="AA21" s="21">
        <f>IF(AA$2="x",'Symptomen (alle)'!Z18,0)</f>
        <v>0</v>
      </c>
      <c r="AB21" s="21">
        <f>IF(AB$2="x",'Symptomen (alle)'!AA18,0)</f>
        <v>0</v>
      </c>
      <c r="AC21" s="21">
        <f>IF(AC$2="x",'Symptomen (alle)'!AB18,0)</f>
        <v>1</v>
      </c>
      <c r="AD21" s="21">
        <f>IF(AD$2="x",'Symptomen (alle)'!AC18,0)</f>
        <v>0</v>
      </c>
      <c r="AE21" s="21">
        <f t="shared" si="11"/>
        <v>3</v>
      </c>
      <c r="AF21" s="21">
        <f>HLOOKUP($B$2,ZiekteFam!$B$1:$T$32,AG21,FALSE)</f>
        <v>0</v>
      </c>
      <c r="AG21" s="32">
        <f t="shared" si="12"/>
        <v>18</v>
      </c>
      <c r="AH21" s="32">
        <f>SUM('Symptomen (alle)'!D18:AC18)</f>
        <v>28</v>
      </c>
      <c r="AI21" s="22">
        <f>Tabel4246[[#This Row],[Kolom25]]/Tabel4246[[#This Row],[Kolom28]]</f>
        <v>0.10714285714285714</v>
      </c>
      <c r="AJ21" s="22"/>
      <c r="AK21" s="22">
        <f>Tabel4246[[#This Row],[Kolom29]]</f>
        <v>0.10714285714285714</v>
      </c>
      <c r="AL21" s="36">
        <f>_xlfn.RANK.EQ(Tabel4246[[#This Row],[Kolom29]],$AI$5:$AI$35)</f>
        <v>31</v>
      </c>
      <c r="AM21" s="135">
        <f>IF(E$2="x",(_xlfn.RANK.EQ(Tabel4246[[#This Row],[Kolom3]],E$5:E$35)),0)</f>
        <v>0</v>
      </c>
      <c r="AN21" s="135">
        <f>Tabel4246[[#This Row],[Kolom2911]]*AM$2</f>
        <v>0</v>
      </c>
      <c r="AO21" s="135">
        <f>IF(F$2="x",(_xlfn.RANK.EQ(Tabel4246[[#This Row],[Kolom4]],F$5:F$35)),0)</f>
        <v>0</v>
      </c>
      <c r="AP21" s="135">
        <f>Tabel4246[[#This Row],[Kolom29112]]*AO$2</f>
        <v>0</v>
      </c>
      <c r="AQ21" s="135">
        <f>IF(G$2="x",(_xlfn.RANK.EQ(Tabel4246[[#This Row],[Kolom5]],G$5:G$35)),0)</f>
        <v>0</v>
      </c>
      <c r="AR21" s="135">
        <f>Tabel4246[[#This Row],[Kolom29113]]*AQ$2</f>
        <v>0</v>
      </c>
      <c r="AS21" s="135">
        <f>IF(H$2="x",(_xlfn.RANK.EQ(Tabel4246[[#This Row],[Kolom6]],H$5:H$35)),0)</f>
        <v>0</v>
      </c>
      <c r="AT21" s="135">
        <f>Tabel4246[[#This Row],[Kolom29114]]*AS$2</f>
        <v>0</v>
      </c>
      <c r="AU21" s="135">
        <f>IF(I$2="x",(_xlfn.RANK.EQ(Tabel4246[[#This Row],[Kolom62]],I$5:I$35)),0)</f>
        <v>0</v>
      </c>
      <c r="AV21" s="135">
        <f>Tabel4246[[#This Row],[Kolom29115]]*AU$2</f>
        <v>0</v>
      </c>
      <c r="AW21" s="135">
        <f>IF(J$2="x",(_xlfn.RANK.EQ(Tabel4246[[#This Row],[Kolom7]],J$5:J$35)),0)</f>
        <v>16</v>
      </c>
      <c r="AX21" s="135">
        <f>Tabel4246[[#This Row],[Kolom29116]]*AW$2</f>
        <v>80</v>
      </c>
      <c r="AY21" s="135">
        <f>IF(K$2="x",(_xlfn.RANK.EQ(Tabel4246[[#This Row],[Kolom72]],K$5:K$35)),0)</f>
        <v>0</v>
      </c>
      <c r="AZ21" s="135">
        <f>Tabel4246[[#This Row],[Kolom29117]]*AY$2</f>
        <v>0</v>
      </c>
      <c r="BA21" s="135">
        <f>IF(L$2="x",(_xlfn.RANK.EQ(Tabel4246[[#This Row],[Kolom8]],L$5:L$35)),0)</f>
        <v>0</v>
      </c>
      <c r="BB21" s="135">
        <f>Tabel4246[[#This Row],[Kolom29118]]*BA$2</f>
        <v>0</v>
      </c>
      <c r="BC21" s="135">
        <f>IF(M$2="x",(_xlfn.RANK.EQ(Tabel4246[[#This Row],[Kolom9]],M$5:M$35)),0)</f>
        <v>0</v>
      </c>
      <c r="BD21" s="135">
        <f>Tabel4246[[#This Row],[Kolom29119]]*BC$2</f>
        <v>0</v>
      </c>
      <c r="BE21" s="135">
        <f>IF(N$2="x",(_xlfn.RANK.EQ(Tabel4246[[#This Row],[Kolom10]],N$5:N$35)),0)</f>
        <v>0</v>
      </c>
      <c r="BF21" s="135">
        <f>Tabel4246[[#This Row],[Kolom29120]]*BE$2</f>
        <v>0</v>
      </c>
      <c r="BG21" s="135">
        <f>IF(O$2="x",(_xlfn.RANK.EQ(Tabel4246[[#This Row],[Kolom11]],O$5:O$35)),0)</f>
        <v>0</v>
      </c>
      <c r="BH21" s="135">
        <f>Tabel4246[[#This Row],[Kolom29121]]*BG$2</f>
        <v>0</v>
      </c>
      <c r="BI21" s="135">
        <f>IF(P$2="x",(_xlfn.RANK.EQ(Tabel4246[[#This Row],[Kolom12]],P$5:P$35)),0)</f>
        <v>0</v>
      </c>
      <c r="BJ21" s="135">
        <f>Tabel4246[[#This Row],[Kolom29122]]*BI$2</f>
        <v>0</v>
      </c>
      <c r="BK21" s="135">
        <f>IF(Q$2="x",(_xlfn.RANK.EQ(Tabel4246[[#This Row],[Kolom13]],Q$5:Q$35)),0)</f>
        <v>0</v>
      </c>
      <c r="BL21" s="135">
        <f>Tabel4246[[#This Row],[Kolom29123]]*BK$2</f>
        <v>0</v>
      </c>
      <c r="BM21" s="135">
        <f>IF(R$2="x",(_xlfn.RANK.EQ(Tabel4246[[#This Row],[Kolom133]],R$5:R$35)),0)</f>
        <v>0</v>
      </c>
      <c r="BN21" s="135">
        <f>Tabel4246[[#This Row],[Kolom29124]]*BM$2</f>
        <v>0</v>
      </c>
      <c r="BO21" s="135">
        <f>IF(S$2="x",(_xlfn.RANK.EQ(Tabel4246[[#This Row],[Kolom132]],S$5:S$35)),0)</f>
        <v>0</v>
      </c>
      <c r="BP21" s="135">
        <f>Tabel4246[[#This Row],[Kolom29125]]*BO$2</f>
        <v>0</v>
      </c>
      <c r="BQ21" s="135">
        <f>IF(T$2="x",(_xlfn.RANK.EQ(Tabel4246[[#This Row],[Kolom14]],T$5:T$35)),0)</f>
        <v>0</v>
      </c>
      <c r="BR21" s="135">
        <f>Tabel4246[[#This Row],[Kolom29126]]*BQ$2</f>
        <v>0</v>
      </c>
      <c r="BS21" s="135">
        <f>IF(U$2="x",(_xlfn.RANK.EQ(Tabel4246[[#This Row],[Kolom16]],U$5:U$35)),0)</f>
        <v>0</v>
      </c>
      <c r="BT21" s="135">
        <f>Tabel4246[[#This Row],[Kolom29127]]*BS$2</f>
        <v>0</v>
      </c>
      <c r="BU21" s="135">
        <f>IF(V$2="x",(_xlfn.RANK.EQ(Tabel4246[[#This Row],[Kolom173]],V$5:V$35)),0)</f>
        <v>0</v>
      </c>
      <c r="BV21" s="135">
        <f>Tabel4246[[#This Row],[Kolom29128]]*BU$2</f>
        <v>0</v>
      </c>
      <c r="BW21" s="135">
        <f>IF(W$2="x",(_xlfn.RANK.EQ(Tabel4246[[#This Row],[Kolom172]],W$5:W$35)),0)</f>
        <v>0</v>
      </c>
      <c r="BX21" s="135">
        <f>Tabel4246[[#This Row],[Kolom29129]]*BW$2</f>
        <v>0</v>
      </c>
      <c r="BY21" s="135">
        <f>IF(X$2="x",(_xlfn.RANK.EQ(Tabel4246[[#This Row],[Kolom18]],X$5:X$35)),0)</f>
        <v>0</v>
      </c>
      <c r="BZ21" s="135">
        <f>Tabel4246[[#This Row],[Kolom29130]]*BY$2</f>
        <v>0</v>
      </c>
      <c r="CA21" s="135">
        <f>IF(Y$2="x",(_xlfn.RANK.EQ(Tabel4246[[#This Row],[Kolom19]],Y$5:Y$35)),0)</f>
        <v>0</v>
      </c>
      <c r="CB21" s="135">
        <f>Tabel4246[[#This Row],[Kolom29131]]*CA$2</f>
        <v>0</v>
      </c>
      <c r="CC21" s="135">
        <f>IF(Z$2="x",(_xlfn.RANK.EQ(Tabel4246[[#This Row],[Kolom20]],Z$5:Z$35)),0)</f>
        <v>20</v>
      </c>
      <c r="CD21" s="135">
        <f>Tabel4246[[#This Row],[Kolom29132]]*CC$2</f>
        <v>20</v>
      </c>
      <c r="CE21" s="135">
        <f>IF(AA$2="x",(_xlfn.RANK.EQ(Tabel4246[[#This Row],[Kolom21]],AA$5:AA$35)),0)</f>
        <v>0</v>
      </c>
      <c r="CF21" s="135">
        <f>Tabel4246[[#This Row],[Kolom29133]]*CE$2</f>
        <v>0</v>
      </c>
      <c r="CG21" s="135">
        <f>IF(AB$2="x",(_xlfn.RANK.EQ(Tabel4246[[#This Row],[Kolom22]],AB$5:AB$35)),0)</f>
        <v>0</v>
      </c>
      <c r="CH21" s="135">
        <f>Tabel4246[[#This Row],[Kolom29134]]*CG$2</f>
        <v>0</v>
      </c>
      <c r="CI21" s="135">
        <f>IF(AC$2="x",(_xlfn.RANK.EQ(Tabel4246[[#This Row],[Kolom223]],AC$5:AC$35)),0)</f>
        <v>27</v>
      </c>
      <c r="CJ21" s="135">
        <f>Tabel4246[[#This Row],[Kolom29135]]*CI$2</f>
        <v>27</v>
      </c>
      <c r="CK21" s="135">
        <f>IF(AD$2="x",(_xlfn.RANK.EQ(Tabel4246[[#This Row],[Kolom222]],AD$5:AD$35)),0)</f>
        <v>0</v>
      </c>
      <c r="CL21" s="135">
        <f>Tabel4246[[#This Row],[Kolom29136]]*CK$2</f>
        <v>0</v>
      </c>
      <c r="CM21" s="135">
        <f t="shared" si="13"/>
        <v>3</v>
      </c>
      <c r="CN21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Row],[Kolom29130]]+CA21+Tabel4246[[#This Row],[Kolom29132]]+Tabel4246[[#This Row],[Kolom29133]]+Tabel4246[[#This Row],[Kolom29134]]+Tabel4246[[#This Row],[Kolom29135]]+Tabel4246[[#This Row],[Kolom29136]])/Tabel4246[[#This Row],[Kolom29137]]</f>
        <v>21</v>
      </c>
      <c r="CO21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Row],[Kolom291302]]+CB21+Tabel4246[[#This Row],[Kolom291322]]+Tabel4246[[#This Row],[Kolom291332]]+Tabel4246[[#This Row],[Kolom291342]]+Tabel4246[[#This Row],[Kolom291352]]+Tabel4246[[#This Row],[Kolom291362]])/Tabel4246[[#This Row],[Kolom29137]]</f>
        <v>42.333333333333336</v>
      </c>
      <c r="CP21" s="142">
        <f>_xlfn.RANK.EQ(Tabel4246[[#This Row],[Kolom29138]],CN$5:CN$35,1)</f>
        <v>31</v>
      </c>
      <c r="CQ21" s="142">
        <f>_xlfn.RANK.EQ(Tabel4246[[#This Row],[Kolom291382]],CO$5:CO$35,1)</f>
        <v>24</v>
      </c>
    </row>
    <row r="22" spans="1:95">
      <c r="B22" s="21" t="str">
        <f>'Symptomen (alle)'!A19</f>
        <v>Sporozoa parasites</v>
      </c>
      <c r="C22" s="21">
        <f>'Symptomen (alle)'!B19</f>
        <v>4</v>
      </c>
      <c r="D22" s="21">
        <f>IF(D$2="x",'Symptomen (alle)'!C19,0)</f>
        <v>0</v>
      </c>
      <c r="E22" s="21">
        <f>IF(E$2="x",'Symptomen (alle)'!D19,0)</f>
        <v>0</v>
      </c>
      <c r="F22" s="21">
        <f>IF(F$2="x",'Symptomen (alle)'!E19,0)</f>
        <v>0</v>
      </c>
      <c r="G22" s="21">
        <f>IF(G$2="x",'Symptomen (alle)'!F19,0)</f>
        <v>0</v>
      </c>
      <c r="H22" s="21">
        <f>IF(H$2="x",'Symptomen (alle)'!G19,0)</f>
        <v>0</v>
      </c>
      <c r="I22" s="21">
        <f>IF(I$2="x",'Symptomen (alle)'!H19,0)</f>
        <v>0</v>
      </c>
      <c r="J22" s="21">
        <f>IF(J$2="x",'Symptomen (alle)'!I19,0)</f>
        <v>3</v>
      </c>
      <c r="K22" s="21">
        <f>IF(K$2="x",'Symptomen (alle)'!J19,0)</f>
        <v>0</v>
      </c>
      <c r="L22" s="21">
        <f>IF(L$2="x",'Symptomen (alle)'!K19,0)</f>
        <v>0</v>
      </c>
      <c r="M22" s="21">
        <f>IF(M$2="x",'Symptomen (alle)'!L19,0)</f>
        <v>0</v>
      </c>
      <c r="N22" s="21">
        <f>IF(N$2="x",'Symptomen (alle)'!M19,0)</f>
        <v>0</v>
      </c>
      <c r="O22" s="21">
        <f>IF(O$2="x",'Symptomen (alle)'!N19,0)</f>
        <v>0</v>
      </c>
      <c r="P22" s="21">
        <f>IF(P$2="x",'Symptomen (alle)'!O19,0)</f>
        <v>0</v>
      </c>
      <c r="Q22" s="21">
        <f>IF(Q$2="x",'Symptomen (alle)'!P19,0)</f>
        <v>0</v>
      </c>
      <c r="R22" s="21">
        <f>IF(R$2="x",'Symptomen (alle)'!Q19,0)</f>
        <v>0</v>
      </c>
      <c r="S22" s="21">
        <f>IF(S$2="x",'Symptomen (alle)'!R19,0)</f>
        <v>0</v>
      </c>
      <c r="T22" s="21">
        <f>IF(T$2="x",'Symptomen (alle)'!S19,0)</f>
        <v>0</v>
      </c>
      <c r="U22" s="21">
        <f>IF(U$2="x",'Symptomen (alle)'!T19,0)</f>
        <v>0</v>
      </c>
      <c r="V22" s="21">
        <f>IF(V$2="x",'Symptomen (alle)'!U19,0)</f>
        <v>0</v>
      </c>
      <c r="W22" s="21">
        <f>IF(W$2="x",'Symptomen (alle)'!V19,0)</f>
        <v>0</v>
      </c>
      <c r="X22" s="21">
        <f>IF(X$2="x",'Symptomen (alle)'!W19,0)</f>
        <v>0</v>
      </c>
      <c r="Y22" s="21">
        <f>IF(Y$2="x",'Symptomen (alle)'!X19,0)</f>
        <v>0</v>
      </c>
      <c r="Z22" s="21">
        <f>IF(Z$2="x",'Symptomen (alle)'!Y19,0)</f>
        <v>1</v>
      </c>
      <c r="AA22" s="21">
        <f>IF(AA$2="x",'Symptomen (alle)'!Z19,0)</f>
        <v>0</v>
      </c>
      <c r="AB22" s="21">
        <f>IF(AB$2="x",'Symptomen (alle)'!AA19,0)</f>
        <v>0</v>
      </c>
      <c r="AC22" s="21">
        <f>IF(AC$2="x",'Symptomen (alle)'!AB19,0)</f>
        <v>3</v>
      </c>
      <c r="AD22" s="21">
        <f>IF(AD$2="x",'Symptomen (alle)'!AC19,0)</f>
        <v>0</v>
      </c>
      <c r="AE22" s="21">
        <f t="shared" si="11"/>
        <v>7</v>
      </c>
      <c r="AF22" s="21">
        <f>HLOOKUP($B$2,ZiekteFam!$B$1:$T$32,AG22,FALSE)</f>
        <v>10</v>
      </c>
      <c r="AG22" s="32">
        <f t="shared" si="12"/>
        <v>19</v>
      </c>
      <c r="AH22" s="32">
        <f>SUM('Symptomen (alle)'!D19:AC19)</f>
        <v>18</v>
      </c>
      <c r="AI22" s="22">
        <f>Tabel4246[[#This Row],[Kolom25]]/Tabel4246[[#This Row],[Kolom28]]</f>
        <v>0.3888888888888889</v>
      </c>
      <c r="AJ22" s="22"/>
      <c r="AK22" s="22">
        <f>Tabel4246[[#This Row],[Kolom29]]</f>
        <v>0.3888888888888889</v>
      </c>
      <c r="AL22" s="36">
        <f>_xlfn.RANK.EQ(Tabel4246[[#This Row],[Kolom29]],$AI$5:$AI$35)</f>
        <v>4</v>
      </c>
      <c r="AM22" s="135">
        <f>IF(E$2="x",(_xlfn.RANK.EQ(Tabel4246[[#This Row],[Kolom3]],E$5:E$35)),0)</f>
        <v>0</v>
      </c>
      <c r="AN22" s="135">
        <f>Tabel4246[[#This Row],[Kolom2911]]*AM$2</f>
        <v>0</v>
      </c>
      <c r="AO22" s="135">
        <f>IF(F$2="x",(_xlfn.RANK.EQ(Tabel4246[[#This Row],[Kolom4]],F$5:F$35)),0)</f>
        <v>0</v>
      </c>
      <c r="AP22" s="135">
        <f>Tabel4246[[#This Row],[Kolom29112]]*AO$2</f>
        <v>0</v>
      </c>
      <c r="AQ22" s="135">
        <f>IF(G$2="x",(_xlfn.RANK.EQ(Tabel4246[[#This Row],[Kolom5]],G$5:G$35)),0)</f>
        <v>0</v>
      </c>
      <c r="AR22" s="135">
        <f>Tabel4246[[#This Row],[Kolom29113]]*AQ$2</f>
        <v>0</v>
      </c>
      <c r="AS22" s="135">
        <f>IF(H$2="x",(_xlfn.RANK.EQ(Tabel4246[[#This Row],[Kolom6]],H$5:H$35)),0)</f>
        <v>0</v>
      </c>
      <c r="AT22" s="135">
        <f>Tabel4246[[#This Row],[Kolom29114]]*AS$2</f>
        <v>0</v>
      </c>
      <c r="AU22" s="135">
        <f>IF(I$2="x",(_xlfn.RANK.EQ(Tabel4246[[#This Row],[Kolom62]],I$5:I$35)),0)</f>
        <v>0</v>
      </c>
      <c r="AV22" s="135">
        <f>Tabel4246[[#This Row],[Kolom29115]]*AU$2</f>
        <v>0</v>
      </c>
      <c r="AW22" s="135">
        <f>IF(J$2="x",(_xlfn.RANK.EQ(Tabel4246[[#This Row],[Kolom7]],J$5:J$35)),0)</f>
        <v>5</v>
      </c>
      <c r="AX22" s="135">
        <f>Tabel4246[[#This Row],[Kolom29116]]*AW$2</f>
        <v>25</v>
      </c>
      <c r="AY22" s="135">
        <f>IF(K$2="x",(_xlfn.RANK.EQ(Tabel4246[[#This Row],[Kolom72]],K$5:K$35)),0)</f>
        <v>0</v>
      </c>
      <c r="AZ22" s="135">
        <f>Tabel4246[[#This Row],[Kolom29117]]*AY$2</f>
        <v>0</v>
      </c>
      <c r="BA22" s="135">
        <f>IF(L$2="x",(_xlfn.RANK.EQ(Tabel4246[[#This Row],[Kolom8]],L$5:L$35)),0)</f>
        <v>0</v>
      </c>
      <c r="BB22" s="135">
        <f>Tabel4246[[#This Row],[Kolom29118]]*BA$2</f>
        <v>0</v>
      </c>
      <c r="BC22" s="135">
        <f>IF(M$2="x",(_xlfn.RANK.EQ(Tabel4246[[#This Row],[Kolom9]],M$5:M$35)),0)</f>
        <v>0</v>
      </c>
      <c r="BD22" s="135">
        <f>Tabel4246[[#This Row],[Kolom29119]]*BC$2</f>
        <v>0</v>
      </c>
      <c r="BE22" s="135">
        <f>IF(N$2="x",(_xlfn.RANK.EQ(Tabel4246[[#This Row],[Kolom10]],N$5:N$35)),0)</f>
        <v>0</v>
      </c>
      <c r="BF22" s="135">
        <f>Tabel4246[[#This Row],[Kolom29120]]*BE$2</f>
        <v>0</v>
      </c>
      <c r="BG22" s="135">
        <f>IF(O$2="x",(_xlfn.RANK.EQ(Tabel4246[[#This Row],[Kolom11]],O$5:O$35)),0)</f>
        <v>0</v>
      </c>
      <c r="BH22" s="135">
        <f>Tabel4246[[#This Row],[Kolom29121]]*BG$2</f>
        <v>0</v>
      </c>
      <c r="BI22" s="135">
        <f>IF(P$2="x",(_xlfn.RANK.EQ(Tabel4246[[#This Row],[Kolom12]],P$5:P$35)),0)</f>
        <v>0</v>
      </c>
      <c r="BJ22" s="135">
        <f>Tabel4246[[#This Row],[Kolom29122]]*BI$2</f>
        <v>0</v>
      </c>
      <c r="BK22" s="135">
        <f>IF(Q$2="x",(_xlfn.RANK.EQ(Tabel4246[[#This Row],[Kolom13]],Q$5:Q$35)),0)</f>
        <v>0</v>
      </c>
      <c r="BL22" s="135">
        <f>Tabel4246[[#This Row],[Kolom29123]]*BK$2</f>
        <v>0</v>
      </c>
      <c r="BM22" s="135">
        <f>IF(R$2="x",(_xlfn.RANK.EQ(Tabel4246[[#This Row],[Kolom133]],R$5:R$35)),0)</f>
        <v>0</v>
      </c>
      <c r="BN22" s="135">
        <f>Tabel4246[[#This Row],[Kolom29124]]*BM$2</f>
        <v>0</v>
      </c>
      <c r="BO22" s="135">
        <f>IF(S$2="x",(_xlfn.RANK.EQ(Tabel4246[[#This Row],[Kolom132]],S$5:S$35)),0)</f>
        <v>0</v>
      </c>
      <c r="BP22" s="135">
        <f>Tabel4246[[#This Row],[Kolom29125]]*BO$2</f>
        <v>0</v>
      </c>
      <c r="BQ22" s="135">
        <f>IF(T$2="x",(_xlfn.RANK.EQ(Tabel4246[[#This Row],[Kolom14]],T$5:T$35)),0)</f>
        <v>0</v>
      </c>
      <c r="BR22" s="135">
        <f>Tabel4246[[#This Row],[Kolom29126]]*BQ$2</f>
        <v>0</v>
      </c>
      <c r="BS22" s="135">
        <f>IF(U$2="x",(_xlfn.RANK.EQ(Tabel4246[[#This Row],[Kolom16]],U$5:U$35)),0)</f>
        <v>0</v>
      </c>
      <c r="BT22" s="135">
        <f>Tabel4246[[#This Row],[Kolom29127]]*BS$2</f>
        <v>0</v>
      </c>
      <c r="BU22" s="135">
        <f>IF(V$2="x",(_xlfn.RANK.EQ(Tabel4246[[#This Row],[Kolom173]],V$5:V$35)),0)</f>
        <v>0</v>
      </c>
      <c r="BV22" s="135">
        <f>Tabel4246[[#This Row],[Kolom29128]]*BU$2</f>
        <v>0</v>
      </c>
      <c r="BW22" s="135">
        <f>IF(W$2="x",(_xlfn.RANK.EQ(Tabel4246[[#This Row],[Kolom172]],W$5:W$35)),0)</f>
        <v>0</v>
      </c>
      <c r="BX22" s="135">
        <f>Tabel4246[[#This Row],[Kolom29129]]*BW$2</f>
        <v>0</v>
      </c>
      <c r="BY22" s="135">
        <f>IF(X$2="x",(_xlfn.RANK.EQ(Tabel4246[[#This Row],[Kolom18]],X$5:X$35)),0)</f>
        <v>0</v>
      </c>
      <c r="BZ22" s="135">
        <f>Tabel4246[[#This Row],[Kolom29130]]*BY$2</f>
        <v>0</v>
      </c>
      <c r="CA22" s="135">
        <f>IF(Y$2="x",(_xlfn.RANK.EQ(Tabel4246[[#This Row],[Kolom19]],Y$5:Y$35)),0)</f>
        <v>0</v>
      </c>
      <c r="CB22" s="135">
        <f>Tabel4246[[#This Row],[Kolom29131]]*CA$2</f>
        <v>0</v>
      </c>
      <c r="CC22" s="135">
        <f>IF(Z$2="x",(_xlfn.RANK.EQ(Tabel4246[[#This Row],[Kolom20]],Z$5:Z$35)),0)</f>
        <v>20</v>
      </c>
      <c r="CD22" s="135">
        <f>Tabel4246[[#This Row],[Kolom29132]]*CC$2</f>
        <v>20</v>
      </c>
      <c r="CE22" s="135">
        <f>IF(AA$2="x",(_xlfn.RANK.EQ(Tabel4246[[#This Row],[Kolom21]],AA$5:AA$35)),0)</f>
        <v>0</v>
      </c>
      <c r="CF22" s="135">
        <f>Tabel4246[[#This Row],[Kolom29133]]*CE$2</f>
        <v>0</v>
      </c>
      <c r="CG22" s="135">
        <f>IF(AB$2="x",(_xlfn.RANK.EQ(Tabel4246[[#This Row],[Kolom22]],AB$5:AB$35)),0)</f>
        <v>0</v>
      </c>
      <c r="CH22" s="135">
        <f>Tabel4246[[#This Row],[Kolom29134]]*CG$2</f>
        <v>0</v>
      </c>
      <c r="CI22" s="135">
        <f>IF(AC$2="x",(_xlfn.RANK.EQ(Tabel4246[[#This Row],[Kolom223]],AC$5:AC$35)),0)</f>
        <v>7</v>
      </c>
      <c r="CJ22" s="135">
        <f>Tabel4246[[#This Row],[Kolom29135]]*CI$2</f>
        <v>7</v>
      </c>
      <c r="CK22" s="135">
        <f>IF(AD$2="x",(_xlfn.RANK.EQ(Tabel4246[[#This Row],[Kolom222]],AD$5:AD$35)),0)</f>
        <v>0</v>
      </c>
      <c r="CL22" s="135">
        <f>Tabel4246[[#This Row],[Kolom29136]]*CK$2</f>
        <v>0</v>
      </c>
      <c r="CM22" s="135">
        <f t="shared" si="13"/>
        <v>3</v>
      </c>
      <c r="CN22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Row],[Kolom29130]]+CA22+Tabel4246[[#This Row],[Kolom29132]]+Tabel4246[[#This Row],[Kolom29133]]+Tabel4246[[#This Row],[Kolom29134]]+Tabel4246[[#This Row],[Kolom29135]]+Tabel4246[[#This Row],[Kolom29136]])/Tabel4246[[#This Row],[Kolom29137]]</f>
        <v>10.666666666666666</v>
      </c>
      <c r="CO22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Row],[Kolom291302]]+CB22+Tabel4246[[#This Row],[Kolom291322]]+Tabel4246[[#This Row],[Kolom291332]]+Tabel4246[[#This Row],[Kolom291342]]+Tabel4246[[#This Row],[Kolom291352]]+Tabel4246[[#This Row],[Kolom291362]])/Tabel4246[[#This Row],[Kolom29137]]</f>
        <v>17.333333333333332</v>
      </c>
      <c r="CP22" s="142">
        <f>_xlfn.RANK.EQ(Tabel4246[[#This Row],[Kolom29138]],CN$5:CN$35,1)</f>
        <v>14</v>
      </c>
      <c r="CQ22" s="142">
        <f>_xlfn.RANK.EQ(Tabel4246[[#This Row],[Kolom291382]],CO$5:CO$35,1)</f>
        <v>6</v>
      </c>
    </row>
    <row r="23" spans="1:95">
      <c r="A23" s="86"/>
      <c r="B23" s="21" t="str">
        <f>'Symptomen (alle)'!A20</f>
        <v>Plistophora (real Neon disease)</v>
      </c>
      <c r="C23" s="21">
        <f>'Symptomen (alle)'!B20</f>
        <v>4</v>
      </c>
      <c r="D23" s="21">
        <f>IF(D$2="x",'Symptomen (alle)'!C20,0)</f>
        <v>0</v>
      </c>
      <c r="E23" s="21">
        <f>IF(E$2="x",'Symptomen (alle)'!D20,0)</f>
        <v>0</v>
      </c>
      <c r="F23" s="21">
        <f>IF(F$2="x",'Symptomen (alle)'!E20,0)</f>
        <v>0</v>
      </c>
      <c r="G23" s="21">
        <f>IF(G$2="x",'Symptomen (alle)'!F20,0)</f>
        <v>0</v>
      </c>
      <c r="H23" s="21">
        <f>IF(H$2="x",'Symptomen (alle)'!G20,0)</f>
        <v>0</v>
      </c>
      <c r="I23" s="21">
        <f>IF(I$2="x",'Symptomen (alle)'!H20,0)</f>
        <v>0</v>
      </c>
      <c r="J23" s="21">
        <f>IF(J$2="x",'Symptomen (alle)'!I20,0)</f>
        <v>10</v>
      </c>
      <c r="K23" s="21">
        <f>IF(K$2="x",'Symptomen (alle)'!J20,0)</f>
        <v>0</v>
      </c>
      <c r="L23" s="21">
        <f>IF(L$2="x",'Symptomen (alle)'!K20,0)</f>
        <v>0</v>
      </c>
      <c r="M23" s="21">
        <f>IF(M$2="x",'Symptomen (alle)'!L20,0)</f>
        <v>0</v>
      </c>
      <c r="N23" s="21">
        <f>IF(N$2="x",'Symptomen (alle)'!M20,0)</f>
        <v>0</v>
      </c>
      <c r="O23" s="21">
        <f>IF(O$2="x",'Symptomen (alle)'!N20,0)</f>
        <v>0</v>
      </c>
      <c r="P23" s="21">
        <f>IF(P$2="x",'Symptomen (alle)'!O20,0)</f>
        <v>0</v>
      </c>
      <c r="Q23" s="21">
        <f>IF(Q$2="x",'Symptomen (alle)'!P20,0)</f>
        <v>0</v>
      </c>
      <c r="R23" s="21">
        <f>IF(R$2="x",'Symptomen (alle)'!Q20,0)</f>
        <v>0</v>
      </c>
      <c r="S23" s="21">
        <f>IF(S$2="x",'Symptomen (alle)'!R20,0)</f>
        <v>0</v>
      </c>
      <c r="T23" s="21">
        <f>IF(T$2="x",'Symptomen (alle)'!S20,0)</f>
        <v>0</v>
      </c>
      <c r="U23" s="21">
        <f>IF(U$2="x",'Symptomen (alle)'!T20,0)</f>
        <v>0</v>
      </c>
      <c r="V23" s="21">
        <f>IF(V$2="x",'Symptomen (alle)'!U20,0)</f>
        <v>0</v>
      </c>
      <c r="W23" s="21">
        <f>IF(W$2="x",'Symptomen (alle)'!V20,0)</f>
        <v>0</v>
      </c>
      <c r="X23" s="21">
        <f>IF(X$2="x",'Symptomen (alle)'!W20,0)</f>
        <v>0</v>
      </c>
      <c r="Y23" s="21">
        <f>IF(Y$2="x",'Symptomen (alle)'!X20,0)</f>
        <v>0</v>
      </c>
      <c r="Z23" s="21">
        <f>IF(Z$2="x",'Symptomen (alle)'!Y20,0)</f>
        <v>1</v>
      </c>
      <c r="AA23" s="21">
        <f>IF(AA$2="x",'Symptomen (alle)'!Z20,0)</f>
        <v>0</v>
      </c>
      <c r="AB23" s="21">
        <f>IF(AB$2="x",'Symptomen (alle)'!AA20,0)</f>
        <v>0</v>
      </c>
      <c r="AC23" s="21">
        <f>IF(AC$2="x",'Symptomen (alle)'!AB20,0)</f>
        <v>3</v>
      </c>
      <c r="AD23" s="21">
        <f>IF(AD$2="x",'Symptomen (alle)'!AC20,0)</f>
        <v>0</v>
      </c>
      <c r="AE23" s="21">
        <f t="shared" si="11"/>
        <v>14</v>
      </c>
      <c r="AF23" s="21">
        <f>HLOOKUP($B$2,ZiekteFam!$B$1:$T$32,AG23,FALSE)</f>
        <v>10</v>
      </c>
      <c r="AG23" s="32">
        <f t="shared" si="12"/>
        <v>20</v>
      </c>
      <c r="AH23" s="32">
        <f>SUM('Symptomen (alle)'!D20:AC20)</f>
        <v>14</v>
      </c>
      <c r="AI23" s="22">
        <f>Tabel4246[[#This Row],[Kolom25]]/Tabel4246[[#This Row],[Kolom28]]</f>
        <v>1</v>
      </c>
      <c r="AJ23" s="22"/>
      <c r="AK23" s="22">
        <f>Tabel4246[[#This Row],[Kolom29]]</f>
        <v>1</v>
      </c>
      <c r="AL23" s="36">
        <f>_xlfn.RANK.EQ(Tabel4246[[#This Row],[Kolom29]],$AI$5:$AI$35)</f>
        <v>1</v>
      </c>
      <c r="AM23" s="135">
        <f>IF(E$2="x",(_xlfn.RANK.EQ(Tabel4246[[#This Row],[Kolom3]],E$5:E$35)),0)</f>
        <v>0</v>
      </c>
      <c r="AN23" s="135">
        <f>Tabel4246[[#This Row],[Kolom2911]]*AM$2</f>
        <v>0</v>
      </c>
      <c r="AO23" s="135">
        <f>IF(F$2="x",(_xlfn.RANK.EQ(Tabel4246[[#This Row],[Kolom4]],F$5:F$35)),0)</f>
        <v>0</v>
      </c>
      <c r="AP23" s="135">
        <f>Tabel4246[[#This Row],[Kolom29112]]*AO$2</f>
        <v>0</v>
      </c>
      <c r="AQ23" s="135">
        <f>IF(G$2="x",(_xlfn.RANK.EQ(Tabel4246[[#This Row],[Kolom5]],G$5:G$35)),0)</f>
        <v>0</v>
      </c>
      <c r="AR23" s="135">
        <f>Tabel4246[[#This Row],[Kolom29113]]*AQ$2</f>
        <v>0</v>
      </c>
      <c r="AS23" s="135">
        <f>IF(H$2="x",(_xlfn.RANK.EQ(Tabel4246[[#This Row],[Kolom6]],H$5:H$35)),0)</f>
        <v>0</v>
      </c>
      <c r="AT23" s="135">
        <f>Tabel4246[[#This Row],[Kolom29114]]*AS$2</f>
        <v>0</v>
      </c>
      <c r="AU23" s="135">
        <f>IF(I$2="x",(_xlfn.RANK.EQ(Tabel4246[[#This Row],[Kolom62]],I$5:I$35)),0)</f>
        <v>0</v>
      </c>
      <c r="AV23" s="135">
        <f>Tabel4246[[#This Row],[Kolom29115]]*AU$2</f>
        <v>0</v>
      </c>
      <c r="AW23" s="135">
        <f>IF(J$2="x",(_xlfn.RANK.EQ(Tabel4246[[#This Row],[Kolom7]],J$5:J$35)),0)</f>
        <v>1</v>
      </c>
      <c r="AX23" s="135">
        <f>Tabel4246[[#This Row],[Kolom29116]]*AW$2</f>
        <v>5</v>
      </c>
      <c r="AY23" s="135">
        <f>IF(K$2="x",(_xlfn.RANK.EQ(Tabel4246[[#This Row],[Kolom72]],K$5:K$35)),0)</f>
        <v>0</v>
      </c>
      <c r="AZ23" s="135">
        <f>Tabel4246[[#This Row],[Kolom29117]]*AY$2</f>
        <v>0</v>
      </c>
      <c r="BA23" s="135">
        <f>IF(L$2="x",(_xlfn.RANK.EQ(Tabel4246[[#This Row],[Kolom8]],L$5:L$35)),0)</f>
        <v>0</v>
      </c>
      <c r="BB23" s="135">
        <f>Tabel4246[[#This Row],[Kolom29118]]*BA$2</f>
        <v>0</v>
      </c>
      <c r="BC23" s="135">
        <f>IF(M$2="x",(_xlfn.RANK.EQ(Tabel4246[[#This Row],[Kolom9]],M$5:M$35)),0)</f>
        <v>0</v>
      </c>
      <c r="BD23" s="135">
        <f>Tabel4246[[#This Row],[Kolom29119]]*BC$2</f>
        <v>0</v>
      </c>
      <c r="BE23" s="135">
        <f>IF(N$2="x",(_xlfn.RANK.EQ(Tabel4246[[#This Row],[Kolom10]],N$5:N$35)),0)</f>
        <v>0</v>
      </c>
      <c r="BF23" s="135">
        <f>Tabel4246[[#This Row],[Kolom29120]]*BE$2</f>
        <v>0</v>
      </c>
      <c r="BG23" s="135">
        <f>IF(O$2="x",(_xlfn.RANK.EQ(Tabel4246[[#This Row],[Kolom11]],O$5:O$35)),0)</f>
        <v>0</v>
      </c>
      <c r="BH23" s="135">
        <f>Tabel4246[[#This Row],[Kolom29121]]*BG$2</f>
        <v>0</v>
      </c>
      <c r="BI23" s="135">
        <f>IF(P$2="x",(_xlfn.RANK.EQ(Tabel4246[[#This Row],[Kolom12]],P$5:P$35)),0)</f>
        <v>0</v>
      </c>
      <c r="BJ23" s="135">
        <f>Tabel4246[[#This Row],[Kolom29122]]*BI$2</f>
        <v>0</v>
      </c>
      <c r="BK23" s="135">
        <f>IF(Q$2="x",(_xlfn.RANK.EQ(Tabel4246[[#This Row],[Kolom13]],Q$5:Q$35)),0)</f>
        <v>0</v>
      </c>
      <c r="BL23" s="135">
        <f>Tabel4246[[#This Row],[Kolom29123]]*BK$2</f>
        <v>0</v>
      </c>
      <c r="BM23" s="135">
        <f>IF(R$2="x",(_xlfn.RANK.EQ(Tabel4246[[#This Row],[Kolom133]],R$5:R$35)),0)</f>
        <v>0</v>
      </c>
      <c r="BN23" s="135">
        <f>Tabel4246[[#This Row],[Kolom29124]]*BM$2</f>
        <v>0</v>
      </c>
      <c r="BO23" s="135">
        <f>IF(S$2="x",(_xlfn.RANK.EQ(Tabel4246[[#This Row],[Kolom132]],S$5:S$35)),0)</f>
        <v>0</v>
      </c>
      <c r="BP23" s="135">
        <f>Tabel4246[[#This Row],[Kolom29125]]*BO$2</f>
        <v>0</v>
      </c>
      <c r="BQ23" s="135">
        <f>IF(T$2="x",(_xlfn.RANK.EQ(Tabel4246[[#This Row],[Kolom14]],T$5:T$35)),0)</f>
        <v>0</v>
      </c>
      <c r="BR23" s="135">
        <f>Tabel4246[[#This Row],[Kolom29126]]*BQ$2</f>
        <v>0</v>
      </c>
      <c r="BS23" s="135">
        <f>IF(U$2="x",(_xlfn.RANK.EQ(Tabel4246[[#This Row],[Kolom16]],U$5:U$35)),0)</f>
        <v>0</v>
      </c>
      <c r="BT23" s="135">
        <f>Tabel4246[[#This Row],[Kolom29127]]*BS$2</f>
        <v>0</v>
      </c>
      <c r="BU23" s="135">
        <f>IF(V$2="x",(_xlfn.RANK.EQ(Tabel4246[[#This Row],[Kolom173]],V$5:V$35)),0)</f>
        <v>0</v>
      </c>
      <c r="BV23" s="135">
        <f>Tabel4246[[#This Row],[Kolom29128]]*BU$2</f>
        <v>0</v>
      </c>
      <c r="BW23" s="135">
        <f>IF(W$2="x",(_xlfn.RANK.EQ(Tabel4246[[#This Row],[Kolom172]],W$5:W$35)),0)</f>
        <v>0</v>
      </c>
      <c r="BX23" s="135">
        <f>Tabel4246[[#This Row],[Kolom29129]]*BW$2</f>
        <v>0</v>
      </c>
      <c r="BY23" s="135">
        <f>IF(X$2="x",(_xlfn.RANK.EQ(Tabel4246[[#This Row],[Kolom18]],X$5:X$35)),0)</f>
        <v>0</v>
      </c>
      <c r="BZ23" s="135">
        <f>Tabel4246[[#This Row],[Kolom29130]]*BY$2</f>
        <v>0</v>
      </c>
      <c r="CA23" s="135">
        <f>IF(Y$2="x",(_xlfn.RANK.EQ(Tabel4246[[#This Row],[Kolom19]],Y$5:Y$35)),0)</f>
        <v>0</v>
      </c>
      <c r="CB23" s="135">
        <f>Tabel4246[[#This Row],[Kolom29131]]*CA$2</f>
        <v>0</v>
      </c>
      <c r="CC23" s="135">
        <f>IF(Z$2="x",(_xlfn.RANK.EQ(Tabel4246[[#This Row],[Kolom20]],Z$5:Z$35)),0)</f>
        <v>20</v>
      </c>
      <c r="CD23" s="135">
        <f>Tabel4246[[#This Row],[Kolom29132]]*CC$2</f>
        <v>20</v>
      </c>
      <c r="CE23" s="135">
        <f>IF(AA$2="x",(_xlfn.RANK.EQ(Tabel4246[[#This Row],[Kolom21]],AA$5:AA$35)),0)</f>
        <v>0</v>
      </c>
      <c r="CF23" s="135">
        <f>Tabel4246[[#This Row],[Kolom29133]]*CE$2</f>
        <v>0</v>
      </c>
      <c r="CG23" s="135">
        <f>IF(AB$2="x",(_xlfn.RANK.EQ(Tabel4246[[#This Row],[Kolom22]],AB$5:AB$35)),0)</f>
        <v>0</v>
      </c>
      <c r="CH23" s="135">
        <f>Tabel4246[[#This Row],[Kolom29134]]*CG$2</f>
        <v>0</v>
      </c>
      <c r="CI23" s="135">
        <f>IF(AC$2="x",(_xlfn.RANK.EQ(Tabel4246[[#This Row],[Kolom223]],AC$5:AC$35)),0)</f>
        <v>7</v>
      </c>
      <c r="CJ23" s="135">
        <f>Tabel4246[[#This Row],[Kolom29135]]*CI$2</f>
        <v>7</v>
      </c>
      <c r="CK23" s="135">
        <f>IF(AD$2="x",(_xlfn.RANK.EQ(Tabel4246[[#This Row],[Kolom222]],AD$5:AD$35)),0)</f>
        <v>0</v>
      </c>
      <c r="CL23" s="135">
        <f>Tabel4246[[#This Row],[Kolom29136]]*CK$2</f>
        <v>0</v>
      </c>
      <c r="CM23" s="135">
        <f t="shared" si="13"/>
        <v>3</v>
      </c>
      <c r="CN23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Row],[Kolom29130]]+CA23+Tabel4246[[#This Row],[Kolom29132]]+Tabel4246[[#This Row],[Kolom29133]]+Tabel4246[[#This Row],[Kolom29134]]+Tabel4246[[#This Row],[Kolom29135]]+Tabel4246[[#This Row],[Kolom29136]])/Tabel4246[[#This Row],[Kolom29137]]</f>
        <v>9.3333333333333339</v>
      </c>
      <c r="CO23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Row],[Kolom291302]]+CB23+Tabel4246[[#This Row],[Kolom291322]]+Tabel4246[[#This Row],[Kolom291332]]+Tabel4246[[#This Row],[Kolom291342]]+Tabel4246[[#This Row],[Kolom291352]]+Tabel4246[[#This Row],[Kolom291362]])/Tabel4246[[#This Row],[Kolom29137]]</f>
        <v>10.666666666666666</v>
      </c>
      <c r="CP23" s="143">
        <f>_xlfn.RANK.EQ(Tabel4246[[#This Row],[Kolom29138]],CN$5:CN$35,1)</f>
        <v>10</v>
      </c>
      <c r="CQ23" s="143">
        <f>_xlfn.RANK.EQ(Tabel4246[[#This Row],[Kolom291382]],CO$5:CO$35,1)</f>
        <v>2</v>
      </c>
    </row>
    <row r="24" spans="1:95">
      <c r="B24" s="21" t="str">
        <f>'Symptomen (alle)'!A21</f>
        <v>Columnaris/Flavobacteria (also: false neon disease)</v>
      </c>
      <c r="C24" s="21">
        <f>'Symptomen (alle)'!B21</f>
        <v>4</v>
      </c>
      <c r="D24" s="21">
        <f>IF(D$2="x",'Symptomen (alle)'!C21,0)</f>
        <v>0</v>
      </c>
      <c r="E24" s="21">
        <f>IF(E$2="x",'Symptomen (alle)'!D21,0)</f>
        <v>0</v>
      </c>
      <c r="F24" s="21">
        <f>IF(F$2="x",'Symptomen (alle)'!E21,0)</f>
        <v>0</v>
      </c>
      <c r="G24" s="21">
        <f>IF(G$2="x",'Symptomen (alle)'!F21,0)</f>
        <v>0</v>
      </c>
      <c r="H24" s="21">
        <f>IF(H$2="x",'Symptomen (alle)'!G21,0)</f>
        <v>0</v>
      </c>
      <c r="I24" s="21">
        <f>IF(I$2="x",'Symptomen (alle)'!H21,0)</f>
        <v>0</v>
      </c>
      <c r="J24" s="21">
        <f>IF(J$2="x",'Symptomen (alle)'!I21,0)</f>
        <v>10</v>
      </c>
      <c r="K24" s="21">
        <f>IF(K$2="x",'Symptomen (alle)'!J21,0)</f>
        <v>0</v>
      </c>
      <c r="L24" s="21">
        <f>IF(L$2="x",'Symptomen (alle)'!K21,0)</f>
        <v>0</v>
      </c>
      <c r="M24" s="21">
        <f>IF(M$2="x",'Symptomen (alle)'!L21,0)</f>
        <v>0</v>
      </c>
      <c r="N24" s="21">
        <f>IF(N$2="x",'Symptomen (alle)'!M21,0)</f>
        <v>0</v>
      </c>
      <c r="O24" s="21">
        <f>IF(O$2="x",'Symptomen (alle)'!N21,0)</f>
        <v>0</v>
      </c>
      <c r="P24" s="21">
        <f>IF(P$2="x",'Symptomen (alle)'!O21,0)</f>
        <v>0</v>
      </c>
      <c r="Q24" s="21">
        <f>IF(Q$2="x",'Symptomen (alle)'!P21,0)</f>
        <v>0</v>
      </c>
      <c r="R24" s="21">
        <f>IF(R$2="x",'Symptomen (alle)'!Q21,0)</f>
        <v>0</v>
      </c>
      <c r="S24" s="21">
        <f>IF(S$2="x",'Symptomen (alle)'!R21,0)</f>
        <v>0</v>
      </c>
      <c r="T24" s="21">
        <f>IF(T$2="x",'Symptomen (alle)'!S21,0)</f>
        <v>0</v>
      </c>
      <c r="U24" s="21">
        <f>IF(U$2="x",'Symptomen (alle)'!T21,0)</f>
        <v>0</v>
      </c>
      <c r="V24" s="21">
        <f>IF(V$2="x",'Symptomen (alle)'!U21,0)</f>
        <v>0</v>
      </c>
      <c r="W24" s="21">
        <f>IF(W$2="x",'Symptomen (alle)'!V21,0)</f>
        <v>0</v>
      </c>
      <c r="X24" s="21">
        <f>IF(X$2="x",'Symptomen (alle)'!W21,0)</f>
        <v>0</v>
      </c>
      <c r="Y24" s="21">
        <f>IF(Y$2="x",'Symptomen (alle)'!X21,0)</f>
        <v>0</v>
      </c>
      <c r="Z24" s="21">
        <f>IF(Z$2="x",'Symptomen (alle)'!Y21,0)</f>
        <v>10</v>
      </c>
      <c r="AA24" s="21">
        <f>IF(AA$2="x",'Symptomen (alle)'!Z21,0)</f>
        <v>0</v>
      </c>
      <c r="AB24" s="21">
        <f>IF(AB$2="x",'Symptomen (alle)'!AA21,0)</f>
        <v>0</v>
      </c>
      <c r="AC24" s="21">
        <f>IF(AC$2="x",'Symptomen (alle)'!AB21,0)</f>
        <v>1</v>
      </c>
      <c r="AD24" s="21">
        <f>IF(AD$2="x",'Symptomen (alle)'!AC21,0)</f>
        <v>0</v>
      </c>
      <c r="AE24" s="21">
        <f t="shared" si="11"/>
        <v>21</v>
      </c>
      <c r="AF24" s="21">
        <f>HLOOKUP($B$2,ZiekteFam!$B$1:$T$32,AG24,FALSE)</f>
        <v>10</v>
      </c>
      <c r="AG24" s="32">
        <f t="shared" si="12"/>
        <v>21</v>
      </c>
      <c r="AH24" s="32">
        <f>SUM('Symptomen (alle)'!D21:AC21)</f>
        <v>66</v>
      </c>
      <c r="AI24" s="22">
        <f>Tabel4246[[#This Row],[Kolom25]]/Tabel4246[[#This Row],[Kolom28]]</f>
        <v>0.31818181818181818</v>
      </c>
      <c r="AJ24" s="22"/>
      <c r="AK24" s="22">
        <f>Tabel4246[[#This Row],[Kolom29]]</f>
        <v>0.31818181818181818</v>
      </c>
      <c r="AL24" s="36">
        <f>_xlfn.RANK.EQ(Tabel4246[[#This Row],[Kolom29]],$AI$5:$AI$35)</f>
        <v>9</v>
      </c>
      <c r="AM24" s="135">
        <f>IF(E$2="x",(_xlfn.RANK.EQ(Tabel4246[[#This Row],[Kolom3]],E$5:E$35)),0)</f>
        <v>0</v>
      </c>
      <c r="AN24" s="135">
        <f>Tabel4246[[#This Row],[Kolom2911]]*AM$2</f>
        <v>0</v>
      </c>
      <c r="AO24" s="135">
        <f>IF(F$2="x",(_xlfn.RANK.EQ(Tabel4246[[#This Row],[Kolom4]],F$5:F$35)),0)</f>
        <v>0</v>
      </c>
      <c r="AP24" s="135">
        <f>Tabel4246[[#This Row],[Kolom29112]]*AO$2</f>
        <v>0</v>
      </c>
      <c r="AQ24" s="135">
        <f>IF(G$2="x",(_xlfn.RANK.EQ(Tabel4246[[#This Row],[Kolom5]],G$5:G$35)),0)</f>
        <v>0</v>
      </c>
      <c r="AR24" s="135">
        <f>Tabel4246[[#This Row],[Kolom29113]]*AQ$2</f>
        <v>0</v>
      </c>
      <c r="AS24" s="135">
        <f>IF(H$2="x",(_xlfn.RANK.EQ(Tabel4246[[#This Row],[Kolom6]],H$5:H$35)),0)</f>
        <v>0</v>
      </c>
      <c r="AT24" s="135">
        <f>Tabel4246[[#This Row],[Kolom29114]]*AS$2</f>
        <v>0</v>
      </c>
      <c r="AU24" s="135">
        <f>IF(I$2="x",(_xlfn.RANK.EQ(Tabel4246[[#This Row],[Kolom62]],I$5:I$35)),0)</f>
        <v>0</v>
      </c>
      <c r="AV24" s="135">
        <f>Tabel4246[[#This Row],[Kolom29115]]*AU$2</f>
        <v>0</v>
      </c>
      <c r="AW24" s="135">
        <f>IF(J$2="x",(_xlfn.RANK.EQ(Tabel4246[[#This Row],[Kolom7]],J$5:J$35)),0)</f>
        <v>1</v>
      </c>
      <c r="AX24" s="135">
        <f>Tabel4246[[#This Row],[Kolom29116]]*AW$2</f>
        <v>5</v>
      </c>
      <c r="AY24" s="135">
        <f>IF(K$2="x",(_xlfn.RANK.EQ(Tabel4246[[#This Row],[Kolom72]],K$5:K$35)),0)</f>
        <v>0</v>
      </c>
      <c r="AZ24" s="135">
        <f>Tabel4246[[#This Row],[Kolom29117]]*AY$2</f>
        <v>0</v>
      </c>
      <c r="BA24" s="135">
        <f>IF(L$2="x",(_xlfn.RANK.EQ(Tabel4246[[#This Row],[Kolom8]],L$5:L$35)),0)</f>
        <v>0</v>
      </c>
      <c r="BB24" s="135">
        <f>Tabel4246[[#This Row],[Kolom29118]]*BA$2</f>
        <v>0</v>
      </c>
      <c r="BC24" s="135">
        <f>IF(M$2="x",(_xlfn.RANK.EQ(Tabel4246[[#This Row],[Kolom9]],M$5:M$35)),0)</f>
        <v>0</v>
      </c>
      <c r="BD24" s="135">
        <f>Tabel4246[[#This Row],[Kolom29119]]*BC$2</f>
        <v>0</v>
      </c>
      <c r="BE24" s="135">
        <f>IF(N$2="x",(_xlfn.RANK.EQ(Tabel4246[[#This Row],[Kolom10]],N$5:N$35)),0)</f>
        <v>0</v>
      </c>
      <c r="BF24" s="135">
        <f>Tabel4246[[#This Row],[Kolom29120]]*BE$2</f>
        <v>0</v>
      </c>
      <c r="BG24" s="135">
        <f>IF(O$2="x",(_xlfn.RANK.EQ(Tabel4246[[#This Row],[Kolom11]],O$5:O$35)),0)</f>
        <v>0</v>
      </c>
      <c r="BH24" s="135">
        <f>Tabel4246[[#This Row],[Kolom29121]]*BG$2</f>
        <v>0</v>
      </c>
      <c r="BI24" s="135">
        <f>IF(P$2="x",(_xlfn.RANK.EQ(Tabel4246[[#This Row],[Kolom12]],P$5:P$35)),0)</f>
        <v>0</v>
      </c>
      <c r="BJ24" s="135">
        <f>Tabel4246[[#This Row],[Kolom29122]]*BI$2</f>
        <v>0</v>
      </c>
      <c r="BK24" s="135">
        <f>IF(Q$2="x",(_xlfn.RANK.EQ(Tabel4246[[#This Row],[Kolom13]],Q$5:Q$35)),0)</f>
        <v>0</v>
      </c>
      <c r="BL24" s="135">
        <f>Tabel4246[[#This Row],[Kolom29123]]*BK$2</f>
        <v>0</v>
      </c>
      <c r="BM24" s="135">
        <f>IF(R$2="x",(_xlfn.RANK.EQ(Tabel4246[[#This Row],[Kolom133]],R$5:R$35)),0)</f>
        <v>0</v>
      </c>
      <c r="BN24" s="135">
        <f>Tabel4246[[#This Row],[Kolom29124]]*BM$2</f>
        <v>0</v>
      </c>
      <c r="BO24" s="135">
        <f>IF(S$2="x",(_xlfn.RANK.EQ(Tabel4246[[#This Row],[Kolom132]],S$5:S$35)),0)</f>
        <v>0</v>
      </c>
      <c r="BP24" s="135">
        <f>Tabel4246[[#This Row],[Kolom29125]]*BO$2</f>
        <v>0</v>
      </c>
      <c r="BQ24" s="135">
        <f>IF(T$2="x",(_xlfn.RANK.EQ(Tabel4246[[#This Row],[Kolom14]],T$5:T$35)),0)</f>
        <v>0</v>
      </c>
      <c r="BR24" s="135">
        <f>Tabel4246[[#This Row],[Kolom29126]]*BQ$2</f>
        <v>0</v>
      </c>
      <c r="BS24" s="135">
        <f>IF(U$2="x",(_xlfn.RANK.EQ(Tabel4246[[#This Row],[Kolom16]],U$5:U$35)),0)</f>
        <v>0</v>
      </c>
      <c r="BT24" s="135">
        <f>Tabel4246[[#This Row],[Kolom29127]]*BS$2</f>
        <v>0</v>
      </c>
      <c r="BU24" s="135">
        <f>IF(V$2="x",(_xlfn.RANK.EQ(Tabel4246[[#This Row],[Kolom173]],V$5:V$35)),0)</f>
        <v>0</v>
      </c>
      <c r="BV24" s="135">
        <f>Tabel4246[[#This Row],[Kolom29128]]*BU$2</f>
        <v>0</v>
      </c>
      <c r="BW24" s="135">
        <f>IF(W$2="x",(_xlfn.RANK.EQ(Tabel4246[[#This Row],[Kolom172]],W$5:W$35)),0)</f>
        <v>0</v>
      </c>
      <c r="BX24" s="135">
        <f>Tabel4246[[#This Row],[Kolom29129]]*BW$2</f>
        <v>0</v>
      </c>
      <c r="BY24" s="135">
        <f>IF(X$2="x",(_xlfn.RANK.EQ(Tabel4246[[#This Row],[Kolom18]],X$5:X$35)),0)</f>
        <v>0</v>
      </c>
      <c r="BZ24" s="135">
        <f>Tabel4246[[#This Row],[Kolom29130]]*BY$2</f>
        <v>0</v>
      </c>
      <c r="CA24" s="135">
        <f>IF(Y$2="x",(_xlfn.RANK.EQ(Tabel4246[[#This Row],[Kolom19]],Y$5:Y$35)),0)</f>
        <v>0</v>
      </c>
      <c r="CB24" s="135">
        <f>Tabel4246[[#This Row],[Kolom29131]]*CA$2</f>
        <v>0</v>
      </c>
      <c r="CC24" s="135">
        <f>IF(Z$2="x",(_xlfn.RANK.EQ(Tabel4246[[#This Row],[Kolom20]],Z$5:Z$35)),0)</f>
        <v>1</v>
      </c>
      <c r="CD24" s="135">
        <f>Tabel4246[[#This Row],[Kolom29132]]*CC$2</f>
        <v>1</v>
      </c>
      <c r="CE24" s="135">
        <f>IF(AA$2="x",(_xlfn.RANK.EQ(Tabel4246[[#This Row],[Kolom21]],AA$5:AA$35)),0)</f>
        <v>0</v>
      </c>
      <c r="CF24" s="135">
        <f>Tabel4246[[#This Row],[Kolom29133]]*CE$2</f>
        <v>0</v>
      </c>
      <c r="CG24" s="135">
        <f>IF(AB$2="x",(_xlfn.RANK.EQ(Tabel4246[[#This Row],[Kolom22]],AB$5:AB$35)),0)</f>
        <v>0</v>
      </c>
      <c r="CH24" s="135">
        <f>Tabel4246[[#This Row],[Kolom29134]]*CG$2</f>
        <v>0</v>
      </c>
      <c r="CI24" s="135">
        <f>IF(AC$2="x",(_xlfn.RANK.EQ(Tabel4246[[#This Row],[Kolom223]],AC$5:AC$35)),0)</f>
        <v>27</v>
      </c>
      <c r="CJ24" s="135">
        <f>Tabel4246[[#This Row],[Kolom29135]]*CI$2</f>
        <v>27</v>
      </c>
      <c r="CK24" s="135">
        <f>IF(AD$2="x",(_xlfn.RANK.EQ(Tabel4246[[#This Row],[Kolom222]],AD$5:AD$35)),0)</f>
        <v>0</v>
      </c>
      <c r="CL24" s="135">
        <f>Tabel4246[[#This Row],[Kolom29136]]*CK$2</f>
        <v>0</v>
      </c>
      <c r="CM24" s="135">
        <f t="shared" si="13"/>
        <v>3</v>
      </c>
      <c r="CN24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Row],[Kolom29130]]+CA24+Tabel4246[[#This Row],[Kolom29132]]+Tabel4246[[#This Row],[Kolom29133]]+Tabel4246[[#This Row],[Kolom29134]]+Tabel4246[[#This Row],[Kolom29135]]+Tabel4246[[#This Row],[Kolom29136]])/Tabel4246[[#This Row],[Kolom29137]]</f>
        <v>9.6666666666666661</v>
      </c>
      <c r="CO24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Row],[Kolom291302]]+CB24+Tabel4246[[#This Row],[Kolom291322]]+Tabel4246[[#This Row],[Kolom291332]]+Tabel4246[[#This Row],[Kolom291342]]+Tabel4246[[#This Row],[Kolom291352]]+Tabel4246[[#This Row],[Kolom291362]])/Tabel4246[[#This Row],[Kolom29137]]</f>
        <v>11</v>
      </c>
      <c r="CP24" s="142">
        <f>_xlfn.RANK.EQ(Tabel4246[[#This Row],[Kolom29138]],CN$5:CN$35,1)</f>
        <v>13</v>
      </c>
      <c r="CQ24" s="142">
        <f>_xlfn.RANK.EQ(Tabel4246[[#This Row],[Kolom291382]],CO$5:CO$35,1)</f>
        <v>4</v>
      </c>
    </row>
    <row r="25" spans="1:95">
      <c r="B25" s="21" t="str">
        <f>'Symptomen (alle)'!A22</f>
        <v xml:space="preserve">Dropsy/Septicaemia/Ascites </v>
      </c>
      <c r="C25">
        <f>'Symptomen (alle)'!B22</f>
        <v>0</v>
      </c>
      <c r="D25" s="21">
        <f>IF(D$2="x",'Symptomen (alle)'!C22,0)</f>
        <v>0</v>
      </c>
      <c r="E25" s="21">
        <f>IF(E$2="x",'Symptomen (alle)'!D22,0)</f>
        <v>0</v>
      </c>
      <c r="F25" s="21">
        <f>IF(F$2="x",'Symptomen (alle)'!E22,0)</f>
        <v>0</v>
      </c>
      <c r="G25" s="21">
        <f>IF(G$2="x",'Symptomen (alle)'!F22,0)</f>
        <v>0</v>
      </c>
      <c r="H25" s="21">
        <f>IF(H$2="x",'Symptomen (alle)'!G22,0)</f>
        <v>0</v>
      </c>
      <c r="I25" s="21">
        <f>IF(I$2="x",'Symptomen (alle)'!H22,0)</f>
        <v>0</v>
      </c>
      <c r="J25" s="21">
        <f>IF(J$2="x",'Symptomen (alle)'!I22,0)</f>
        <v>1</v>
      </c>
      <c r="K25" s="21">
        <f>IF(K$2="x",'Symptomen (alle)'!J22,0)</f>
        <v>0</v>
      </c>
      <c r="L25" s="21">
        <f>IF(L$2="x",'Symptomen (alle)'!K22,0)</f>
        <v>0</v>
      </c>
      <c r="M25" s="21">
        <f>IF(M$2="x",'Symptomen (alle)'!L22,0)</f>
        <v>0</v>
      </c>
      <c r="N25" s="21">
        <f>IF(N$2="x",'Symptomen (alle)'!M22,0)</f>
        <v>0</v>
      </c>
      <c r="O25" s="21">
        <f>IF(O$2="x",'Symptomen (alle)'!N22,0)</f>
        <v>0</v>
      </c>
      <c r="P25" s="21">
        <f>IF(P$2="x",'Symptomen (alle)'!O22,0)</f>
        <v>0</v>
      </c>
      <c r="Q25" s="21">
        <f>IF(Q$2="x",'Symptomen (alle)'!P22,0)</f>
        <v>0</v>
      </c>
      <c r="R25" s="21">
        <f>IF(R$2="x",'Symptomen (alle)'!Q22,0)</f>
        <v>0</v>
      </c>
      <c r="S25" s="21">
        <f>IF(S$2="x",'Symptomen (alle)'!R22,0)</f>
        <v>0</v>
      </c>
      <c r="T25" s="21">
        <f>IF(T$2="x",'Symptomen (alle)'!S22,0)</f>
        <v>0</v>
      </c>
      <c r="U25" s="21">
        <f>IF(U$2="x",'Symptomen (alle)'!T22,0)</f>
        <v>0</v>
      </c>
      <c r="V25" s="21">
        <f>IF(V$2="x",'Symptomen (alle)'!U22,0)</f>
        <v>0</v>
      </c>
      <c r="W25" s="21">
        <f>IF(W$2="x",'Symptomen (alle)'!V22,0)</f>
        <v>0</v>
      </c>
      <c r="X25" s="21">
        <f>IF(X$2="x",'Symptomen (alle)'!W22,0)</f>
        <v>0</v>
      </c>
      <c r="Y25" s="21">
        <f>IF(Y$2="x",'Symptomen (alle)'!X22,0)</f>
        <v>0</v>
      </c>
      <c r="Z25" s="21">
        <f>IF(Z$2="x",'Symptomen (alle)'!Y22,0)</f>
        <v>3</v>
      </c>
      <c r="AA25" s="21">
        <f>IF(AA$2="x",'Symptomen (alle)'!Z22,0)</f>
        <v>0</v>
      </c>
      <c r="AB25" s="21">
        <f>IF(AB$2="x",'Symptomen (alle)'!AA22,0)</f>
        <v>0</v>
      </c>
      <c r="AC25" s="21">
        <f>IF(AC$2="x",'Symptomen (alle)'!AB22,0)</f>
        <v>1</v>
      </c>
      <c r="AD25" s="21">
        <f>IF(AD$2="x",'Symptomen (alle)'!AC22,0)</f>
        <v>0</v>
      </c>
      <c r="AE25" s="21">
        <f t="shared" si="11"/>
        <v>5</v>
      </c>
      <c r="AF25" s="21">
        <f>HLOOKUP($B$2,ZiekteFam!$B$1:$T$32,AG25,FALSE)</f>
        <v>3</v>
      </c>
      <c r="AG25" s="32">
        <f t="shared" si="12"/>
        <v>22</v>
      </c>
      <c r="AH25" s="32">
        <f>SUM('Symptomen (alle)'!D22:AC22)</f>
        <v>44</v>
      </c>
      <c r="AI25" s="22">
        <f>Tabel4246[[#This Row],[Kolom25]]/Tabel4246[[#This Row],[Kolom28]]</f>
        <v>0.11363636363636363</v>
      </c>
      <c r="AJ25" s="22"/>
      <c r="AK25" s="22">
        <f>Tabel4246[[#This Row],[Kolom29]]</f>
        <v>0.11363636363636363</v>
      </c>
      <c r="AL25" s="36">
        <f>_xlfn.RANK.EQ(Tabel4246[[#This Row],[Kolom29]],$AI$5:$AI$35)</f>
        <v>30</v>
      </c>
      <c r="AM25" s="135">
        <f>IF(E$2="x",(_xlfn.RANK.EQ(Tabel4246[[#This Row],[Kolom3]],E$5:E$35)),0)</f>
        <v>0</v>
      </c>
      <c r="AN25" s="135">
        <f>Tabel4246[[#This Row],[Kolom2911]]*AM$2</f>
        <v>0</v>
      </c>
      <c r="AO25" s="135">
        <f>IF(F$2="x",(_xlfn.RANK.EQ(Tabel4246[[#This Row],[Kolom4]],F$5:F$35)),0)</f>
        <v>0</v>
      </c>
      <c r="AP25" s="135">
        <f>Tabel4246[[#This Row],[Kolom29112]]*AO$2</f>
        <v>0</v>
      </c>
      <c r="AQ25" s="135">
        <f>IF(G$2="x",(_xlfn.RANK.EQ(Tabel4246[[#This Row],[Kolom5]],G$5:G$35)),0)</f>
        <v>0</v>
      </c>
      <c r="AR25" s="135">
        <f>Tabel4246[[#This Row],[Kolom29113]]*AQ$2</f>
        <v>0</v>
      </c>
      <c r="AS25" s="135">
        <f>IF(H$2="x",(_xlfn.RANK.EQ(Tabel4246[[#This Row],[Kolom6]],H$5:H$35)),0)</f>
        <v>0</v>
      </c>
      <c r="AT25" s="135">
        <f>Tabel4246[[#This Row],[Kolom29114]]*AS$2</f>
        <v>0</v>
      </c>
      <c r="AU25" s="135">
        <f>IF(I$2="x",(_xlfn.RANK.EQ(Tabel4246[[#This Row],[Kolom62]],I$5:I$35)),0)</f>
        <v>0</v>
      </c>
      <c r="AV25" s="135">
        <f>Tabel4246[[#This Row],[Kolom29115]]*AU$2</f>
        <v>0</v>
      </c>
      <c r="AW25" s="135">
        <f>IF(J$2="x",(_xlfn.RANK.EQ(Tabel4246[[#This Row],[Kolom7]],J$5:J$35)),0)</f>
        <v>16</v>
      </c>
      <c r="AX25" s="135">
        <f>Tabel4246[[#This Row],[Kolom29116]]*AW$2</f>
        <v>80</v>
      </c>
      <c r="AY25" s="135">
        <f>IF(K$2="x",(_xlfn.RANK.EQ(Tabel4246[[#This Row],[Kolom72]],K$5:K$35)),0)</f>
        <v>0</v>
      </c>
      <c r="AZ25" s="135">
        <f>Tabel4246[[#This Row],[Kolom29117]]*AY$2</f>
        <v>0</v>
      </c>
      <c r="BA25" s="135">
        <f>IF(L$2="x",(_xlfn.RANK.EQ(Tabel4246[[#This Row],[Kolom8]],L$5:L$35)),0)</f>
        <v>0</v>
      </c>
      <c r="BB25" s="135">
        <f>Tabel4246[[#This Row],[Kolom29118]]*BA$2</f>
        <v>0</v>
      </c>
      <c r="BC25" s="135">
        <f>IF(M$2="x",(_xlfn.RANK.EQ(Tabel4246[[#This Row],[Kolom9]],M$5:M$35)),0)</f>
        <v>0</v>
      </c>
      <c r="BD25" s="135">
        <f>Tabel4246[[#This Row],[Kolom29119]]*BC$2</f>
        <v>0</v>
      </c>
      <c r="BE25" s="135">
        <f>IF(N$2="x",(_xlfn.RANK.EQ(Tabel4246[[#This Row],[Kolom10]],N$5:N$35)),0)</f>
        <v>0</v>
      </c>
      <c r="BF25" s="135">
        <f>Tabel4246[[#This Row],[Kolom29120]]*BE$2</f>
        <v>0</v>
      </c>
      <c r="BG25" s="135">
        <f>IF(O$2="x",(_xlfn.RANK.EQ(Tabel4246[[#This Row],[Kolom11]],O$5:O$35)),0)</f>
        <v>0</v>
      </c>
      <c r="BH25" s="135">
        <f>Tabel4246[[#This Row],[Kolom29121]]*BG$2</f>
        <v>0</v>
      </c>
      <c r="BI25" s="135">
        <f>IF(P$2="x",(_xlfn.RANK.EQ(Tabel4246[[#This Row],[Kolom12]],P$5:P$35)),0)</f>
        <v>0</v>
      </c>
      <c r="BJ25" s="135">
        <f>Tabel4246[[#This Row],[Kolom29122]]*BI$2</f>
        <v>0</v>
      </c>
      <c r="BK25" s="135">
        <f>IF(Q$2="x",(_xlfn.RANK.EQ(Tabel4246[[#This Row],[Kolom13]],Q$5:Q$35)),0)</f>
        <v>0</v>
      </c>
      <c r="BL25" s="135">
        <f>Tabel4246[[#This Row],[Kolom29123]]*BK$2</f>
        <v>0</v>
      </c>
      <c r="BM25" s="135">
        <f>IF(R$2="x",(_xlfn.RANK.EQ(Tabel4246[[#This Row],[Kolom133]],R$5:R$35)),0)</f>
        <v>0</v>
      </c>
      <c r="BN25" s="135">
        <f>Tabel4246[[#This Row],[Kolom29124]]*BM$2</f>
        <v>0</v>
      </c>
      <c r="BO25" s="135">
        <f>IF(S$2="x",(_xlfn.RANK.EQ(Tabel4246[[#This Row],[Kolom132]],S$5:S$35)),0)</f>
        <v>0</v>
      </c>
      <c r="BP25" s="135">
        <f>Tabel4246[[#This Row],[Kolom29125]]*BO$2</f>
        <v>0</v>
      </c>
      <c r="BQ25" s="135">
        <f>IF(T$2="x",(_xlfn.RANK.EQ(Tabel4246[[#This Row],[Kolom14]],T$5:T$35)),0)</f>
        <v>0</v>
      </c>
      <c r="BR25" s="135">
        <f>Tabel4246[[#This Row],[Kolom29126]]*BQ$2</f>
        <v>0</v>
      </c>
      <c r="BS25" s="135">
        <f>IF(U$2="x",(_xlfn.RANK.EQ(Tabel4246[[#This Row],[Kolom16]],U$5:U$35)),0)</f>
        <v>0</v>
      </c>
      <c r="BT25" s="135">
        <f>Tabel4246[[#This Row],[Kolom29127]]*BS$2</f>
        <v>0</v>
      </c>
      <c r="BU25" s="135">
        <f>IF(V$2="x",(_xlfn.RANK.EQ(Tabel4246[[#This Row],[Kolom173]],V$5:V$35)),0)</f>
        <v>0</v>
      </c>
      <c r="BV25" s="135">
        <f>Tabel4246[[#This Row],[Kolom29128]]*BU$2</f>
        <v>0</v>
      </c>
      <c r="BW25" s="135">
        <f>IF(W$2="x",(_xlfn.RANK.EQ(Tabel4246[[#This Row],[Kolom172]],W$5:W$35)),0)</f>
        <v>0</v>
      </c>
      <c r="BX25" s="135">
        <f>Tabel4246[[#This Row],[Kolom29129]]*BW$2</f>
        <v>0</v>
      </c>
      <c r="BY25" s="135">
        <f>IF(X$2="x",(_xlfn.RANK.EQ(Tabel4246[[#This Row],[Kolom18]],X$5:X$35)),0)</f>
        <v>0</v>
      </c>
      <c r="BZ25" s="135">
        <f>Tabel4246[[#This Row],[Kolom29130]]*BY$2</f>
        <v>0</v>
      </c>
      <c r="CA25" s="135">
        <f>IF(Y$2="x",(_xlfn.RANK.EQ(Tabel4246[[#This Row],[Kolom19]],Y$5:Y$35)),0)</f>
        <v>0</v>
      </c>
      <c r="CB25" s="135">
        <f>Tabel4246[[#This Row],[Kolom29131]]*CA$2</f>
        <v>0</v>
      </c>
      <c r="CC25" s="135">
        <f>IF(Z$2="x",(_xlfn.RANK.EQ(Tabel4246[[#This Row],[Kolom20]],Z$5:Z$35)),0)</f>
        <v>3</v>
      </c>
      <c r="CD25" s="135">
        <f>Tabel4246[[#This Row],[Kolom29132]]*CC$2</f>
        <v>3</v>
      </c>
      <c r="CE25" s="135">
        <f>IF(AA$2="x",(_xlfn.RANK.EQ(Tabel4246[[#This Row],[Kolom21]],AA$5:AA$35)),0)</f>
        <v>0</v>
      </c>
      <c r="CF25" s="135">
        <f>Tabel4246[[#This Row],[Kolom29133]]*CE$2</f>
        <v>0</v>
      </c>
      <c r="CG25" s="135">
        <f>IF(AB$2="x",(_xlfn.RANK.EQ(Tabel4246[[#This Row],[Kolom22]],AB$5:AB$35)),0)</f>
        <v>0</v>
      </c>
      <c r="CH25" s="135">
        <f>Tabel4246[[#This Row],[Kolom29134]]*CG$2</f>
        <v>0</v>
      </c>
      <c r="CI25" s="135">
        <f>IF(AC$2="x",(_xlfn.RANK.EQ(Tabel4246[[#This Row],[Kolom223]],AC$5:AC$35)),0)</f>
        <v>27</v>
      </c>
      <c r="CJ25" s="135">
        <f>Tabel4246[[#This Row],[Kolom29135]]*CI$2</f>
        <v>27</v>
      </c>
      <c r="CK25" s="135">
        <f>IF(AD$2="x",(_xlfn.RANK.EQ(Tabel4246[[#This Row],[Kolom222]],AD$5:AD$35)),0)</f>
        <v>0</v>
      </c>
      <c r="CL25" s="135">
        <f>Tabel4246[[#This Row],[Kolom29136]]*CK$2</f>
        <v>0</v>
      </c>
      <c r="CM25" s="135">
        <f t="shared" si="13"/>
        <v>3</v>
      </c>
      <c r="CN25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Row],[Kolom29130]]+CA25+Tabel4246[[#This Row],[Kolom29132]]+Tabel4246[[#This Row],[Kolom29133]]+Tabel4246[[#This Row],[Kolom29134]]+Tabel4246[[#This Row],[Kolom29135]]+Tabel4246[[#This Row],[Kolom29136]])/Tabel4246[[#This Row],[Kolom29137]]</f>
        <v>15.333333333333334</v>
      </c>
      <c r="CO25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Row],[Kolom291302]]+CB25+Tabel4246[[#This Row],[Kolom291322]]+Tabel4246[[#This Row],[Kolom291332]]+Tabel4246[[#This Row],[Kolom291342]]+Tabel4246[[#This Row],[Kolom291352]]+Tabel4246[[#This Row],[Kolom291362]])/Tabel4246[[#This Row],[Kolom29137]]</f>
        <v>36.666666666666664</v>
      </c>
      <c r="CP25" s="142">
        <f>_xlfn.RANK.EQ(Tabel4246[[#This Row],[Kolom29138]],CN$5:CN$35,1)</f>
        <v>25</v>
      </c>
      <c r="CQ25" s="142">
        <f>_xlfn.RANK.EQ(Tabel4246[[#This Row],[Kolom291382]],CO$5:CO$35,1)</f>
        <v>18</v>
      </c>
    </row>
    <row r="26" spans="1:95" s="61" customFormat="1">
      <c r="B26" s="59" t="str">
        <f>'Symptomen (alle)'!A23</f>
        <v>Mycobacteria, Fish tuberculosis, TB, FishTB, FishMB</v>
      </c>
      <c r="C26" s="83">
        <f>'Symptomen (alle)'!B23</f>
        <v>0</v>
      </c>
      <c r="D26" s="21">
        <f>IF(D$2="x",'Symptomen (alle)'!C23,0)</f>
        <v>0</v>
      </c>
      <c r="E26" s="21">
        <f>IF(E$2="x",'Symptomen (alle)'!D23,0)</f>
        <v>0</v>
      </c>
      <c r="F26" s="21">
        <f>IF(F$2="x",'Symptomen (alle)'!E23,0)</f>
        <v>0</v>
      </c>
      <c r="G26" s="21">
        <f>IF(G$2="x",'Symptomen (alle)'!F23,0)</f>
        <v>0</v>
      </c>
      <c r="H26" s="21">
        <f>IF(H$2="x",'Symptomen (alle)'!G23,0)</f>
        <v>0</v>
      </c>
      <c r="I26" s="21">
        <f>IF(I$2="x",'Symptomen (alle)'!H23,0)</f>
        <v>0</v>
      </c>
      <c r="J26" s="21">
        <f>IF(J$2="x",'Symptomen (alle)'!I23,0)</f>
        <v>2</v>
      </c>
      <c r="K26" s="21">
        <f>IF(K$2="x",'Symptomen (alle)'!J23,0)</f>
        <v>0</v>
      </c>
      <c r="L26" s="21">
        <f>IF(L$2="x",'Symptomen (alle)'!K23,0)</f>
        <v>0</v>
      </c>
      <c r="M26" s="21">
        <f>IF(M$2="x",'Symptomen (alle)'!L23,0)</f>
        <v>0</v>
      </c>
      <c r="N26" s="21">
        <f>IF(N$2="x",'Symptomen (alle)'!M23,0)</f>
        <v>0</v>
      </c>
      <c r="O26" s="21">
        <f>IF(O$2="x",'Symptomen (alle)'!N23,0)</f>
        <v>0</v>
      </c>
      <c r="P26" s="21">
        <f>IF(P$2="x",'Symptomen (alle)'!O23,0)</f>
        <v>0</v>
      </c>
      <c r="Q26" s="21">
        <f>IF(Q$2="x",'Symptomen (alle)'!P23,0)</f>
        <v>0</v>
      </c>
      <c r="R26" s="21">
        <f>IF(R$2="x",'Symptomen (alle)'!Q23,0)</f>
        <v>0</v>
      </c>
      <c r="S26" s="21">
        <f>IF(S$2="x",'Symptomen (alle)'!R23,0)</f>
        <v>0</v>
      </c>
      <c r="T26" s="21">
        <f>IF(T$2="x",'Symptomen (alle)'!S23,0)</f>
        <v>0</v>
      </c>
      <c r="U26" s="21">
        <f>IF(U$2="x",'Symptomen (alle)'!T23,0)</f>
        <v>0</v>
      </c>
      <c r="V26" s="21">
        <f>IF(V$2="x",'Symptomen (alle)'!U23,0)</f>
        <v>0</v>
      </c>
      <c r="W26" s="21">
        <f>IF(W$2="x",'Symptomen (alle)'!V23,0)</f>
        <v>0</v>
      </c>
      <c r="X26" s="21">
        <f>IF(X$2="x",'Symptomen (alle)'!W23,0)</f>
        <v>0</v>
      </c>
      <c r="Y26" s="21">
        <f>IF(Y$2="x",'Symptomen (alle)'!X23,0)</f>
        <v>0</v>
      </c>
      <c r="Z26" s="21">
        <f>IF(Z$2="x",'Symptomen (alle)'!Y23,0)</f>
        <v>1</v>
      </c>
      <c r="AA26" s="21">
        <f>IF(AA$2="x",'Symptomen (alle)'!Z23,0)</f>
        <v>0</v>
      </c>
      <c r="AB26" s="21">
        <f>IF(AB$2="x",'Symptomen (alle)'!AA23,0)</f>
        <v>0</v>
      </c>
      <c r="AC26" s="21">
        <f>IF(AC$2="x",'Symptomen (alle)'!AB23,0)</f>
        <v>10</v>
      </c>
      <c r="AD26" s="21">
        <f>IF(AD$2="x",'Symptomen (alle)'!AC23,0)</f>
        <v>0</v>
      </c>
      <c r="AE26" s="21">
        <f t="shared" si="11"/>
        <v>13</v>
      </c>
      <c r="AF26" s="21">
        <f>HLOOKUP($B$2,ZiekteFam!$B$1:$T$32,AG26,FALSE)</f>
        <v>3</v>
      </c>
      <c r="AG26" s="32">
        <f t="shared" si="12"/>
        <v>23</v>
      </c>
      <c r="AH26" s="32">
        <f>SUM('Symptomen (alle)'!D23:AC23)</f>
        <v>50</v>
      </c>
      <c r="AI26" s="85">
        <f>Tabel4246[[#This Row],[Kolom25]]/Tabel4246[[#This Row],[Kolom28]]</f>
        <v>0.26</v>
      </c>
      <c r="AJ26" s="85"/>
      <c r="AK26" s="85">
        <f>Tabel4246[[#This Row],[Kolom29]]</f>
        <v>0.26</v>
      </c>
      <c r="AL26" s="36">
        <f>_xlfn.RANK.EQ(Tabel4246[[#This Row],[Kolom29]],$AI$5:$AI$35)</f>
        <v>13</v>
      </c>
      <c r="AM26" s="135">
        <f>IF(E$2="x",(_xlfn.RANK.EQ(Tabel4246[[#This Row],[Kolom3]],E$5:E$35)),0)</f>
        <v>0</v>
      </c>
      <c r="AN26" s="135">
        <f>Tabel4246[[#This Row],[Kolom2911]]*AM$2</f>
        <v>0</v>
      </c>
      <c r="AO26" s="135">
        <f>IF(F$2="x",(_xlfn.RANK.EQ(Tabel4246[[#This Row],[Kolom4]],F$5:F$35)),0)</f>
        <v>0</v>
      </c>
      <c r="AP26" s="135">
        <f>Tabel4246[[#This Row],[Kolom29112]]*AO$2</f>
        <v>0</v>
      </c>
      <c r="AQ26" s="135">
        <f>IF(G$2="x",(_xlfn.RANK.EQ(Tabel4246[[#This Row],[Kolom5]],G$5:G$35)),0)</f>
        <v>0</v>
      </c>
      <c r="AR26" s="135">
        <f>Tabel4246[[#This Row],[Kolom29113]]*AQ$2</f>
        <v>0</v>
      </c>
      <c r="AS26" s="135">
        <f>IF(H$2="x",(_xlfn.RANK.EQ(Tabel4246[[#This Row],[Kolom6]],H$5:H$35)),0)</f>
        <v>0</v>
      </c>
      <c r="AT26" s="135">
        <f>Tabel4246[[#This Row],[Kolom29114]]*AS$2</f>
        <v>0</v>
      </c>
      <c r="AU26" s="135">
        <f>IF(I$2="x",(_xlfn.RANK.EQ(Tabel4246[[#This Row],[Kolom62]],I$5:I$35)),0)</f>
        <v>0</v>
      </c>
      <c r="AV26" s="135">
        <f>Tabel4246[[#This Row],[Kolom29115]]*AU$2</f>
        <v>0</v>
      </c>
      <c r="AW26" s="135">
        <f>IF(J$2="x",(_xlfn.RANK.EQ(Tabel4246[[#This Row],[Kolom7]],J$5:J$35)),0)</f>
        <v>7</v>
      </c>
      <c r="AX26" s="135">
        <f>Tabel4246[[#This Row],[Kolom29116]]*AW$2</f>
        <v>35</v>
      </c>
      <c r="AY26" s="135">
        <f>IF(K$2="x",(_xlfn.RANK.EQ(Tabel4246[[#This Row],[Kolom72]],K$5:K$35)),0)</f>
        <v>0</v>
      </c>
      <c r="AZ26" s="135">
        <f>Tabel4246[[#This Row],[Kolom29117]]*AY$2</f>
        <v>0</v>
      </c>
      <c r="BA26" s="135">
        <f>IF(L$2="x",(_xlfn.RANK.EQ(Tabel4246[[#This Row],[Kolom8]],L$5:L$35)),0)</f>
        <v>0</v>
      </c>
      <c r="BB26" s="135">
        <f>Tabel4246[[#This Row],[Kolom29118]]*BA$2</f>
        <v>0</v>
      </c>
      <c r="BC26" s="135">
        <f>IF(M$2="x",(_xlfn.RANK.EQ(Tabel4246[[#This Row],[Kolom9]],M$5:M$35)),0)</f>
        <v>0</v>
      </c>
      <c r="BD26" s="135">
        <f>Tabel4246[[#This Row],[Kolom29119]]*BC$2</f>
        <v>0</v>
      </c>
      <c r="BE26" s="135">
        <f>IF(N$2="x",(_xlfn.RANK.EQ(Tabel4246[[#This Row],[Kolom10]],N$5:N$35)),0)</f>
        <v>0</v>
      </c>
      <c r="BF26" s="135">
        <f>Tabel4246[[#This Row],[Kolom29120]]*BE$2</f>
        <v>0</v>
      </c>
      <c r="BG26" s="135">
        <f>IF(O$2="x",(_xlfn.RANK.EQ(Tabel4246[[#This Row],[Kolom11]],O$5:O$35)),0)</f>
        <v>0</v>
      </c>
      <c r="BH26" s="135">
        <f>Tabel4246[[#This Row],[Kolom29121]]*BG$2</f>
        <v>0</v>
      </c>
      <c r="BI26" s="135">
        <f>IF(P$2="x",(_xlfn.RANK.EQ(Tabel4246[[#This Row],[Kolom12]],P$5:P$35)),0)</f>
        <v>0</v>
      </c>
      <c r="BJ26" s="135">
        <f>Tabel4246[[#This Row],[Kolom29122]]*BI$2</f>
        <v>0</v>
      </c>
      <c r="BK26" s="135">
        <f>IF(Q$2="x",(_xlfn.RANK.EQ(Tabel4246[[#This Row],[Kolom13]],Q$5:Q$35)),0)</f>
        <v>0</v>
      </c>
      <c r="BL26" s="135">
        <f>Tabel4246[[#This Row],[Kolom29123]]*BK$2</f>
        <v>0</v>
      </c>
      <c r="BM26" s="135">
        <f>IF(R$2="x",(_xlfn.RANK.EQ(Tabel4246[[#This Row],[Kolom133]],R$5:R$35)),0)</f>
        <v>0</v>
      </c>
      <c r="BN26" s="135">
        <f>Tabel4246[[#This Row],[Kolom29124]]*BM$2</f>
        <v>0</v>
      </c>
      <c r="BO26" s="135">
        <f>IF(S$2="x",(_xlfn.RANK.EQ(Tabel4246[[#This Row],[Kolom132]],S$5:S$35)),0)</f>
        <v>0</v>
      </c>
      <c r="BP26" s="135">
        <f>Tabel4246[[#This Row],[Kolom29125]]*BO$2</f>
        <v>0</v>
      </c>
      <c r="BQ26" s="135">
        <f>IF(T$2="x",(_xlfn.RANK.EQ(Tabel4246[[#This Row],[Kolom14]],T$5:T$35)),0)</f>
        <v>0</v>
      </c>
      <c r="BR26" s="135">
        <f>Tabel4246[[#This Row],[Kolom29126]]*BQ$2</f>
        <v>0</v>
      </c>
      <c r="BS26" s="135">
        <f>IF(U$2="x",(_xlfn.RANK.EQ(Tabel4246[[#This Row],[Kolom16]],U$5:U$35)),0)</f>
        <v>0</v>
      </c>
      <c r="BT26" s="135">
        <f>Tabel4246[[#This Row],[Kolom29127]]*BS$2</f>
        <v>0</v>
      </c>
      <c r="BU26" s="135">
        <f>IF(V$2="x",(_xlfn.RANK.EQ(Tabel4246[[#This Row],[Kolom173]],V$5:V$35)),0)</f>
        <v>0</v>
      </c>
      <c r="BV26" s="135">
        <f>Tabel4246[[#This Row],[Kolom29128]]*BU$2</f>
        <v>0</v>
      </c>
      <c r="BW26" s="135">
        <f>IF(W$2="x",(_xlfn.RANK.EQ(Tabel4246[[#This Row],[Kolom172]],W$5:W$35)),0)</f>
        <v>0</v>
      </c>
      <c r="BX26" s="135">
        <f>Tabel4246[[#This Row],[Kolom29129]]*BW$2</f>
        <v>0</v>
      </c>
      <c r="BY26" s="135">
        <f>IF(X$2="x",(_xlfn.RANK.EQ(Tabel4246[[#This Row],[Kolom18]],X$5:X$35)),0)</f>
        <v>0</v>
      </c>
      <c r="BZ26" s="135">
        <f>Tabel4246[[#This Row],[Kolom29130]]*BY$2</f>
        <v>0</v>
      </c>
      <c r="CA26" s="135">
        <f>IF(Y$2="x",(_xlfn.RANK.EQ(Tabel4246[[#This Row],[Kolom19]],Y$5:Y$35)),0)</f>
        <v>0</v>
      </c>
      <c r="CB26" s="135">
        <f>Tabel4246[[#This Row],[Kolom29131]]*CA$2</f>
        <v>0</v>
      </c>
      <c r="CC26" s="135">
        <f>IF(Z$2="x",(_xlfn.RANK.EQ(Tabel4246[[#This Row],[Kolom20]],Z$5:Z$35)),0)</f>
        <v>20</v>
      </c>
      <c r="CD26" s="135">
        <f>Tabel4246[[#This Row],[Kolom29132]]*CC$2</f>
        <v>20</v>
      </c>
      <c r="CE26" s="135">
        <f>IF(AA$2="x",(_xlfn.RANK.EQ(Tabel4246[[#This Row],[Kolom21]],AA$5:AA$35)),0)</f>
        <v>0</v>
      </c>
      <c r="CF26" s="135">
        <f>Tabel4246[[#This Row],[Kolom29133]]*CE$2</f>
        <v>0</v>
      </c>
      <c r="CG26" s="135">
        <f>IF(AB$2="x",(_xlfn.RANK.EQ(Tabel4246[[#This Row],[Kolom22]],AB$5:AB$35)),0)</f>
        <v>0</v>
      </c>
      <c r="CH26" s="135">
        <f>Tabel4246[[#This Row],[Kolom29134]]*CG$2</f>
        <v>0</v>
      </c>
      <c r="CI26" s="135">
        <f>IF(AC$2="x",(_xlfn.RANK.EQ(Tabel4246[[#This Row],[Kolom223]],AC$5:AC$35)),0)</f>
        <v>1</v>
      </c>
      <c r="CJ26" s="135">
        <f>Tabel4246[[#This Row],[Kolom29135]]*CI$2</f>
        <v>1</v>
      </c>
      <c r="CK26" s="135">
        <f>IF(AD$2="x",(_xlfn.RANK.EQ(Tabel4246[[#This Row],[Kolom222]],AD$5:AD$35)),0)</f>
        <v>0</v>
      </c>
      <c r="CL26" s="135">
        <f>Tabel4246[[#This Row],[Kolom29136]]*CK$2</f>
        <v>0</v>
      </c>
      <c r="CM26" s="135">
        <f t="shared" si="13"/>
        <v>3</v>
      </c>
      <c r="CN26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Row],[Kolom29130]]+CA26+Tabel4246[[#This Row],[Kolom29132]]+Tabel4246[[#This Row],[Kolom29133]]+Tabel4246[[#This Row],[Kolom29134]]+Tabel4246[[#This Row],[Kolom29135]]+Tabel4246[[#This Row],[Kolom29136]])/Tabel4246[[#This Row],[Kolom29137]]</f>
        <v>9.3333333333333339</v>
      </c>
      <c r="CO26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Row],[Kolom291302]]+CB26+Tabel4246[[#This Row],[Kolom291322]]+Tabel4246[[#This Row],[Kolom291332]]+Tabel4246[[#This Row],[Kolom291342]]+Tabel4246[[#This Row],[Kolom291352]]+Tabel4246[[#This Row],[Kolom291362]])/Tabel4246[[#This Row],[Kolom29137]]</f>
        <v>18.666666666666668</v>
      </c>
      <c r="CP26" s="142">
        <f>_xlfn.RANK.EQ(Tabel4246[[#This Row],[Kolom29138]],CN$5:CN$35,1)</f>
        <v>10</v>
      </c>
      <c r="CQ26" s="142">
        <f>_xlfn.RANK.EQ(Tabel4246[[#This Row],[Kolom291382]],CO$5:CO$35,1)</f>
        <v>11</v>
      </c>
    </row>
    <row r="27" spans="1:95" s="61" customFormat="1">
      <c r="B27" s="59" t="str">
        <f>'Symptomen (alle)'!A24</f>
        <v>Bacterial infection, Other</v>
      </c>
      <c r="C27" s="83">
        <f>'Symptomen (alle)'!B24</f>
        <v>0</v>
      </c>
      <c r="D27" s="21">
        <f>IF(D$2="x",'Symptomen (alle)'!C24,0)</f>
        <v>0</v>
      </c>
      <c r="E27" s="21">
        <f>IF(E$2="x",'Symptomen (alle)'!D24,0)</f>
        <v>0</v>
      </c>
      <c r="F27" s="21">
        <f>IF(F$2="x",'Symptomen (alle)'!E24,0)</f>
        <v>0</v>
      </c>
      <c r="G27" s="21">
        <f>IF(G$2="x",'Symptomen (alle)'!F24,0)</f>
        <v>0</v>
      </c>
      <c r="H27" s="21">
        <f>IF(H$2="x",'Symptomen (alle)'!G24,0)</f>
        <v>0</v>
      </c>
      <c r="I27" s="21">
        <f>IF(I$2="x",'Symptomen (alle)'!H24,0)</f>
        <v>0</v>
      </c>
      <c r="J27" s="21">
        <f>IF(J$2="x",'Symptomen (alle)'!I24,0)</f>
        <v>2</v>
      </c>
      <c r="K27" s="21">
        <f>IF(K$2="x",'Symptomen (alle)'!J24,0)</f>
        <v>0</v>
      </c>
      <c r="L27" s="21">
        <f>IF(L$2="x",'Symptomen (alle)'!K24,0)</f>
        <v>0</v>
      </c>
      <c r="M27" s="21">
        <f>IF(M$2="x",'Symptomen (alle)'!L24,0)</f>
        <v>0</v>
      </c>
      <c r="N27" s="21">
        <f>IF(N$2="x",'Symptomen (alle)'!M24,0)</f>
        <v>0</v>
      </c>
      <c r="O27" s="21">
        <f>IF(O$2="x",'Symptomen (alle)'!N24,0)</f>
        <v>0</v>
      </c>
      <c r="P27" s="21">
        <f>IF(P$2="x",'Symptomen (alle)'!O24,0)</f>
        <v>0</v>
      </c>
      <c r="Q27" s="21">
        <f>IF(Q$2="x",'Symptomen (alle)'!P24,0)</f>
        <v>0</v>
      </c>
      <c r="R27" s="21">
        <f>IF(R$2="x",'Symptomen (alle)'!Q24,0)</f>
        <v>0</v>
      </c>
      <c r="S27" s="21">
        <f>IF(S$2="x",'Symptomen (alle)'!R24,0)</f>
        <v>0</v>
      </c>
      <c r="T27" s="21">
        <f>IF(T$2="x",'Symptomen (alle)'!S24,0)</f>
        <v>0</v>
      </c>
      <c r="U27" s="21">
        <f>IF(U$2="x",'Symptomen (alle)'!T24,0)</f>
        <v>0</v>
      </c>
      <c r="V27" s="21">
        <f>IF(V$2="x",'Symptomen (alle)'!U24,0)</f>
        <v>0</v>
      </c>
      <c r="W27" s="21">
        <f>IF(W$2="x",'Symptomen (alle)'!V24,0)</f>
        <v>0</v>
      </c>
      <c r="X27" s="21">
        <f>IF(X$2="x",'Symptomen (alle)'!W24,0)</f>
        <v>0</v>
      </c>
      <c r="Y27" s="21">
        <f>IF(Y$2="x",'Symptomen (alle)'!X24,0)</f>
        <v>0</v>
      </c>
      <c r="Z27" s="21">
        <f>IF(Z$2="x",'Symptomen (alle)'!Y24,0)</f>
        <v>3</v>
      </c>
      <c r="AA27" s="21">
        <f>IF(AA$2="x",'Symptomen (alle)'!Z24,0)</f>
        <v>0</v>
      </c>
      <c r="AB27" s="21">
        <f>IF(AB$2="x",'Symptomen (alle)'!AA24,0)</f>
        <v>0</v>
      </c>
      <c r="AC27" s="21">
        <f>IF(AC$2="x",'Symptomen (alle)'!AB24,0)</f>
        <v>2</v>
      </c>
      <c r="AD27" s="21">
        <f>IF(AD$2="x",'Symptomen (alle)'!AC24,0)</f>
        <v>0</v>
      </c>
      <c r="AE27" s="21">
        <f t="shared" si="11"/>
        <v>7</v>
      </c>
      <c r="AF27" s="21">
        <f>HLOOKUP($B$2,ZiekteFam!$B$1:$T$32,AG27,FALSE)</f>
        <v>3</v>
      </c>
      <c r="AG27" s="32">
        <f t="shared" si="12"/>
        <v>24</v>
      </c>
      <c r="AH27" s="32">
        <f>SUM('Symptomen (alle)'!D24:AC24)</f>
        <v>34</v>
      </c>
      <c r="AI27" s="85">
        <f>Tabel4246[[#This Row],[Kolom25]]/Tabel4246[[#This Row],[Kolom28]]</f>
        <v>0.20588235294117646</v>
      </c>
      <c r="AJ27" s="85"/>
      <c r="AK27" s="85">
        <f>Tabel4246[[#This Row],[Kolom29]]</f>
        <v>0.20588235294117646</v>
      </c>
      <c r="AL27" s="36">
        <f>_xlfn.RANK.EQ(Tabel4246[[#This Row],[Kolom29]],$AI$5:$AI$35)</f>
        <v>15</v>
      </c>
      <c r="AM27" s="135">
        <f>IF(E$2="x",(_xlfn.RANK.EQ(Tabel4246[[#This Row],[Kolom3]],E$5:E$35)),0)</f>
        <v>0</v>
      </c>
      <c r="AN27" s="135">
        <f>Tabel4246[[#This Row],[Kolom2911]]*AM$2</f>
        <v>0</v>
      </c>
      <c r="AO27" s="135">
        <f>IF(F$2="x",(_xlfn.RANK.EQ(Tabel4246[[#This Row],[Kolom4]],F$5:F$35)),0)</f>
        <v>0</v>
      </c>
      <c r="AP27" s="135">
        <f>Tabel4246[[#This Row],[Kolom29112]]*AO$2</f>
        <v>0</v>
      </c>
      <c r="AQ27" s="135">
        <f>IF(G$2="x",(_xlfn.RANK.EQ(Tabel4246[[#This Row],[Kolom5]],G$5:G$35)),0)</f>
        <v>0</v>
      </c>
      <c r="AR27" s="135">
        <f>Tabel4246[[#This Row],[Kolom29113]]*AQ$2</f>
        <v>0</v>
      </c>
      <c r="AS27" s="135">
        <f>IF(H$2="x",(_xlfn.RANK.EQ(Tabel4246[[#This Row],[Kolom6]],H$5:H$35)),0)</f>
        <v>0</v>
      </c>
      <c r="AT27" s="135">
        <f>Tabel4246[[#This Row],[Kolom29114]]*AS$2</f>
        <v>0</v>
      </c>
      <c r="AU27" s="135">
        <f>IF(I$2="x",(_xlfn.RANK.EQ(Tabel4246[[#This Row],[Kolom62]],I$5:I$35)),0)</f>
        <v>0</v>
      </c>
      <c r="AV27" s="135">
        <f>Tabel4246[[#This Row],[Kolom29115]]*AU$2</f>
        <v>0</v>
      </c>
      <c r="AW27" s="135">
        <f>IF(J$2="x",(_xlfn.RANK.EQ(Tabel4246[[#This Row],[Kolom7]],J$5:J$35)),0)</f>
        <v>7</v>
      </c>
      <c r="AX27" s="135">
        <f>Tabel4246[[#This Row],[Kolom29116]]*AW$2</f>
        <v>35</v>
      </c>
      <c r="AY27" s="135">
        <f>IF(K$2="x",(_xlfn.RANK.EQ(Tabel4246[[#This Row],[Kolom72]],K$5:K$35)),0)</f>
        <v>0</v>
      </c>
      <c r="AZ27" s="135">
        <f>Tabel4246[[#This Row],[Kolom29117]]*AY$2</f>
        <v>0</v>
      </c>
      <c r="BA27" s="135">
        <f>IF(L$2="x",(_xlfn.RANK.EQ(Tabel4246[[#This Row],[Kolom8]],L$5:L$35)),0)</f>
        <v>0</v>
      </c>
      <c r="BB27" s="135">
        <f>Tabel4246[[#This Row],[Kolom29118]]*BA$2</f>
        <v>0</v>
      </c>
      <c r="BC27" s="135">
        <f>IF(M$2="x",(_xlfn.RANK.EQ(Tabel4246[[#This Row],[Kolom9]],M$5:M$35)),0)</f>
        <v>0</v>
      </c>
      <c r="BD27" s="135">
        <f>Tabel4246[[#This Row],[Kolom29119]]*BC$2</f>
        <v>0</v>
      </c>
      <c r="BE27" s="135">
        <f>IF(N$2="x",(_xlfn.RANK.EQ(Tabel4246[[#This Row],[Kolom10]],N$5:N$35)),0)</f>
        <v>0</v>
      </c>
      <c r="BF27" s="135">
        <f>Tabel4246[[#This Row],[Kolom29120]]*BE$2</f>
        <v>0</v>
      </c>
      <c r="BG27" s="135">
        <f>IF(O$2="x",(_xlfn.RANK.EQ(Tabel4246[[#This Row],[Kolom11]],O$5:O$35)),0)</f>
        <v>0</v>
      </c>
      <c r="BH27" s="135">
        <f>Tabel4246[[#This Row],[Kolom29121]]*BG$2</f>
        <v>0</v>
      </c>
      <c r="BI27" s="135">
        <f>IF(P$2="x",(_xlfn.RANK.EQ(Tabel4246[[#This Row],[Kolom12]],P$5:P$35)),0)</f>
        <v>0</v>
      </c>
      <c r="BJ27" s="135">
        <f>Tabel4246[[#This Row],[Kolom29122]]*BI$2</f>
        <v>0</v>
      </c>
      <c r="BK27" s="135">
        <f>IF(Q$2="x",(_xlfn.RANK.EQ(Tabel4246[[#This Row],[Kolom13]],Q$5:Q$35)),0)</f>
        <v>0</v>
      </c>
      <c r="BL27" s="135">
        <f>Tabel4246[[#This Row],[Kolom29123]]*BK$2</f>
        <v>0</v>
      </c>
      <c r="BM27" s="135">
        <f>IF(R$2="x",(_xlfn.RANK.EQ(Tabel4246[[#This Row],[Kolom133]],R$5:R$35)),0)</f>
        <v>0</v>
      </c>
      <c r="BN27" s="135">
        <f>Tabel4246[[#This Row],[Kolom29124]]*BM$2</f>
        <v>0</v>
      </c>
      <c r="BO27" s="135">
        <f>IF(S$2="x",(_xlfn.RANK.EQ(Tabel4246[[#This Row],[Kolom132]],S$5:S$35)),0)</f>
        <v>0</v>
      </c>
      <c r="BP27" s="135">
        <f>Tabel4246[[#This Row],[Kolom29125]]*BO$2</f>
        <v>0</v>
      </c>
      <c r="BQ27" s="135">
        <f>IF(T$2="x",(_xlfn.RANK.EQ(Tabel4246[[#This Row],[Kolom14]],T$5:T$35)),0)</f>
        <v>0</v>
      </c>
      <c r="BR27" s="135">
        <f>Tabel4246[[#This Row],[Kolom29126]]*BQ$2</f>
        <v>0</v>
      </c>
      <c r="BS27" s="135">
        <f>IF(U$2="x",(_xlfn.RANK.EQ(Tabel4246[[#This Row],[Kolom16]],U$5:U$35)),0)</f>
        <v>0</v>
      </c>
      <c r="BT27" s="135">
        <f>Tabel4246[[#This Row],[Kolom29127]]*BS$2</f>
        <v>0</v>
      </c>
      <c r="BU27" s="135">
        <f>IF(V$2="x",(_xlfn.RANK.EQ(Tabel4246[[#This Row],[Kolom173]],V$5:V$35)),0)</f>
        <v>0</v>
      </c>
      <c r="BV27" s="135">
        <f>Tabel4246[[#This Row],[Kolom29128]]*BU$2</f>
        <v>0</v>
      </c>
      <c r="BW27" s="135">
        <f>IF(W$2="x",(_xlfn.RANK.EQ(Tabel4246[[#This Row],[Kolom172]],W$5:W$35)),0)</f>
        <v>0</v>
      </c>
      <c r="BX27" s="135">
        <f>Tabel4246[[#This Row],[Kolom29129]]*BW$2</f>
        <v>0</v>
      </c>
      <c r="BY27" s="135">
        <f>IF(X$2="x",(_xlfn.RANK.EQ(Tabel4246[[#This Row],[Kolom18]],X$5:X$35)),0)</f>
        <v>0</v>
      </c>
      <c r="BZ27" s="135">
        <f>Tabel4246[[#This Row],[Kolom29130]]*BY$2</f>
        <v>0</v>
      </c>
      <c r="CA27" s="135">
        <f>IF(Y$2="x",(_xlfn.RANK.EQ(Tabel4246[[#This Row],[Kolom19]],Y$5:Y$35)),0)</f>
        <v>0</v>
      </c>
      <c r="CB27" s="135">
        <f>Tabel4246[[#This Row],[Kolom29131]]*CA$2</f>
        <v>0</v>
      </c>
      <c r="CC27" s="135">
        <f>IF(Z$2="x",(_xlfn.RANK.EQ(Tabel4246[[#This Row],[Kolom20]],Z$5:Z$35)),0)</f>
        <v>3</v>
      </c>
      <c r="CD27" s="135">
        <f>Tabel4246[[#This Row],[Kolom29132]]*CC$2</f>
        <v>3</v>
      </c>
      <c r="CE27" s="135">
        <f>IF(AA$2="x",(_xlfn.RANK.EQ(Tabel4246[[#This Row],[Kolom21]],AA$5:AA$35)),0)</f>
        <v>0</v>
      </c>
      <c r="CF27" s="135">
        <f>Tabel4246[[#This Row],[Kolom29133]]*CE$2</f>
        <v>0</v>
      </c>
      <c r="CG27" s="135">
        <f>IF(AB$2="x",(_xlfn.RANK.EQ(Tabel4246[[#This Row],[Kolom22]],AB$5:AB$35)),0)</f>
        <v>0</v>
      </c>
      <c r="CH27" s="135">
        <f>Tabel4246[[#This Row],[Kolom29134]]*CG$2</f>
        <v>0</v>
      </c>
      <c r="CI27" s="135">
        <f>IF(AC$2="x",(_xlfn.RANK.EQ(Tabel4246[[#This Row],[Kolom223]],AC$5:AC$35)),0)</f>
        <v>17</v>
      </c>
      <c r="CJ27" s="135">
        <f>Tabel4246[[#This Row],[Kolom29135]]*CI$2</f>
        <v>17</v>
      </c>
      <c r="CK27" s="135">
        <f>IF(AD$2="x",(_xlfn.RANK.EQ(Tabel4246[[#This Row],[Kolom222]],AD$5:AD$35)),0)</f>
        <v>0</v>
      </c>
      <c r="CL27" s="135">
        <f>Tabel4246[[#This Row],[Kolom29136]]*CK$2</f>
        <v>0</v>
      </c>
      <c r="CM27" s="135">
        <f t="shared" si="13"/>
        <v>3</v>
      </c>
      <c r="CN27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Row],[Kolom29130]]+CA27+Tabel4246[[#This Row],[Kolom29132]]+Tabel4246[[#This Row],[Kolom29133]]+Tabel4246[[#This Row],[Kolom29134]]+Tabel4246[[#This Row],[Kolom29135]]+Tabel4246[[#This Row],[Kolom29136]])/Tabel4246[[#This Row],[Kolom29137]]</f>
        <v>9</v>
      </c>
      <c r="CO27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Row],[Kolom291302]]+CB27+Tabel4246[[#This Row],[Kolom291322]]+Tabel4246[[#This Row],[Kolom291332]]+Tabel4246[[#This Row],[Kolom291342]]+Tabel4246[[#This Row],[Kolom291352]]+Tabel4246[[#This Row],[Kolom291362]])/Tabel4246[[#This Row],[Kolom29137]]</f>
        <v>18.333333333333332</v>
      </c>
      <c r="CP27" s="142">
        <f>_xlfn.RANK.EQ(Tabel4246[[#This Row],[Kolom29138]],CN$5:CN$35,1)</f>
        <v>5</v>
      </c>
      <c r="CQ27" s="142">
        <f>_xlfn.RANK.EQ(Tabel4246[[#This Row],[Kolom291382]],CO$5:CO$35,1)</f>
        <v>8</v>
      </c>
    </row>
    <row r="28" spans="1:95">
      <c r="A28" s="61"/>
      <c r="B28" s="21" t="str">
        <f>'Symptomen (alle)'!A25</f>
        <v>Lymphocystis/Cauliflower disease</v>
      </c>
      <c r="C28" s="21">
        <f>'Symptomen (alle)'!B25</f>
        <v>1</v>
      </c>
      <c r="D28" s="21">
        <f>IF(D$2="x",'Symptomen (alle)'!C25,0)</f>
        <v>0</v>
      </c>
      <c r="E28" s="21">
        <f>IF(E$2="x",'Symptomen (alle)'!D25,0)</f>
        <v>0</v>
      </c>
      <c r="F28" s="21">
        <f>IF(F$2="x",'Symptomen (alle)'!E25,0)</f>
        <v>0</v>
      </c>
      <c r="G28" s="21">
        <f>IF(G$2="x",'Symptomen (alle)'!F25,0)</f>
        <v>0</v>
      </c>
      <c r="H28" s="21">
        <f>IF(H$2="x",'Symptomen (alle)'!G25,0)</f>
        <v>0</v>
      </c>
      <c r="I28" s="21">
        <f>IF(I$2="x",'Symptomen (alle)'!H25,0)</f>
        <v>0</v>
      </c>
      <c r="J28" s="21">
        <f>IF(J$2="x",'Symptomen (alle)'!I25,0)</f>
        <v>1</v>
      </c>
      <c r="K28" s="21">
        <f>IF(K$2="x",'Symptomen (alle)'!J25,0)</f>
        <v>0</v>
      </c>
      <c r="L28" s="21">
        <f>IF(L$2="x",'Symptomen (alle)'!K25,0)</f>
        <v>0</v>
      </c>
      <c r="M28" s="21">
        <f>IF(M$2="x",'Symptomen (alle)'!L25,0)</f>
        <v>0</v>
      </c>
      <c r="N28" s="21">
        <f>IF(N$2="x",'Symptomen (alle)'!M25,0)</f>
        <v>0</v>
      </c>
      <c r="O28" s="21">
        <f>IF(O$2="x",'Symptomen (alle)'!N25,0)</f>
        <v>0</v>
      </c>
      <c r="P28" s="21">
        <f>IF(P$2="x",'Symptomen (alle)'!O25,0)</f>
        <v>0</v>
      </c>
      <c r="Q28" s="21">
        <f>IF(Q$2="x",'Symptomen (alle)'!P25,0)</f>
        <v>0</v>
      </c>
      <c r="R28" s="21">
        <f>IF(R$2="x",'Symptomen (alle)'!Q25,0)</f>
        <v>0</v>
      </c>
      <c r="S28" s="21">
        <f>IF(S$2="x",'Symptomen (alle)'!R25,0)</f>
        <v>0</v>
      </c>
      <c r="T28" s="21">
        <f>IF(T$2="x",'Symptomen (alle)'!S25,0)</f>
        <v>0</v>
      </c>
      <c r="U28" s="21">
        <f>IF(U$2="x",'Symptomen (alle)'!T25,0)</f>
        <v>0</v>
      </c>
      <c r="V28" s="21">
        <f>IF(V$2="x",'Symptomen (alle)'!U25,0)</f>
        <v>0</v>
      </c>
      <c r="W28" s="21">
        <f>IF(W$2="x",'Symptomen (alle)'!V25,0)</f>
        <v>0</v>
      </c>
      <c r="X28" s="21">
        <f>IF(X$2="x",'Symptomen (alle)'!W25,0)</f>
        <v>0</v>
      </c>
      <c r="Y28" s="21">
        <f>IF(Y$2="x",'Symptomen (alle)'!X25,0)</f>
        <v>0</v>
      </c>
      <c r="Z28" s="21">
        <f>IF(Z$2="x",'Symptomen (alle)'!Y25,0)</f>
        <v>1</v>
      </c>
      <c r="AA28" s="21">
        <f>IF(AA$2="x",'Symptomen (alle)'!Z25,0)</f>
        <v>0</v>
      </c>
      <c r="AB28" s="21">
        <f>IF(AB$2="x",'Symptomen (alle)'!AA25,0)</f>
        <v>0</v>
      </c>
      <c r="AC28" s="21">
        <f>IF(AC$2="x",'Symptomen (alle)'!AB25,0)</f>
        <v>3</v>
      </c>
      <c r="AD28" s="21">
        <f>IF(AD$2="x",'Symptomen (alle)'!AC25,0)</f>
        <v>0</v>
      </c>
      <c r="AE28" s="21">
        <f t="shared" si="11"/>
        <v>5</v>
      </c>
      <c r="AF28" s="21">
        <f>HLOOKUP($B$2,ZiekteFam!$B$1:$T$32,AG28,FALSE)</f>
        <v>0</v>
      </c>
      <c r="AG28" s="32">
        <f t="shared" si="12"/>
        <v>25</v>
      </c>
      <c r="AH28" s="32">
        <f>SUM('Symptomen (alle)'!D25:AC25)</f>
        <v>40</v>
      </c>
      <c r="AI28" s="22">
        <f>Tabel4246[[#This Row],[Kolom25]]/Tabel4246[[#This Row],[Kolom28]]</f>
        <v>0.125</v>
      </c>
      <c r="AJ28" s="22"/>
      <c r="AK28" s="22">
        <f>Tabel4246[[#This Row],[Kolom29]]</f>
        <v>0.125</v>
      </c>
      <c r="AL28" s="36">
        <f>_xlfn.RANK.EQ(Tabel4246[[#This Row],[Kolom29]],$AI$5:$AI$35)</f>
        <v>27</v>
      </c>
      <c r="AM28" s="135">
        <f>IF(E$2="x",(_xlfn.RANK.EQ(Tabel4246[[#This Row],[Kolom3]],E$5:E$35)),0)</f>
        <v>0</v>
      </c>
      <c r="AN28" s="135">
        <f>Tabel4246[[#This Row],[Kolom2911]]*AM$2</f>
        <v>0</v>
      </c>
      <c r="AO28" s="135">
        <f>IF(F$2="x",(_xlfn.RANK.EQ(Tabel4246[[#This Row],[Kolom4]],F$5:F$35)),0)</f>
        <v>0</v>
      </c>
      <c r="AP28" s="135">
        <f>Tabel4246[[#This Row],[Kolom29112]]*AO$2</f>
        <v>0</v>
      </c>
      <c r="AQ28" s="135">
        <f>IF(G$2="x",(_xlfn.RANK.EQ(Tabel4246[[#This Row],[Kolom5]],G$5:G$35)),0)</f>
        <v>0</v>
      </c>
      <c r="AR28" s="135">
        <f>Tabel4246[[#This Row],[Kolom29113]]*AQ$2</f>
        <v>0</v>
      </c>
      <c r="AS28" s="135">
        <f>IF(H$2="x",(_xlfn.RANK.EQ(Tabel4246[[#This Row],[Kolom6]],H$5:H$35)),0)</f>
        <v>0</v>
      </c>
      <c r="AT28" s="135">
        <f>Tabel4246[[#This Row],[Kolom29114]]*AS$2</f>
        <v>0</v>
      </c>
      <c r="AU28" s="135">
        <f>IF(I$2="x",(_xlfn.RANK.EQ(Tabel4246[[#This Row],[Kolom62]],I$5:I$35)),0)</f>
        <v>0</v>
      </c>
      <c r="AV28" s="135">
        <f>Tabel4246[[#This Row],[Kolom29115]]*AU$2</f>
        <v>0</v>
      </c>
      <c r="AW28" s="135">
        <f>IF(J$2="x",(_xlfn.RANK.EQ(Tabel4246[[#This Row],[Kolom7]],J$5:J$35)),0)</f>
        <v>16</v>
      </c>
      <c r="AX28" s="135">
        <f>Tabel4246[[#This Row],[Kolom29116]]*AW$2</f>
        <v>80</v>
      </c>
      <c r="AY28" s="135">
        <f>IF(K$2="x",(_xlfn.RANK.EQ(Tabel4246[[#This Row],[Kolom72]],K$5:K$35)),0)</f>
        <v>0</v>
      </c>
      <c r="AZ28" s="135">
        <f>Tabel4246[[#This Row],[Kolom29117]]*AY$2</f>
        <v>0</v>
      </c>
      <c r="BA28" s="135">
        <f>IF(L$2="x",(_xlfn.RANK.EQ(Tabel4246[[#This Row],[Kolom8]],L$5:L$35)),0)</f>
        <v>0</v>
      </c>
      <c r="BB28" s="135">
        <f>Tabel4246[[#This Row],[Kolom29118]]*BA$2</f>
        <v>0</v>
      </c>
      <c r="BC28" s="135">
        <f>IF(M$2="x",(_xlfn.RANK.EQ(Tabel4246[[#This Row],[Kolom9]],M$5:M$35)),0)</f>
        <v>0</v>
      </c>
      <c r="BD28" s="135">
        <f>Tabel4246[[#This Row],[Kolom29119]]*BC$2</f>
        <v>0</v>
      </c>
      <c r="BE28" s="135">
        <f>IF(N$2="x",(_xlfn.RANK.EQ(Tabel4246[[#This Row],[Kolom10]],N$5:N$35)),0)</f>
        <v>0</v>
      </c>
      <c r="BF28" s="135">
        <f>Tabel4246[[#This Row],[Kolom29120]]*BE$2</f>
        <v>0</v>
      </c>
      <c r="BG28" s="135">
        <f>IF(O$2="x",(_xlfn.RANK.EQ(Tabel4246[[#This Row],[Kolom11]],O$5:O$35)),0)</f>
        <v>0</v>
      </c>
      <c r="BH28" s="135">
        <f>Tabel4246[[#This Row],[Kolom29121]]*BG$2</f>
        <v>0</v>
      </c>
      <c r="BI28" s="135">
        <f>IF(P$2="x",(_xlfn.RANK.EQ(Tabel4246[[#This Row],[Kolom12]],P$5:P$35)),0)</f>
        <v>0</v>
      </c>
      <c r="BJ28" s="135">
        <f>Tabel4246[[#This Row],[Kolom29122]]*BI$2</f>
        <v>0</v>
      </c>
      <c r="BK28" s="135">
        <f>IF(Q$2="x",(_xlfn.RANK.EQ(Tabel4246[[#This Row],[Kolom13]],Q$5:Q$35)),0)</f>
        <v>0</v>
      </c>
      <c r="BL28" s="135">
        <f>Tabel4246[[#This Row],[Kolom29123]]*BK$2</f>
        <v>0</v>
      </c>
      <c r="BM28" s="135">
        <f>IF(R$2="x",(_xlfn.RANK.EQ(Tabel4246[[#This Row],[Kolom133]],R$5:R$35)),0)</f>
        <v>0</v>
      </c>
      <c r="BN28" s="135">
        <f>Tabel4246[[#This Row],[Kolom29124]]*BM$2</f>
        <v>0</v>
      </c>
      <c r="BO28" s="135">
        <f>IF(S$2="x",(_xlfn.RANK.EQ(Tabel4246[[#This Row],[Kolom132]],S$5:S$35)),0)</f>
        <v>0</v>
      </c>
      <c r="BP28" s="135">
        <f>Tabel4246[[#This Row],[Kolom29125]]*BO$2</f>
        <v>0</v>
      </c>
      <c r="BQ28" s="135">
        <f>IF(T$2="x",(_xlfn.RANK.EQ(Tabel4246[[#This Row],[Kolom14]],T$5:T$35)),0)</f>
        <v>0</v>
      </c>
      <c r="BR28" s="135">
        <f>Tabel4246[[#This Row],[Kolom29126]]*BQ$2</f>
        <v>0</v>
      </c>
      <c r="BS28" s="135">
        <f>IF(U$2="x",(_xlfn.RANK.EQ(Tabel4246[[#This Row],[Kolom16]],U$5:U$35)),0)</f>
        <v>0</v>
      </c>
      <c r="BT28" s="135">
        <f>Tabel4246[[#This Row],[Kolom29127]]*BS$2</f>
        <v>0</v>
      </c>
      <c r="BU28" s="135">
        <f>IF(V$2="x",(_xlfn.RANK.EQ(Tabel4246[[#This Row],[Kolom173]],V$5:V$35)),0)</f>
        <v>0</v>
      </c>
      <c r="BV28" s="135">
        <f>Tabel4246[[#This Row],[Kolom29128]]*BU$2</f>
        <v>0</v>
      </c>
      <c r="BW28" s="135">
        <f>IF(W$2="x",(_xlfn.RANK.EQ(Tabel4246[[#This Row],[Kolom172]],W$5:W$35)),0)</f>
        <v>0</v>
      </c>
      <c r="BX28" s="135">
        <f>Tabel4246[[#This Row],[Kolom29129]]*BW$2</f>
        <v>0</v>
      </c>
      <c r="BY28" s="135">
        <f>IF(X$2="x",(_xlfn.RANK.EQ(Tabel4246[[#This Row],[Kolom18]],X$5:X$35)),0)</f>
        <v>0</v>
      </c>
      <c r="BZ28" s="135">
        <f>Tabel4246[[#This Row],[Kolom29130]]*BY$2</f>
        <v>0</v>
      </c>
      <c r="CA28" s="135">
        <f>IF(Y$2="x",(_xlfn.RANK.EQ(Tabel4246[[#This Row],[Kolom19]],Y$5:Y$35)),0)</f>
        <v>0</v>
      </c>
      <c r="CB28" s="135">
        <f>Tabel4246[[#This Row],[Kolom29131]]*CA$2</f>
        <v>0</v>
      </c>
      <c r="CC28" s="135">
        <f>IF(Z$2="x",(_xlfn.RANK.EQ(Tabel4246[[#This Row],[Kolom20]],Z$5:Z$35)),0)</f>
        <v>20</v>
      </c>
      <c r="CD28" s="135">
        <f>Tabel4246[[#This Row],[Kolom29132]]*CC$2</f>
        <v>20</v>
      </c>
      <c r="CE28" s="135">
        <f>IF(AA$2="x",(_xlfn.RANK.EQ(Tabel4246[[#This Row],[Kolom21]],AA$5:AA$35)),0)</f>
        <v>0</v>
      </c>
      <c r="CF28" s="135">
        <f>Tabel4246[[#This Row],[Kolom29133]]*CE$2</f>
        <v>0</v>
      </c>
      <c r="CG28" s="135">
        <f>IF(AB$2="x",(_xlfn.RANK.EQ(Tabel4246[[#This Row],[Kolom22]],AB$5:AB$35)),0)</f>
        <v>0</v>
      </c>
      <c r="CH28" s="135">
        <f>Tabel4246[[#This Row],[Kolom29134]]*CG$2</f>
        <v>0</v>
      </c>
      <c r="CI28" s="135">
        <f>IF(AC$2="x",(_xlfn.RANK.EQ(Tabel4246[[#This Row],[Kolom223]],AC$5:AC$35)),0)</f>
        <v>7</v>
      </c>
      <c r="CJ28" s="135">
        <f>Tabel4246[[#This Row],[Kolom29135]]*CI$2</f>
        <v>7</v>
      </c>
      <c r="CK28" s="135">
        <f>IF(AD$2="x",(_xlfn.RANK.EQ(Tabel4246[[#This Row],[Kolom222]],AD$5:AD$35)),0)</f>
        <v>0</v>
      </c>
      <c r="CL28" s="135">
        <f>Tabel4246[[#This Row],[Kolom29136]]*CK$2</f>
        <v>0</v>
      </c>
      <c r="CM28" s="135">
        <f t="shared" si="13"/>
        <v>3</v>
      </c>
      <c r="CN28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Row],[Kolom29130]]+CA28+Tabel4246[[#This Row],[Kolom29132]]+Tabel4246[[#This Row],[Kolom29133]]+Tabel4246[[#This Row],[Kolom29134]]+Tabel4246[[#This Row],[Kolom29135]]+Tabel4246[[#This Row],[Kolom29136]])/Tabel4246[[#This Row],[Kolom29137]]</f>
        <v>14.333333333333334</v>
      </c>
      <c r="CO28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Row],[Kolom291302]]+CB28+Tabel4246[[#This Row],[Kolom291322]]+Tabel4246[[#This Row],[Kolom291332]]+Tabel4246[[#This Row],[Kolom291342]]+Tabel4246[[#This Row],[Kolom291352]]+Tabel4246[[#This Row],[Kolom291362]])/Tabel4246[[#This Row],[Kolom29137]]</f>
        <v>35.666666666666664</v>
      </c>
      <c r="CP28" s="142">
        <f>_xlfn.RANK.EQ(Tabel4246[[#This Row],[Kolom29138]],CN$5:CN$35,1)</f>
        <v>21</v>
      </c>
      <c r="CQ28" s="142">
        <f>_xlfn.RANK.EQ(Tabel4246[[#This Row],[Kolom291382]],CO$5:CO$35,1)</f>
        <v>17</v>
      </c>
    </row>
    <row r="29" spans="1:95">
      <c r="B29" s="21" t="str">
        <f>'Symptomen (alle)'!A26</f>
        <v>Discus /Angel fish pest</v>
      </c>
      <c r="C29" s="21">
        <f>'Symptomen (alle)'!B26</f>
        <v>0</v>
      </c>
      <c r="D29" s="21">
        <f>IF(D$2="x",'Symptomen (alle)'!C26,0)</f>
        <v>0</v>
      </c>
      <c r="E29" s="21">
        <f>IF(E$2="x",'Symptomen (alle)'!D26,0)</f>
        <v>0</v>
      </c>
      <c r="F29" s="21">
        <f>IF(F$2="x",'Symptomen (alle)'!E26,0)</f>
        <v>0</v>
      </c>
      <c r="G29" s="21">
        <f>IF(G$2="x",'Symptomen (alle)'!F26,0)</f>
        <v>0</v>
      </c>
      <c r="H29" s="21">
        <f>IF(H$2="x",'Symptomen (alle)'!G26,0)</f>
        <v>0</v>
      </c>
      <c r="I29" s="21">
        <f>IF(I$2="x",'Symptomen (alle)'!H26,0)</f>
        <v>0</v>
      </c>
      <c r="J29" s="21">
        <f>IF(J$2="x",'Symptomen (alle)'!I26,0)</f>
        <v>2</v>
      </c>
      <c r="K29" s="21">
        <f>IF(K$2="x",'Symptomen (alle)'!J26,0)</f>
        <v>0</v>
      </c>
      <c r="L29" s="21">
        <f>IF(L$2="x",'Symptomen (alle)'!K26,0)</f>
        <v>0</v>
      </c>
      <c r="M29" s="21">
        <f>IF(M$2="x",'Symptomen (alle)'!L26,0)</f>
        <v>0</v>
      </c>
      <c r="N29" s="21">
        <f>IF(N$2="x",'Symptomen (alle)'!M26,0)</f>
        <v>0</v>
      </c>
      <c r="O29" s="21">
        <f>IF(O$2="x",'Symptomen (alle)'!N26,0)</f>
        <v>0</v>
      </c>
      <c r="P29" s="21">
        <f>IF(P$2="x",'Symptomen (alle)'!O26,0)</f>
        <v>0</v>
      </c>
      <c r="Q29" s="21">
        <f>IF(Q$2="x",'Symptomen (alle)'!P26,0)</f>
        <v>0</v>
      </c>
      <c r="R29" s="21">
        <f>IF(R$2="x",'Symptomen (alle)'!Q26,0)</f>
        <v>0</v>
      </c>
      <c r="S29" s="21">
        <f>IF(S$2="x",'Symptomen (alle)'!R26,0)</f>
        <v>0</v>
      </c>
      <c r="T29" s="21">
        <f>IF(T$2="x",'Symptomen (alle)'!S26,0)</f>
        <v>0</v>
      </c>
      <c r="U29" s="21">
        <f>IF(U$2="x",'Symptomen (alle)'!T26,0)</f>
        <v>0</v>
      </c>
      <c r="V29" s="21">
        <f>IF(V$2="x",'Symptomen (alle)'!U26,0)</f>
        <v>0</v>
      </c>
      <c r="W29" s="21">
        <f>IF(W$2="x",'Symptomen (alle)'!V26,0)</f>
        <v>0</v>
      </c>
      <c r="X29" s="21">
        <f>IF(X$2="x",'Symptomen (alle)'!W26,0)</f>
        <v>0</v>
      </c>
      <c r="Y29" s="21">
        <f>IF(Y$2="x",'Symptomen (alle)'!X26,0)</f>
        <v>0</v>
      </c>
      <c r="Z29" s="21">
        <f>IF(Z$2="x",'Symptomen (alle)'!Y26,0)</f>
        <v>2</v>
      </c>
      <c r="AA29" s="21">
        <f>IF(AA$2="x",'Symptomen (alle)'!Z26,0)</f>
        <v>0</v>
      </c>
      <c r="AB29" s="21">
        <f>IF(AB$2="x",'Symptomen (alle)'!AA26,0)</f>
        <v>0</v>
      </c>
      <c r="AC29" s="21">
        <f>IF(AC$2="x",'Symptomen (alle)'!AB26,0)</f>
        <v>3</v>
      </c>
      <c r="AD29" s="21">
        <f>IF(AD$2="x",'Symptomen (alle)'!AC26,0)</f>
        <v>0</v>
      </c>
      <c r="AE29" s="21">
        <f t="shared" si="11"/>
        <v>7</v>
      </c>
      <c r="AF29" s="21">
        <f>HLOOKUP($B$2,ZiekteFam!$B$1:$T$32,AG29,FALSE)</f>
        <v>0</v>
      </c>
      <c r="AG29" s="32">
        <f t="shared" si="12"/>
        <v>26</v>
      </c>
      <c r="AH29" s="32">
        <f>SUM('Symptomen (alle)'!D26:AC26)</f>
        <v>38</v>
      </c>
      <c r="AI29" s="22">
        <f>Tabel4246[[#This Row],[Kolom25]]/Tabel4246[[#This Row],[Kolom28]]</f>
        <v>0.18421052631578946</v>
      </c>
      <c r="AJ29" s="22"/>
      <c r="AK29" s="22">
        <f>Tabel4246[[#This Row],[Kolom29]]</f>
        <v>0.18421052631578946</v>
      </c>
      <c r="AL29" s="36">
        <f>_xlfn.RANK.EQ(Tabel4246[[#This Row],[Kolom29]],$AI$5:$AI$35)</f>
        <v>17</v>
      </c>
      <c r="AM29" s="135">
        <f>IF(E$2="x",(_xlfn.RANK.EQ(Tabel4246[[#This Row],[Kolom3]],E$5:E$35)),0)</f>
        <v>0</v>
      </c>
      <c r="AN29" s="135">
        <f>Tabel4246[[#This Row],[Kolom2911]]*AM$2</f>
        <v>0</v>
      </c>
      <c r="AO29" s="135">
        <f>IF(F$2="x",(_xlfn.RANK.EQ(Tabel4246[[#This Row],[Kolom4]],F$5:F$35)),0)</f>
        <v>0</v>
      </c>
      <c r="AP29" s="135">
        <f>Tabel4246[[#This Row],[Kolom29112]]*AO$2</f>
        <v>0</v>
      </c>
      <c r="AQ29" s="135">
        <f>IF(G$2="x",(_xlfn.RANK.EQ(Tabel4246[[#This Row],[Kolom5]],G$5:G$35)),0)</f>
        <v>0</v>
      </c>
      <c r="AR29" s="135">
        <f>Tabel4246[[#This Row],[Kolom29113]]*AQ$2</f>
        <v>0</v>
      </c>
      <c r="AS29" s="135">
        <f>IF(H$2="x",(_xlfn.RANK.EQ(Tabel4246[[#This Row],[Kolom6]],H$5:H$35)),0)</f>
        <v>0</v>
      </c>
      <c r="AT29" s="135">
        <f>Tabel4246[[#This Row],[Kolom29114]]*AS$2</f>
        <v>0</v>
      </c>
      <c r="AU29" s="135">
        <f>IF(I$2="x",(_xlfn.RANK.EQ(Tabel4246[[#This Row],[Kolom62]],I$5:I$35)),0)</f>
        <v>0</v>
      </c>
      <c r="AV29" s="135">
        <f>Tabel4246[[#This Row],[Kolom29115]]*AU$2</f>
        <v>0</v>
      </c>
      <c r="AW29" s="135">
        <f>IF(J$2="x",(_xlfn.RANK.EQ(Tabel4246[[#This Row],[Kolom7]],J$5:J$35)),0)</f>
        <v>7</v>
      </c>
      <c r="AX29" s="135">
        <f>Tabel4246[[#This Row],[Kolom29116]]*AW$2</f>
        <v>35</v>
      </c>
      <c r="AY29" s="135">
        <f>IF(K$2="x",(_xlfn.RANK.EQ(Tabel4246[[#This Row],[Kolom72]],K$5:K$35)),0)</f>
        <v>0</v>
      </c>
      <c r="AZ29" s="135">
        <f>Tabel4246[[#This Row],[Kolom29117]]*AY$2</f>
        <v>0</v>
      </c>
      <c r="BA29" s="135">
        <f>IF(L$2="x",(_xlfn.RANK.EQ(Tabel4246[[#This Row],[Kolom8]],L$5:L$35)),0)</f>
        <v>0</v>
      </c>
      <c r="BB29" s="135">
        <f>Tabel4246[[#This Row],[Kolom29118]]*BA$2</f>
        <v>0</v>
      </c>
      <c r="BC29" s="135">
        <f>IF(M$2="x",(_xlfn.RANK.EQ(Tabel4246[[#This Row],[Kolom9]],M$5:M$35)),0)</f>
        <v>0</v>
      </c>
      <c r="BD29" s="135">
        <f>Tabel4246[[#This Row],[Kolom29119]]*BC$2</f>
        <v>0</v>
      </c>
      <c r="BE29" s="135">
        <f>IF(N$2="x",(_xlfn.RANK.EQ(Tabel4246[[#This Row],[Kolom10]],N$5:N$35)),0)</f>
        <v>0</v>
      </c>
      <c r="BF29" s="135">
        <f>Tabel4246[[#This Row],[Kolom29120]]*BE$2</f>
        <v>0</v>
      </c>
      <c r="BG29" s="135">
        <f>IF(O$2="x",(_xlfn.RANK.EQ(Tabel4246[[#This Row],[Kolom11]],O$5:O$35)),0)</f>
        <v>0</v>
      </c>
      <c r="BH29" s="135">
        <f>Tabel4246[[#This Row],[Kolom29121]]*BG$2</f>
        <v>0</v>
      </c>
      <c r="BI29" s="135">
        <f>IF(P$2="x",(_xlfn.RANK.EQ(Tabel4246[[#This Row],[Kolom12]],P$5:P$35)),0)</f>
        <v>0</v>
      </c>
      <c r="BJ29" s="135">
        <f>Tabel4246[[#This Row],[Kolom29122]]*BI$2</f>
        <v>0</v>
      </c>
      <c r="BK29" s="135">
        <f>IF(Q$2="x",(_xlfn.RANK.EQ(Tabel4246[[#This Row],[Kolom13]],Q$5:Q$35)),0)</f>
        <v>0</v>
      </c>
      <c r="BL29" s="135">
        <f>Tabel4246[[#This Row],[Kolom29123]]*BK$2</f>
        <v>0</v>
      </c>
      <c r="BM29" s="135">
        <f>IF(R$2="x",(_xlfn.RANK.EQ(Tabel4246[[#This Row],[Kolom133]],R$5:R$35)),0)</f>
        <v>0</v>
      </c>
      <c r="BN29" s="135">
        <f>Tabel4246[[#This Row],[Kolom29124]]*BM$2</f>
        <v>0</v>
      </c>
      <c r="BO29" s="135">
        <f>IF(S$2="x",(_xlfn.RANK.EQ(Tabel4246[[#This Row],[Kolom132]],S$5:S$35)),0)</f>
        <v>0</v>
      </c>
      <c r="BP29" s="135">
        <f>Tabel4246[[#This Row],[Kolom29125]]*BO$2</f>
        <v>0</v>
      </c>
      <c r="BQ29" s="135">
        <f>IF(T$2="x",(_xlfn.RANK.EQ(Tabel4246[[#This Row],[Kolom14]],T$5:T$35)),0)</f>
        <v>0</v>
      </c>
      <c r="BR29" s="135">
        <f>Tabel4246[[#This Row],[Kolom29126]]*BQ$2</f>
        <v>0</v>
      </c>
      <c r="BS29" s="135">
        <f>IF(U$2="x",(_xlfn.RANK.EQ(Tabel4246[[#This Row],[Kolom16]],U$5:U$35)),0)</f>
        <v>0</v>
      </c>
      <c r="BT29" s="135">
        <f>Tabel4246[[#This Row],[Kolom29127]]*BS$2</f>
        <v>0</v>
      </c>
      <c r="BU29" s="135">
        <f>IF(V$2="x",(_xlfn.RANK.EQ(Tabel4246[[#This Row],[Kolom173]],V$5:V$35)),0)</f>
        <v>0</v>
      </c>
      <c r="BV29" s="135">
        <f>Tabel4246[[#This Row],[Kolom29128]]*BU$2</f>
        <v>0</v>
      </c>
      <c r="BW29" s="135">
        <f>IF(W$2="x",(_xlfn.RANK.EQ(Tabel4246[[#This Row],[Kolom172]],W$5:W$35)),0)</f>
        <v>0</v>
      </c>
      <c r="BX29" s="135">
        <f>Tabel4246[[#This Row],[Kolom29129]]*BW$2</f>
        <v>0</v>
      </c>
      <c r="BY29" s="135">
        <f>IF(X$2="x",(_xlfn.RANK.EQ(Tabel4246[[#This Row],[Kolom18]],X$5:X$35)),0)</f>
        <v>0</v>
      </c>
      <c r="BZ29" s="135">
        <f>Tabel4246[[#This Row],[Kolom29130]]*BY$2</f>
        <v>0</v>
      </c>
      <c r="CA29" s="135">
        <f>IF(Y$2="x",(_xlfn.RANK.EQ(Tabel4246[[#This Row],[Kolom19]],Y$5:Y$35)),0)</f>
        <v>0</v>
      </c>
      <c r="CB29" s="135">
        <f>Tabel4246[[#This Row],[Kolom29131]]*CA$2</f>
        <v>0</v>
      </c>
      <c r="CC29" s="135">
        <f>IF(Z$2="x",(_xlfn.RANK.EQ(Tabel4246[[#This Row],[Kolom20]],Z$5:Z$35)),0)</f>
        <v>10</v>
      </c>
      <c r="CD29" s="135">
        <f>Tabel4246[[#This Row],[Kolom29132]]*CC$2</f>
        <v>10</v>
      </c>
      <c r="CE29" s="135">
        <f>IF(AA$2="x",(_xlfn.RANK.EQ(Tabel4246[[#This Row],[Kolom21]],AA$5:AA$35)),0)</f>
        <v>0</v>
      </c>
      <c r="CF29" s="135">
        <f>Tabel4246[[#This Row],[Kolom29133]]*CE$2</f>
        <v>0</v>
      </c>
      <c r="CG29" s="135">
        <f>IF(AB$2="x",(_xlfn.RANK.EQ(Tabel4246[[#This Row],[Kolom22]],AB$5:AB$35)),0)</f>
        <v>0</v>
      </c>
      <c r="CH29" s="135">
        <f>Tabel4246[[#This Row],[Kolom29134]]*CG$2</f>
        <v>0</v>
      </c>
      <c r="CI29" s="135">
        <f>IF(AC$2="x",(_xlfn.RANK.EQ(Tabel4246[[#This Row],[Kolom223]],AC$5:AC$35)),0)</f>
        <v>7</v>
      </c>
      <c r="CJ29" s="135">
        <f>Tabel4246[[#This Row],[Kolom29135]]*CI$2</f>
        <v>7</v>
      </c>
      <c r="CK29" s="135">
        <f>IF(AD$2="x",(_xlfn.RANK.EQ(Tabel4246[[#This Row],[Kolom222]],AD$5:AD$35)),0)</f>
        <v>0</v>
      </c>
      <c r="CL29" s="135">
        <f>Tabel4246[[#This Row],[Kolom29136]]*CK$2</f>
        <v>0</v>
      </c>
      <c r="CM29" s="135">
        <f t="shared" si="13"/>
        <v>3</v>
      </c>
      <c r="CN29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Row],[Kolom29130]]+CA29+Tabel4246[[#This Row],[Kolom29132]]+Tabel4246[[#This Row],[Kolom29133]]+Tabel4246[[#This Row],[Kolom29134]]+Tabel4246[[#This Row],[Kolom29135]]+Tabel4246[[#This Row],[Kolom29136]])/Tabel4246[[#This Row],[Kolom29137]]</f>
        <v>8</v>
      </c>
      <c r="CO29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Row],[Kolom291302]]+CB29+Tabel4246[[#This Row],[Kolom291322]]+Tabel4246[[#This Row],[Kolom291332]]+Tabel4246[[#This Row],[Kolom291342]]+Tabel4246[[#This Row],[Kolom291352]]+Tabel4246[[#This Row],[Kolom291362]])/Tabel4246[[#This Row],[Kolom29137]]</f>
        <v>17.333333333333332</v>
      </c>
      <c r="CP29" s="142">
        <f>_xlfn.RANK.EQ(Tabel4246[[#This Row],[Kolom29138]],CN$5:CN$35,1)</f>
        <v>2</v>
      </c>
      <c r="CQ29" s="142">
        <f>_xlfn.RANK.EQ(Tabel4246[[#This Row],[Kolom291382]],CO$5:CO$35,1)</f>
        <v>6</v>
      </c>
    </row>
    <row r="30" spans="1:95">
      <c r="B30" s="21" t="str">
        <f>'Symptomen (alle)'!A27</f>
        <v>KHV (Kou Herpes Virus)=coldwater</v>
      </c>
      <c r="C30">
        <f>'Symptomen (alle)'!B27</f>
        <v>0</v>
      </c>
      <c r="D30" s="21">
        <f>IF(D$2="x",'Symptomen (alle)'!C27,0)</f>
        <v>0</v>
      </c>
      <c r="E30" s="21">
        <f>IF(E$2="x",'Symptomen (alle)'!D27,0)</f>
        <v>0</v>
      </c>
      <c r="F30" s="21">
        <f>IF(F$2="x",'Symptomen (alle)'!E27,0)</f>
        <v>0</v>
      </c>
      <c r="G30" s="21">
        <f>IF(G$2="x",'Symptomen (alle)'!F27,0)</f>
        <v>0</v>
      </c>
      <c r="H30" s="21">
        <f>IF(H$2="x",'Symptomen (alle)'!G27,0)</f>
        <v>0</v>
      </c>
      <c r="I30" s="21">
        <f>IF(I$2="x",'Symptomen (alle)'!H27,0)</f>
        <v>0</v>
      </c>
      <c r="J30" s="21">
        <f>IF(J$2="x",'Symptomen (alle)'!I27,0)</f>
        <v>0</v>
      </c>
      <c r="K30" s="21">
        <f>IF(K$2="x",'Symptomen (alle)'!J27,0)</f>
        <v>0</v>
      </c>
      <c r="L30" s="21">
        <f>IF(L$2="x",'Symptomen (alle)'!K27,0)</f>
        <v>0</v>
      </c>
      <c r="M30" s="21">
        <f>IF(M$2="x",'Symptomen (alle)'!L27,0)</f>
        <v>0</v>
      </c>
      <c r="N30" s="21">
        <f>IF(N$2="x",'Symptomen (alle)'!M27,0)</f>
        <v>0</v>
      </c>
      <c r="O30" s="21">
        <f>IF(O$2="x",'Symptomen (alle)'!N27,0)</f>
        <v>0</v>
      </c>
      <c r="P30" s="21">
        <f>IF(P$2="x",'Symptomen (alle)'!O27,0)</f>
        <v>0</v>
      </c>
      <c r="Q30" s="21">
        <f>IF(Q$2="x",'Symptomen (alle)'!P27,0)</f>
        <v>0</v>
      </c>
      <c r="R30" s="21">
        <f>IF(R$2="x",'Symptomen (alle)'!Q27,0)</f>
        <v>0</v>
      </c>
      <c r="S30" s="21">
        <f>IF(S$2="x",'Symptomen (alle)'!R27,0)</f>
        <v>0</v>
      </c>
      <c r="T30" s="21">
        <f>IF(T$2="x",'Symptomen (alle)'!S27,0)</f>
        <v>0</v>
      </c>
      <c r="U30" s="21">
        <f>IF(U$2="x",'Symptomen (alle)'!T27,0)</f>
        <v>0</v>
      </c>
      <c r="V30" s="21">
        <f>IF(V$2="x",'Symptomen (alle)'!U27,0)</f>
        <v>0</v>
      </c>
      <c r="W30" s="21">
        <f>IF(W$2="x",'Symptomen (alle)'!V27,0)</f>
        <v>0</v>
      </c>
      <c r="X30" s="21">
        <f>IF(X$2="x",'Symptomen (alle)'!W27,0)</f>
        <v>0</v>
      </c>
      <c r="Y30" s="21">
        <f>IF(Y$2="x",'Symptomen (alle)'!X27,0)</f>
        <v>0</v>
      </c>
      <c r="Z30" s="21">
        <f>IF(Z$2="x",'Symptomen (alle)'!Y27,0)</f>
        <v>10</v>
      </c>
      <c r="AA30" s="21">
        <f>IF(AA$2="x",'Symptomen (alle)'!Z27,0)</f>
        <v>0</v>
      </c>
      <c r="AB30" s="21">
        <f>IF(AB$2="x",'Symptomen (alle)'!AA27,0)</f>
        <v>0</v>
      </c>
      <c r="AC30" s="21">
        <f>IF(AC$2="x",'Symptomen (alle)'!AB27,0)</f>
        <v>10</v>
      </c>
      <c r="AD30" s="21">
        <f>IF(AD$2="x",'Symptomen (alle)'!AC27,0)</f>
        <v>0</v>
      </c>
      <c r="AE30" s="21">
        <f t="shared" si="11"/>
        <v>20</v>
      </c>
      <c r="AF30" s="21">
        <f>HLOOKUP($B$2,ZiekteFam!$B$1:$T$32,AG30,FALSE)</f>
        <v>0</v>
      </c>
      <c r="AG30" s="32">
        <f t="shared" si="12"/>
        <v>27</v>
      </c>
      <c r="AH30" s="32">
        <f>SUM('Symptomen (alle)'!D27:AC27)</f>
        <v>53</v>
      </c>
      <c r="AI30" s="22">
        <f>Tabel4246[[#This Row],[Kolom25]]/Tabel4246[[#This Row],[Kolom28]]</f>
        <v>0.37735849056603776</v>
      </c>
      <c r="AJ30" s="22"/>
      <c r="AK30" s="22">
        <f>Tabel4246[[#This Row],[Kolom29]]</f>
        <v>0.37735849056603776</v>
      </c>
      <c r="AL30" s="36">
        <f>_xlfn.RANK.EQ(Tabel4246[[#This Row],[Kolom29]],$AI$5:$AI$35)</f>
        <v>6</v>
      </c>
      <c r="AM30" s="135">
        <f>IF(E$2="x",(_xlfn.RANK.EQ(Tabel4246[[#This Row],[Kolom3]],E$5:E$35)),0)</f>
        <v>0</v>
      </c>
      <c r="AN30" s="135">
        <f>Tabel4246[[#This Row],[Kolom2911]]*AM$2</f>
        <v>0</v>
      </c>
      <c r="AO30" s="135">
        <f>IF(F$2="x",(_xlfn.RANK.EQ(Tabel4246[[#This Row],[Kolom4]],F$5:F$35)),0)</f>
        <v>0</v>
      </c>
      <c r="AP30" s="135">
        <f>Tabel4246[[#This Row],[Kolom29112]]*AO$2</f>
        <v>0</v>
      </c>
      <c r="AQ30" s="135">
        <f>IF(G$2="x",(_xlfn.RANK.EQ(Tabel4246[[#This Row],[Kolom5]],G$5:G$35)),0)</f>
        <v>0</v>
      </c>
      <c r="AR30" s="135">
        <f>Tabel4246[[#This Row],[Kolom29113]]*AQ$2</f>
        <v>0</v>
      </c>
      <c r="AS30" s="135">
        <f>IF(H$2="x",(_xlfn.RANK.EQ(Tabel4246[[#This Row],[Kolom6]],H$5:H$35)),0)</f>
        <v>0</v>
      </c>
      <c r="AT30" s="135">
        <f>Tabel4246[[#This Row],[Kolom29114]]*AS$2</f>
        <v>0</v>
      </c>
      <c r="AU30" s="135">
        <f>IF(I$2="x",(_xlfn.RANK.EQ(Tabel4246[[#This Row],[Kolom62]],I$5:I$35)),0)</f>
        <v>0</v>
      </c>
      <c r="AV30" s="135">
        <f>Tabel4246[[#This Row],[Kolom29115]]*AU$2</f>
        <v>0</v>
      </c>
      <c r="AW30" s="135">
        <f>IF(J$2="x",(_xlfn.RANK.EQ(Tabel4246[[#This Row],[Kolom7]],J$5:J$35)),0)</f>
        <v>23</v>
      </c>
      <c r="AX30" s="135">
        <f>Tabel4246[[#This Row],[Kolom29116]]*AW$2</f>
        <v>115</v>
      </c>
      <c r="AY30" s="135">
        <f>IF(K$2="x",(_xlfn.RANK.EQ(Tabel4246[[#This Row],[Kolom72]],K$5:K$35)),0)</f>
        <v>0</v>
      </c>
      <c r="AZ30" s="135">
        <f>Tabel4246[[#This Row],[Kolom29117]]*AY$2</f>
        <v>0</v>
      </c>
      <c r="BA30" s="135">
        <f>IF(L$2="x",(_xlfn.RANK.EQ(Tabel4246[[#This Row],[Kolom8]],L$5:L$35)),0)</f>
        <v>0</v>
      </c>
      <c r="BB30" s="135">
        <f>Tabel4246[[#This Row],[Kolom29118]]*BA$2</f>
        <v>0</v>
      </c>
      <c r="BC30" s="135">
        <f>IF(M$2="x",(_xlfn.RANK.EQ(Tabel4246[[#This Row],[Kolom9]],M$5:M$35)),0)</f>
        <v>0</v>
      </c>
      <c r="BD30" s="135">
        <f>Tabel4246[[#This Row],[Kolom29119]]*BC$2</f>
        <v>0</v>
      </c>
      <c r="BE30" s="135">
        <f>IF(N$2="x",(_xlfn.RANK.EQ(Tabel4246[[#This Row],[Kolom10]],N$5:N$35)),0)</f>
        <v>0</v>
      </c>
      <c r="BF30" s="135">
        <f>Tabel4246[[#This Row],[Kolom29120]]*BE$2</f>
        <v>0</v>
      </c>
      <c r="BG30" s="135">
        <f>IF(O$2="x",(_xlfn.RANK.EQ(Tabel4246[[#This Row],[Kolom11]],O$5:O$35)),0)</f>
        <v>0</v>
      </c>
      <c r="BH30" s="135">
        <f>Tabel4246[[#This Row],[Kolom29121]]*BG$2</f>
        <v>0</v>
      </c>
      <c r="BI30" s="135">
        <f>IF(P$2="x",(_xlfn.RANK.EQ(Tabel4246[[#This Row],[Kolom12]],P$5:P$35)),0)</f>
        <v>0</v>
      </c>
      <c r="BJ30" s="135">
        <f>Tabel4246[[#This Row],[Kolom29122]]*BI$2</f>
        <v>0</v>
      </c>
      <c r="BK30" s="135">
        <f>IF(Q$2="x",(_xlfn.RANK.EQ(Tabel4246[[#This Row],[Kolom13]],Q$5:Q$35)),0)</f>
        <v>0</v>
      </c>
      <c r="BL30" s="135">
        <f>Tabel4246[[#This Row],[Kolom29123]]*BK$2</f>
        <v>0</v>
      </c>
      <c r="BM30" s="135">
        <f>IF(R$2="x",(_xlfn.RANK.EQ(Tabel4246[[#This Row],[Kolom133]],R$5:R$35)),0)</f>
        <v>0</v>
      </c>
      <c r="BN30" s="135">
        <f>Tabel4246[[#This Row],[Kolom29124]]*BM$2</f>
        <v>0</v>
      </c>
      <c r="BO30" s="135">
        <f>IF(S$2="x",(_xlfn.RANK.EQ(Tabel4246[[#This Row],[Kolom132]],S$5:S$35)),0)</f>
        <v>0</v>
      </c>
      <c r="BP30" s="135">
        <f>Tabel4246[[#This Row],[Kolom29125]]*BO$2</f>
        <v>0</v>
      </c>
      <c r="BQ30" s="135">
        <f>IF(T$2="x",(_xlfn.RANK.EQ(Tabel4246[[#This Row],[Kolom14]],T$5:T$35)),0)</f>
        <v>0</v>
      </c>
      <c r="BR30" s="135">
        <f>Tabel4246[[#This Row],[Kolom29126]]*BQ$2</f>
        <v>0</v>
      </c>
      <c r="BS30" s="135">
        <f>IF(U$2="x",(_xlfn.RANK.EQ(Tabel4246[[#This Row],[Kolom16]],U$5:U$35)),0)</f>
        <v>0</v>
      </c>
      <c r="BT30" s="135">
        <f>Tabel4246[[#This Row],[Kolom29127]]*BS$2</f>
        <v>0</v>
      </c>
      <c r="BU30" s="135">
        <f>IF(V$2="x",(_xlfn.RANK.EQ(Tabel4246[[#This Row],[Kolom173]],V$5:V$35)),0)</f>
        <v>0</v>
      </c>
      <c r="BV30" s="135">
        <f>Tabel4246[[#This Row],[Kolom29128]]*BU$2</f>
        <v>0</v>
      </c>
      <c r="BW30" s="135">
        <f>IF(W$2="x",(_xlfn.RANK.EQ(Tabel4246[[#This Row],[Kolom172]],W$5:W$35)),0)</f>
        <v>0</v>
      </c>
      <c r="BX30" s="135">
        <f>Tabel4246[[#This Row],[Kolom29129]]*BW$2</f>
        <v>0</v>
      </c>
      <c r="BY30" s="135">
        <f>IF(X$2="x",(_xlfn.RANK.EQ(Tabel4246[[#This Row],[Kolom18]],X$5:X$35)),0)</f>
        <v>0</v>
      </c>
      <c r="BZ30" s="135">
        <f>Tabel4246[[#This Row],[Kolom29130]]*BY$2</f>
        <v>0</v>
      </c>
      <c r="CA30" s="135">
        <f>IF(Y$2="x",(_xlfn.RANK.EQ(Tabel4246[[#This Row],[Kolom19]],Y$5:Y$35)),0)</f>
        <v>0</v>
      </c>
      <c r="CB30" s="135">
        <f>Tabel4246[[#This Row],[Kolom29131]]*CA$2</f>
        <v>0</v>
      </c>
      <c r="CC30" s="135">
        <f>IF(Z$2="x",(_xlfn.RANK.EQ(Tabel4246[[#This Row],[Kolom20]],Z$5:Z$35)),0)</f>
        <v>1</v>
      </c>
      <c r="CD30" s="135">
        <f>Tabel4246[[#This Row],[Kolom29132]]*CC$2</f>
        <v>1</v>
      </c>
      <c r="CE30" s="135">
        <f>IF(AA$2="x",(_xlfn.RANK.EQ(Tabel4246[[#This Row],[Kolom21]],AA$5:AA$35)),0)</f>
        <v>0</v>
      </c>
      <c r="CF30" s="135">
        <f>Tabel4246[[#This Row],[Kolom29133]]*CE$2</f>
        <v>0</v>
      </c>
      <c r="CG30" s="135">
        <f>IF(AB$2="x",(_xlfn.RANK.EQ(Tabel4246[[#This Row],[Kolom22]],AB$5:AB$35)),0)</f>
        <v>0</v>
      </c>
      <c r="CH30" s="135">
        <f>Tabel4246[[#This Row],[Kolom29134]]*CG$2</f>
        <v>0</v>
      </c>
      <c r="CI30" s="135">
        <f>IF(AC$2="x",(_xlfn.RANK.EQ(Tabel4246[[#This Row],[Kolom223]],AC$5:AC$35)),0)</f>
        <v>1</v>
      </c>
      <c r="CJ30" s="135">
        <f>Tabel4246[[#This Row],[Kolom29135]]*CI$2</f>
        <v>1</v>
      </c>
      <c r="CK30" s="135">
        <f>IF(AD$2="x",(_xlfn.RANK.EQ(Tabel4246[[#This Row],[Kolom222]],AD$5:AD$35)),0)</f>
        <v>0</v>
      </c>
      <c r="CL30" s="135">
        <f>Tabel4246[[#This Row],[Kolom29136]]*CK$2</f>
        <v>0</v>
      </c>
      <c r="CM30" s="135">
        <f t="shared" si="13"/>
        <v>3</v>
      </c>
      <c r="CN30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Row],[Kolom29130]]+CA30+Tabel4246[[#This Row],[Kolom29132]]+Tabel4246[[#This Row],[Kolom29133]]+Tabel4246[[#This Row],[Kolom29134]]+Tabel4246[[#This Row],[Kolom29135]]+Tabel4246[[#This Row],[Kolom29136]])/Tabel4246[[#This Row],[Kolom29137]]</f>
        <v>8.3333333333333339</v>
      </c>
      <c r="CO30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Row],[Kolom291302]]+CB30+Tabel4246[[#This Row],[Kolom291322]]+Tabel4246[[#This Row],[Kolom291332]]+Tabel4246[[#This Row],[Kolom291342]]+Tabel4246[[#This Row],[Kolom291352]]+Tabel4246[[#This Row],[Kolom291362]])/Tabel4246[[#This Row],[Kolom29137]]</f>
        <v>39</v>
      </c>
      <c r="CP30" s="142">
        <f>_xlfn.RANK.EQ(Tabel4246[[#This Row],[Kolom29138]],CN$5:CN$35,1)</f>
        <v>3</v>
      </c>
      <c r="CQ30" s="142">
        <f>_xlfn.RANK.EQ(Tabel4246[[#This Row],[Kolom291382]],CO$5:CO$35,1)</f>
        <v>20</v>
      </c>
    </row>
    <row r="31" spans="1:95">
      <c r="B31" s="21" t="str">
        <f>'Symptomen (alle)'!A28</f>
        <v>Goldfish Herpes Virus=coldwater</v>
      </c>
      <c r="C31" s="77">
        <f>'Symptomen (alle)'!B28</f>
        <v>0</v>
      </c>
      <c r="D31" s="21">
        <f>IF(D$2="x",'Symptomen (alle)'!C28,0)</f>
        <v>0</v>
      </c>
      <c r="E31" s="21">
        <f>IF(E$2="x",'Symptomen (alle)'!D28,0)</f>
        <v>0</v>
      </c>
      <c r="F31" s="21">
        <f>IF(F$2="x",'Symptomen (alle)'!E28,0)</f>
        <v>0</v>
      </c>
      <c r="G31" s="21">
        <f>IF(G$2="x",'Symptomen (alle)'!F28,0)</f>
        <v>0</v>
      </c>
      <c r="H31" s="21">
        <f>IF(H$2="x",'Symptomen (alle)'!G28,0)</f>
        <v>0</v>
      </c>
      <c r="I31" s="21">
        <f>IF(I$2="x",'Symptomen (alle)'!H28,0)</f>
        <v>0</v>
      </c>
      <c r="J31" s="21">
        <f>IF(J$2="x",'Symptomen (alle)'!I28,0)</f>
        <v>0</v>
      </c>
      <c r="K31" s="21">
        <f>IF(K$2="x",'Symptomen (alle)'!J28,0)</f>
        <v>0</v>
      </c>
      <c r="L31" s="21">
        <f>IF(L$2="x",'Symptomen (alle)'!K28,0)</f>
        <v>0</v>
      </c>
      <c r="M31" s="21">
        <f>IF(M$2="x",'Symptomen (alle)'!L28,0)</f>
        <v>0</v>
      </c>
      <c r="N31" s="21">
        <f>IF(N$2="x",'Symptomen (alle)'!M28,0)</f>
        <v>0</v>
      </c>
      <c r="O31" s="21">
        <f>IF(O$2="x",'Symptomen (alle)'!N28,0)</f>
        <v>0</v>
      </c>
      <c r="P31" s="21">
        <f>IF(P$2="x",'Symptomen (alle)'!O28,0)</f>
        <v>0</v>
      </c>
      <c r="Q31" s="21">
        <f>IF(Q$2="x",'Symptomen (alle)'!P28,0)</f>
        <v>0</v>
      </c>
      <c r="R31" s="21">
        <f>IF(R$2="x",'Symptomen (alle)'!Q28,0)</f>
        <v>0</v>
      </c>
      <c r="S31" s="21">
        <f>IF(S$2="x",'Symptomen (alle)'!R28,0)</f>
        <v>0</v>
      </c>
      <c r="T31" s="21">
        <f>IF(T$2="x",'Symptomen (alle)'!S28,0)</f>
        <v>0</v>
      </c>
      <c r="U31" s="21">
        <f>IF(U$2="x",'Symptomen (alle)'!T28,0)</f>
        <v>0</v>
      </c>
      <c r="V31" s="21">
        <f>IF(V$2="x",'Symptomen (alle)'!U28,0)</f>
        <v>0</v>
      </c>
      <c r="W31" s="21">
        <f>IF(W$2="x",'Symptomen (alle)'!V28,0)</f>
        <v>0</v>
      </c>
      <c r="X31" s="21">
        <f>IF(X$2="x",'Symptomen (alle)'!W28,0)</f>
        <v>0</v>
      </c>
      <c r="Y31" s="21">
        <f>IF(Y$2="x",'Symptomen (alle)'!X28,0)</f>
        <v>0</v>
      </c>
      <c r="Z31" s="21">
        <f>IF(Z$2="x",'Symptomen (alle)'!Y28,0)</f>
        <v>3</v>
      </c>
      <c r="AA31" s="21">
        <f>IF(AA$2="x",'Symptomen (alle)'!Z28,0)</f>
        <v>0</v>
      </c>
      <c r="AB31" s="21">
        <f>IF(AB$2="x",'Symptomen (alle)'!AA28,0)</f>
        <v>0</v>
      </c>
      <c r="AC31" s="21">
        <f>IF(AC$2="x",'Symptomen (alle)'!AB28,0)</f>
        <v>10</v>
      </c>
      <c r="AD31" s="21">
        <f>IF(AD$2="x",'Symptomen (alle)'!AC28,0)</f>
        <v>0</v>
      </c>
      <c r="AE31" s="21">
        <f t="shared" si="11"/>
        <v>13</v>
      </c>
      <c r="AF31" s="21">
        <f>HLOOKUP($B$2,ZiekteFam!$B$1:$T$32,AG31,FALSE)</f>
        <v>0</v>
      </c>
      <c r="AG31" s="32">
        <f t="shared" si="12"/>
        <v>28</v>
      </c>
      <c r="AH31" s="32">
        <f>SUM('Symptomen (alle)'!D28:AC28)</f>
        <v>34</v>
      </c>
      <c r="AI31" s="22">
        <f>Tabel4246[[#This Row],[Kolom25]]/Tabel4246[[#This Row],[Kolom28]]</f>
        <v>0.38235294117647056</v>
      </c>
      <c r="AJ31" s="22"/>
      <c r="AK31" s="22">
        <f>Tabel4246[[#This Row],[Kolom29]]</f>
        <v>0.38235294117647056</v>
      </c>
      <c r="AL31" s="36">
        <f>_xlfn.RANK.EQ(Tabel4246[[#This Row],[Kolom29]],$AI$5:$AI$35)</f>
        <v>5</v>
      </c>
      <c r="AM31" s="135">
        <f>IF(E$2="x",(_xlfn.RANK.EQ(Tabel4246[[#This Row],[Kolom3]],E$5:E$35)),0)</f>
        <v>0</v>
      </c>
      <c r="AN31" s="135">
        <f>Tabel4246[[#This Row],[Kolom2911]]*AM$2</f>
        <v>0</v>
      </c>
      <c r="AO31" s="135">
        <f>IF(F$2="x",(_xlfn.RANK.EQ(Tabel4246[[#This Row],[Kolom4]],F$5:F$35)),0)</f>
        <v>0</v>
      </c>
      <c r="AP31" s="135">
        <f>Tabel4246[[#This Row],[Kolom29112]]*AO$2</f>
        <v>0</v>
      </c>
      <c r="AQ31" s="135">
        <f>IF(G$2="x",(_xlfn.RANK.EQ(Tabel4246[[#This Row],[Kolom5]],G$5:G$35)),0)</f>
        <v>0</v>
      </c>
      <c r="AR31" s="135">
        <f>Tabel4246[[#This Row],[Kolom29113]]*AQ$2</f>
        <v>0</v>
      </c>
      <c r="AS31" s="135">
        <f>IF(H$2="x",(_xlfn.RANK.EQ(Tabel4246[[#This Row],[Kolom6]],H$5:H$35)),0)</f>
        <v>0</v>
      </c>
      <c r="AT31" s="135">
        <f>Tabel4246[[#This Row],[Kolom29114]]*AS$2</f>
        <v>0</v>
      </c>
      <c r="AU31" s="135">
        <f>IF(I$2="x",(_xlfn.RANK.EQ(Tabel4246[[#This Row],[Kolom62]],I$5:I$35)),0)</f>
        <v>0</v>
      </c>
      <c r="AV31" s="135">
        <f>Tabel4246[[#This Row],[Kolom29115]]*AU$2</f>
        <v>0</v>
      </c>
      <c r="AW31" s="135">
        <f>IF(J$2="x",(_xlfn.RANK.EQ(Tabel4246[[#This Row],[Kolom7]],J$5:J$35)),0)</f>
        <v>23</v>
      </c>
      <c r="AX31" s="135">
        <f>Tabel4246[[#This Row],[Kolom29116]]*AW$2</f>
        <v>115</v>
      </c>
      <c r="AY31" s="135">
        <f>IF(K$2="x",(_xlfn.RANK.EQ(Tabel4246[[#This Row],[Kolom72]],K$5:K$35)),0)</f>
        <v>0</v>
      </c>
      <c r="AZ31" s="135">
        <f>Tabel4246[[#This Row],[Kolom29117]]*AY$2</f>
        <v>0</v>
      </c>
      <c r="BA31" s="135">
        <f>IF(L$2="x",(_xlfn.RANK.EQ(Tabel4246[[#This Row],[Kolom8]],L$5:L$35)),0)</f>
        <v>0</v>
      </c>
      <c r="BB31" s="135">
        <f>Tabel4246[[#This Row],[Kolom29118]]*BA$2</f>
        <v>0</v>
      </c>
      <c r="BC31" s="135">
        <f>IF(M$2="x",(_xlfn.RANK.EQ(Tabel4246[[#This Row],[Kolom9]],M$5:M$35)),0)</f>
        <v>0</v>
      </c>
      <c r="BD31" s="135">
        <f>Tabel4246[[#This Row],[Kolom29119]]*BC$2</f>
        <v>0</v>
      </c>
      <c r="BE31" s="135">
        <f>IF(N$2="x",(_xlfn.RANK.EQ(Tabel4246[[#This Row],[Kolom10]],N$5:N$35)),0)</f>
        <v>0</v>
      </c>
      <c r="BF31" s="135">
        <f>Tabel4246[[#This Row],[Kolom29120]]*BE$2</f>
        <v>0</v>
      </c>
      <c r="BG31" s="135">
        <f>IF(O$2="x",(_xlfn.RANK.EQ(Tabel4246[[#This Row],[Kolom11]],O$5:O$35)),0)</f>
        <v>0</v>
      </c>
      <c r="BH31" s="135">
        <f>Tabel4246[[#This Row],[Kolom29121]]*BG$2</f>
        <v>0</v>
      </c>
      <c r="BI31" s="135">
        <f>IF(P$2="x",(_xlfn.RANK.EQ(Tabel4246[[#This Row],[Kolom12]],P$5:P$35)),0)</f>
        <v>0</v>
      </c>
      <c r="BJ31" s="135">
        <f>Tabel4246[[#This Row],[Kolom29122]]*BI$2</f>
        <v>0</v>
      </c>
      <c r="BK31" s="135">
        <f>IF(Q$2="x",(_xlfn.RANK.EQ(Tabel4246[[#This Row],[Kolom13]],Q$5:Q$35)),0)</f>
        <v>0</v>
      </c>
      <c r="BL31" s="135">
        <f>Tabel4246[[#This Row],[Kolom29123]]*BK$2</f>
        <v>0</v>
      </c>
      <c r="BM31" s="135">
        <f>IF(R$2="x",(_xlfn.RANK.EQ(Tabel4246[[#This Row],[Kolom133]],R$5:R$35)),0)</f>
        <v>0</v>
      </c>
      <c r="BN31" s="135">
        <f>Tabel4246[[#This Row],[Kolom29124]]*BM$2</f>
        <v>0</v>
      </c>
      <c r="BO31" s="135">
        <f>IF(S$2="x",(_xlfn.RANK.EQ(Tabel4246[[#This Row],[Kolom132]],S$5:S$35)),0)</f>
        <v>0</v>
      </c>
      <c r="BP31" s="135">
        <f>Tabel4246[[#This Row],[Kolom29125]]*BO$2</f>
        <v>0</v>
      </c>
      <c r="BQ31" s="135">
        <f>IF(T$2="x",(_xlfn.RANK.EQ(Tabel4246[[#This Row],[Kolom14]],T$5:T$35)),0)</f>
        <v>0</v>
      </c>
      <c r="BR31" s="135">
        <f>Tabel4246[[#This Row],[Kolom29126]]*BQ$2</f>
        <v>0</v>
      </c>
      <c r="BS31" s="135">
        <f>IF(U$2="x",(_xlfn.RANK.EQ(Tabel4246[[#This Row],[Kolom16]],U$5:U$35)),0)</f>
        <v>0</v>
      </c>
      <c r="BT31" s="135">
        <f>Tabel4246[[#This Row],[Kolom29127]]*BS$2</f>
        <v>0</v>
      </c>
      <c r="BU31" s="135">
        <f>IF(V$2="x",(_xlfn.RANK.EQ(Tabel4246[[#This Row],[Kolom173]],V$5:V$35)),0)</f>
        <v>0</v>
      </c>
      <c r="BV31" s="135">
        <f>Tabel4246[[#This Row],[Kolom29128]]*BU$2</f>
        <v>0</v>
      </c>
      <c r="BW31" s="135">
        <f>IF(W$2="x",(_xlfn.RANK.EQ(Tabel4246[[#This Row],[Kolom172]],W$5:W$35)),0)</f>
        <v>0</v>
      </c>
      <c r="BX31" s="135">
        <f>Tabel4246[[#This Row],[Kolom29129]]*BW$2</f>
        <v>0</v>
      </c>
      <c r="BY31" s="135">
        <f>IF(X$2="x",(_xlfn.RANK.EQ(Tabel4246[[#This Row],[Kolom18]],X$5:X$35)),0)</f>
        <v>0</v>
      </c>
      <c r="BZ31" s="135">
        <f>Tabel4246[[#This Row],[Kolom29130]]*BY$2</f>
        <v>0</v>
      </c>
      <c r="CA31" s="135">
        <f>IF(Y$2="x",(_xlfn.RANK.EQ(Tabel4246[[#This Row],[Kolom19]],Y$5:Y$35)),0)</f>
        <v>0</v>
      </c>
      <c r="CB31" s="135">
        <f>Tabel4246[[#This Row],[Kolom29131]]*CA$2</f>
        <v>0</v>
      </c>
      <c r="CC31" s="135">
        <f>IF(Z$2="x",(_xlfn.RANK.EQ(Tabel4246[[#This Row],[Kolom20]],Z$5:Z$35)),0)</f>
        <v>3</v>
      </c>
      <c r="CD31" s="135">
        <f>Tabel4246[[#This Row],[Kolom29132]]*CC$2</f>
        <v>3</v>
      </c>
      <c r="CE31" s="135">
        <f>IF(AA$2="x",(_xlfn.RANK.EQ(Tabel4246[[#This Row],[Kolom21]],AA$5:AA$35)),0)</f>
        <v>0</v>
      </c>
      <c r="CF31" s="135">
        <f>Tabel4246[[#This Row],[Kolom29133]]*CE$2</f>
        <v>0</v>
      </c>
      <c r="CG31" s="135">
        <f>IF(AB$2="x",(_xlfn.RANK.EQ(Tabel4246[[#This Row],[Kolom22]],AB$5:AB$35)),0)</f>
        <v>0</v>
      </c>
      <c r="CH31" s="135">
        <f>Tabel4246[[#This Row],[Kolom29134]]*CG$2</f>
        <v>0</v>
      </c>
      <c r="CI31" s="135">
        <f>IF(AC$2="x",(_xlfn.RANK.EQ(Tabel4246[[#This Row],[Kolom223]],AC$5:AC$35)),0)</f>
        <v>1</v>
      </c>
      <c r="CJ31" s="135">
        <f>Tabel4246[[#This Row],[Kolom29135]]*CI$2</f>
        <v>1</v>
      </c>
      <c r="CK31" s="135">
        <f>IF(AD$2="x",(_xlfn.RANK.EQ(Tabel4246[[#This Row],[Kolom222]],AD$5:AD$35)),0)</f>
        <v>0</v>
      </c>
      <c r="CL31" s="135">
        <f>Tabel4246[[#This Row],[Kolom29136]]*CK$2</f>
        <v>0</v>
      </c>
      <c r="CM31" s="135">
        <f t="shared" si="13"/>
        <v>3</v>
      </c>
      <c r="CN31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Row],[Kolom29130]]+CA31+Tabel4246[[#This Row],[Kolom29132]]+Tabel4246[[#This Row],[Kolom29133]]+Tabel4246[[#This Row],[Kolom29134]]+Tabel4246[[#This Row],[Kolom29135]]+Tabel4246[[#This Row],[Kolom29136]])/Tabel4246[[#This Row],[Kolom29137]]</f>
        <v>9</v>
      </c>
      <c r="CO31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Row],[Kolom291302]]+CB31+Tabel4246[[#This Row],[Kolom291322]]+Tabel4246[[#This Row],[Kolom291332]]+Tabel4246[[#This Row],[Kolom291342]]+Tabel4246[[#This Row],[Kolom291352]]+Tabel4246[[#This Row],[Kolom291362]])/Tabel4246[[#This Row],[Kolom29137]]</f>
        <v>39.666666666666664</v>
      </c>
      <c r="CP31" s="142">
        <f>_xlfn.RANK.EQ(Tabel4246[[#This Row],[Kolom29138]],CN$5:CN$35,1)</f>
        <v>5</v>
      </c>
      <c r="CQ31" s="142">
        <f>_xlfn.RANK.EQ(Tabel4246[[#This Row],[Kolom291382]],CO$5:CO$35,1)</f>
        <v>22</v>
      </c>
    </row>
    <row r="32" spans="1:95">
      <c r="B32" s="21" t="str">
        <f>'Symptomen (alle)'!A29</f>
        <v>Carp Pox Virus (Carp Herpes)= coldwater</v>
      </c>
      <c r="C32" s="77">
        <f>'Symptomen (alle)'!B29</f>
        <v>0</v>
      </c>
      <c r="D32" s="21">
        <f>IF(D$2="x",'Symptomen (alle)'!C29,0)</f>
        <v>0</v>
      </c>
      <c r="E32" s="21">
        <f>IF(E$2="x",'Symptomen (alle)'!D29,0)</f>
        <v>0</v>
      </c>
      <c r="F32" s="21">
        <f>IF(F$2="x",'Symptomen (alle)'!E29,0)</f>
        <v>0</v>
      </c>
      <c r="G32" s="21">
        <f>IF(G$2="x",'Symptomen (alle)'!F29,0)</f>
        <v>0</v>
      </c>
      <c r="H32" s="21">
        <f>IF(H$2="x",'Symptomen (alle)'!G29,0)</f>
        <v>0</v>
      </c>
      <c r="I32" s="21">
        <f>IF(I$2="x",'Symptomen (alle)'!H29,0)</f>
        <v>0</v>
      </c>
      <c r="J32" s="21">
        <f>IF(J$2="x",'Symptomen (alle)'!I29,0)</f>
        <v>10</v>
      </c>
      <c r="K32" s="21">
        <f>IF(K$2="x",'Symptomen (alle)'!J29,0)</f>
        <v>0</v>
      </c>
      <c r="L32" s="21">
        <f>IF(L$2="x",'Symptomen (alle)'!K29,0)</f>
        <v>0</v>
      </c>
      <c r="M32" s="21">
        <f>IF(M$2="x",'Symptomen (alle)'!L29,0)</f>
        <v>0</v>
      </c>
      <c r="N32" s="21">
        <f>IF(N$2="x",'Symptomen (alle)'!M29,0)</f>
        <v>0</v>
      </c>
      <c r="O32" s="21">
        <f>IF(O$2="x",'Symptomen (alle)'!N29,0)</f>
        <v>0</v>
      </c>
      <c r="P32" s="21">
        <f>IF(P$2="x",'Symptomen (alle)'!O29,0)</f>
        <v>0</v>
      </c>
      <c r="Q32" s="21">
        <f>IF(Q$2="x",'Symptomen (alle)'!P29,0)</f>
        <v>0</v>
      </c>
      <c r="R32" s="21">
        <f>IF(R$2="x",'Symptomen (alle)'!Q29,0)</f>
        <v>0</v>
      </c>
      <c r="S32" s="21">
        <f>IF(S$2="x",'Symptomen (alle)'!R29,0)</f>
        <v>0</v>
      </c>
      <c r="T32" s="21">
        <f>IF(T$2="x",'Symptomen (alle)'!S29,0)</f>
        <v>0</v>
      </c>
      <c r="U32" s="21">
        <f>IF(U$2="x",'Symptomen (alle)'!T29,0)</f>
        <v>0</v>
      </c>
      <c r="V32" s="21">
        <f>IF(V$2="x",'Symptomen (alle)'!U29,0)</f>
        <v>0</v>
      </c>
      <c r="W32" s="21">
        <f>IF(W$2="x",'Symptomen (alle)'!V29,0)</f>
        <v>0</v>
      </c>
      <c r="X32" s="21">
        <f>IF(X$2="x",'Symptomen (alle)'!W29,0)</f>
        <v>0</v>
      </c>
      <c r="Y32" s="21">
        <f>IF(Y$2="x",'Symptomen (alle)'!X29,0)</f>
        <v>0</v>
      </c>
      <c r="Z32" s="21">
        <f>IF(Z$2="x",'Symptomen (alle)'!Y29,0)</f>
        <v>2</v>
      </c>
      <c r="AA32" s="21">
        <f>IF(AA$2="x",'Symptomen (alle)'!Z29,0)</f>
        <v>0</v>
      </c>
      <c r="AB32" s="21">
        <f>IF(AB$2="x",'Symptomen (alle)'!AA29,0)</f>
        <v>0</v>
      </c>
      <c r="AC32" s="21">
        <f>IF(AC$2="x",'Symptomen (alle)'!AB29,0)</f>
        <v>5</v>
      </c>
      <c r="AD32" s="21">
        <f>IF(AD$2="x",'Symptomen (alle)'!AC29,0)</f>
        <v>0</v>
      </c>
      <c r="AE32" s="21">
        <f t="shared" ref="AE32" si="14">SUM(E32:AD32)</f>
        <v>17</v>
      </c>
      <c r="AF32" s="21">
        <f>HLOOKUP($B$2,ZiekteFam!$B$1:$T$32,AG32,FALSE)</f>
        <v>0</v>
      </c>
      <c r="AG32" s="32">
        <f t="shared" ref="AG32" si="15">ROW(AF32)-3</f>
        <v>29</v>
      </c>
      <c r="AH32" s="32">
        <f>SUM('Symptomen (alle)'!D29:AC29)</f>
        <v>34</v>
      </c>
      <c r="AI32" s="22">
        <f>Tabel4246[[#This Row],[Kolom25]]/Tabel4246[[#This Row],[Kolom28]]</f>
        <v>0.5</v>
      </c>
      <c r="AJ32" s="22"/>
      <c r="AK32" s="22">
        <f>Tabel4246[[#This Row],[Kolom29]]</f>
        <v>0.5</v>
      </c>
      <c r="AL32" s="36">
        <f>_xlfn.RANK.EQ(Tabel4246[[#This Row],[Kolom29]],$AI$5:$AI$35)</f>
        <v>3</v>
      </c>
      <c r="AM32" s="135">
        <f>IF(E$2="x",(_xlfn.RANK.EQ(Tabel4246[[#This Row],[Kolom3]],E$5:E$35)),0)</f>
        <v>0</v>
      </c>
      <c r="AN32" s="135">
        <f>Tabel4246[[#This Row],[Kolom2911]]*AM$2</f>
        <v>0</v>
      </c>
      <c r="AO32" s="135">
        <f>IF(F$2="x",(_xlfn.RANK.EQ(Tabel4246[[#This Row],[Kolom4]],F$5:F$35)),0)</f>
        <v>0</v>
      </c>
      <c r="AP32" s="135">
        <f>Tabel4246[[#This Row],[Kolom29112]]*AO$2</f>
        <v>0</v>
      </c>
      <c r="AQ32" s="135">
        <f>IF(G$2="x",(_xlfn.RANK.EQ(Tabel4246[[#This Row],[Kolom5]],G$5:G$35)),0)</f>
        <v>0</v>
      </c>
      <c r="AR32" s="135">
        <f>Tabel4246[[#This Row],[Kolom29113]]*AQ$2</f>
        <v>0</v>
      </c>
      <c r="AS32" s="135">
        <f>IF(H$2="x",(_xlfn.RANK.EQ(Tabel4246[[#This Row],[Kolom6]],H$5:H$35)),0)</f>
        <v>0</v>
      </c>
      <c r="AT32" s="135">
        <f>Tabel4246[[#This Row],[Kolom29114]]*AS$2</f>
        <v>0</v>
      </c>
      <c r="AU32" s="135">
        <f>IF(I$2="x",(_xlfn.RANK.EQ(Tabel4246[[#This Row],[Kolom62]],I$5:I$35)),0)</f>
        <v>0</v>
      </c>
      <c r="AV32" s="135">
        <f>Tabel4246[[#This Row],[Kolom29115]]*AU$2</f>
        <v>0</v>
      </c>
      <c r="AW32" s="135">
        <f>IF(J$2="x",(_xlfn.RANK.EQ(Tabel4246[[#This Row],[Kolom7]],J$5:J$35)),0)</f>
        <v>1</v>
      </c>
      <c r="AX32" s="135">
        <f>Tabel4246[[#This Row],[Kolom29116]]*AW$2</f>
        <v>5</v>
      </c>
      <c r="AY32" s="135">
        <f>IF(K$2="x",(_xlfn.RANK.EQ(Tabel4246[[#This Row],[Kolom72]],K$5:K$35)),0)</f>
        <v>0</v>
      </c>
      <c r="AZ32" s="135">
        <f>Tabel4246[[#This Row],[Kolom29117]]*AY$2</f>
        <v>0</v>
      </c>
      <c r="BA32" s="135">
        <f>IF(L$2="x",(_xlfn.RANK.EQ(Tabel4246[[#This Row],[Kolom8]],L$5:L$35)),0)</f>
        <v>0</v>
      </c>
      <c r="BB32" s="135">
        <f>Tabel4246[[#This Row],[Kolom29118]]*BA$2</f>
        <v>0</v>
      </c>
      <c r="BC32" s="135">
        <f>IF(M$2="x",(_xlfn.RANK.EQ(Tabel4246[[#This Row],[Kolom9]],M$5:M$35)),0)</f>
        <v>0</v>
      </c>
      <c r="BD32" s="135">
        <f>Tabel4246[[#This Row],[Kolom29119]]*BC$2</f>
        <v>0</v>
      </c>
      <c r="BE32" s="135">
        <f>IF(N$2="x",(_xlfn.RANK.EQ(Tabel4246[[#This Row],[Kolom10]],N$5:N$35)),0)</f>
        <v>0</v>
      </c>
      <c r="BF32" s="135">
        <f>Tabel4246[[#This Row],[Kolom29120]]*BE$2</f>
        <v>0</v>
      </c>
      <c r="BG32" s="135">
        <f>IF(O$2="x",(_xlfn.RANK.EQ(Tabel4246[[#This Row],[Kolom11]],O$5:O$35)),0)</f>
        <v>0</v>
      </c>
      <c r="BH32" s="135">
        <f>Tabel4246[[#This Row],[Kolom29121]]*BG$2</f>
        <v>0</v>
      </c>
      <c r="BI32" s="135">
        <f>IF(P$2="x",(_xlfn.RANK.EQ(Tabel4246[[#This Row],[Kolom12]],P$5:P$35)),0)</f>
        <v>0</v>
      </c>
      <c r="BJ32" s="135">
        <f>Tabel4246[[#This Row],[Kolom29122]]*BI$2</f>
        <v>0</v>
      </c>
      <c r="BK32" s="135">
        <f>IF(Q$2="x",(_xlfn.RANK.EQ(Tabel4246[[#This Row],[Kolom13]],Q$5:Q$35)),0)</f>
        <v>0</v>
      </c>
      <c r="BL32" s="135">
        <f>Tabel4246[[#This Row],[Kolom29123]]*BK$2</f>
        <v>0</v>
      </c>
      <c r="BM32" s="135">
        <f>IF(R$2="x",(_xlfn.RANK.EQ(Tabel4246[[#This Row],[Kolom133]],R$5:R$35)),0)</f>
        <v>0</v>
      </c>
      <c r="BN32" s="135">
        <f>Tabel4246[[#This Row],[Kolom29124]]*BM$2</f>
        <v>0</v>
      </c>
      <c r="BO32" s="135">
        <f>IF(S$2="x",(_xlfn.RANK.EQ(Tabel4246[[#This Row],[Kolom132]],S$5:S$35)),0)</f>
        <v>0</v>
      </c>
      <c r="BP32" s="135">
        <f>Tabel4246[[#This Row],[Kolom29125]]*BO$2</f>
        <v>0</v>
      </c>
      <c r="BQ32" s="135">
        <f>IF(T$2="x",(_xlfn.RANK.EQ(Tabel4246[[#This Row],[Kolom14]],T$5:T$35)),0)</f>
        <v>0</v>
      </c>
      <c r="BR32" s="135">
        <f>Tabel4246[[#This Row],[Kolom29126]]*BQ$2</f>
        <v>0</v>
      </c>
      <c r="BS32" s="135">
        <f>IF(U$2="x",(_xlfn.RANK.EQ(Tabel4246[[#This Row],[Kolom16]],U$5:U$35)),0)</f>
        <v>0</v>
      </c>
      <c r="BT32" s="135">
        <f>Tabel4246[[#This Row],[Kolom29127]]*BS$2</f>
        <v>0</v>
      </c>
      <c r="BU32" s="135">
        <f>IF(V$2="x",(_xlfn.RANK.EQ(Tabel4246[[#This Row],[Kolom173]],V$5:V$35)),0)</f>
        <v>0</v>
      </c>
      <c r="BV32" s="135">
        <f>Tabel4246[[#This Row],[Kolom29128]]*BU$2</f>
        <v>0</v>
      </c>
      <c r="BW32" s="135">
        <f>IF(W$2="x",(_xlfn.RANK.EQ(Tabel4246[[#This Row],[Kolom172]],W$5:W$35)),0)</f>
        <v>0</v>
      </c>
      <c r="BX32" s="135">
        <f>Tabel4246[[#This Row],[Kolom29129]]*BW$2</f>
        <v>0</v>
      </c>
      <c r="BY32" s="135">
        <f>IF(X$2="x",(_xlfn.RANK.EQ(Tabel4246[[#This Row],[Kolom18]],X$5:X$35)),0)</f>
        <v>0</v>
      </c>
      <c r="BZ32" s="135">
        <f>Tabel4246[[#This Row],[Kolom29130]]*BY$2</f>
        <v>0</v>
      </c>
      <c r="CA32" s="135">
        <f>IF(Y$2="x",(_xlfn.RANK.EQ(Tabel4246[[#This Row],[Kolom19]],Y$5:Y$35)),0)</f>
        <v>0</v>
      </c>
      <c r="CB32" s="135">
        <f>Tabel4246[[#This Row],[Kolom29131]]*CA$2</f>
        <v>0</v>
      </c>
      <c r="CC32" s="135">
        <f>IF(Z$2="x",(_xlfn.RANK.EQ(Tabel4246[[#This Row],[Kolom20]],Z$5:Z$35)),0)</f>
        <v>10</v>
      </c>
      <c r="CD32" s="135">
        <f>Tabel4246[[#This Row],[Kolom29132]]*CC$2</f>
        <v>10</v>
      </c>
      <c r="CE32" s="135">
        <f>IF(AA$2="x",(_xlfn.RANK.EQ(Tabel4246[[#This Row],[Kolom21]],AA$5:AA$35)),0)</f>
        <v>0</v>
      </c>
      <c r="CF32" s="135">
        <f>Tabel4246[[#This Row],[Kolom29133]]*CE$2</f>
        <v>0</v>
      </c>
      <c r="CG32" s="135">
        <f>IF(AB$2="x",(_xlfn.RANK.EQ(Tabel4246[[#This Row],[Kolom22]],AB$5:AB$35)),0)</f>
        <v>0</v>
      </c>
      <c r="CH32" s="135">
        <f>Tabel4246[[#This Row],[Kolom29134]]*CG$2</f>
        <v>0</v>
      </c>
      <c r="CI32" s="135">
        <f>IF(AC$2="x",(_xlfn.RANK.EQ(Tabel4246[[#This Row],[Kolom223]],AC$5:AC$35)),0)</f>
        <v>6</v>
      </c>
      <c r="CJ32" s="135">
        <f>Tabel4246[[#This Row],[Kolom29135]]*CI$2</f>
        <v>6</v>
      </c>
      <c r="CK32" s="135">
        <f>IF(AD$2="x",(_xlfn.RANK.EQ(Tabel4246[[#This Row],[Kolom222]],AD$5:AD$35)),0)</f>
        <v>0</v>
      </c>
      <c r="CL32" s="135">
        <f>Tabel4246[[#This Row],[Kolom29136]]*CK$2</f>
        <v>0</v>
      </c>
      <c r="CM32" s="135">
        <f t="shared" si="13"/>
        <v>3</v>
      </c>
      <c r="CN32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Row],[Kolom29130]]+CA32+Tabel4246[[#This Row],[Kolom29132]]+Tabel4246[[#This Row],[Kolom29133]]+Tabel4246[[#This Row],[Kolom29134]]+Tabel4246[[#This Row],[Kolom29135]]+Tabel4246[[#This Row],[Kolom29136]])/Tabel4246[[#This Row],[Kolom29137]]</f>
        <v>5.666666666666667</v>
      </c>
      <c r="CO32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Row],[Kolom291302]]+CB32+Tabel4246[[#This Row],[Kolom291322]]+Tabel4246[[#This Row],[Kolom291332]]+Tabel4246[[#This Row],[Kolom291342]]+Tabel4246[[#This Row],[Kolom291352]]+Tabel4246[[#This Row],[Kolom291362]])/Tabel4246[[#This Row],[Kolom29137]]</f>
        <v>7</v>
      </c>
      <c r="CP32" s="142">
        <f>_xlfn.RANK.EQ(Tabel4246[[#This Row],[Kolom29138]],CN$5:CN$35,1)</f>
        <v>1</v>
      </c>
      <c r="CQ32" s="142">
        <f>_xlfn.RANK.EQ(Tabel4246[[#This Row],[Kolom291382]],CO$5:CO$35,1)</f>
        <v>1</v>
      </c>
    </row>
    <row r="33" spans="2:95">
      <c r="B33" s="21" t="str">
        <f>'Symptomen (alle)'!A30</f>
        <v>Aggression</v>
      </c>
      <c r="C33" s="21">
        <f>'Symptomen (alle)'!B30</f>
        <v>0</v>
      </c>
      <c r="D33" s="21">
        <f>IF(D$2="x",'Symptomen (alle)'!C30,0)</f>
        <v>0</v>
      </c>
      <c r="E33" s="21">
        <f>IF(E$2="x",'Symptomen (alle)'!D30,0)</f>
        <v>0</v>
      </c>
      <c r="F33" s="21">
        <f>IF(F$2="x",'Symptomen (alle)'!E30,0)</f>
        <v>0</v>
      </c>
      <c r="G33" s="21">
        <f>IF(G$2="x",'Symptomen (alle)'!F30,0)</f>
        <v>0</v>
      </c>
      <c r="H33" s="21">
        <f>IF(H$2="x",'Symptomen (alle)'!G30,0)</f>
        <v>0</v>
      </c>
      <c r="I33" s="21">
        <f>IF(I$2="x",'Symptomen (alle)'!H30,0)</f>
        <v>0</v>
      </c>
      <c r="J33" s="21">
        <f>IF(J$2="x",'Symptomen (alle)'!I30,0)</f>
        <v>2</v>
      </c>
      <c r="K33" s="21">
        <f>IF(K$2="x",'Symptomen (alle)'!J30,0)</f>
        <v>0</v>
      </c>
      <c r="L33" s="21">
        <f>IF(L$2="x",'Symptomen (alle)'!K30,0)</f>
        <v>0</v>
      </c>
      <c r="M33" s="21">
        <f>IF(M$2="x",'Symptomen (alle)'!L30,0)</f>
        <v>0</v>
      </c>
      <c r="N33" s="21">
        <f>IF(N$2="x",'Symptomen (alle)'!M30,0)</f>
        <v>0</v>
      </c>
      <c r="O33" s="21">
        <f>IF(O$2="x",'Symptomen (alle)'!N30,0)</f>
        <v>0</v>
      </c>
      <c r="P33" s="21">
        <f>IF(P$2="x",'Symptomen (alle)'!O30,0)</f>
        <v>0</v>
      </c>
      <c r="Q33" s="21">
        <f>IF(Q$2="x",'Symptomen (alle)'!P30,0)</f>
        <v>0</v>
      </c>
      <c r="R33" s="21">
        <f>IF(R$2="x",'Symptomen (alle)'!Q30,0)</f>
        <v>0</v>
      </c>
      <c r="S33" s="21">
        <f>IF(S$2="x",'Symptomen (alle)'!R30,0)</f>
        <v>0</v>
      </c>
      <c r="T33" s="21">
        <f>IF(T$2="x",'Symptomen (alle)'!S30,0)</f>
        <v>0</v>
      </c>
      <c r="U33" s="21">
        <f>IF(U$2="x",'Symptomen (alle)'!T30,0)</f>
        <v>0</v>
      </c>
      <c r="V33" s="21">
        <f>IF(V$2="x",'Symptomen (alle)'!U30,0)</f>
        <v>0</v>
      </c>
      <c r="W33" s="21">
        <f>IF(W$2="x",'Symptomen (alle)'!V30,0)</f>
        <v>0</v>
      </c>
      <c r="X33" s="21">
        <f>IF(X$2="x",'Symptomen (alle)'!W30,0)</f>
        <v>0</v>
      </c>
      <c r="Y33" s="21">
        <f>IF(Y$2="x",'Symptomen (alle)'!X30,0)</f>
        <v>0</v>
      </c>
      <c r="Z33" s="21">
        <f>IF(Z$2="x",'Symptomen (alle)'!Y30,0)</f>
        <v>1</v>
      </c>
      <c r="AA33" s="21">
        <f>IF(AA$2="x",'Symptomen (alle)'!Z30,0)</f>
        <v>0</v>
      </c>
      <c r="AB33" s="21">
        <f>IF(AB$2="x",'Symptomen (alle)'!AA30,0)</f>
        <v>0</v>
      </c>
      <c r="AC33" s="21">
        <f>IF(AC$2="x",'Symptomen (alle)'!AB30,0)</f>
        <v>2</v>
      </c>
      <c r="AD33" s="21">
        <f>IF(AD$2="x",'Symptomen (alle)'!AC30,0)</f>
        <v>0</v>
      </c>
      <c r="AE33" s="21">
        <f t="shared" si="11"/>
        <v>5</v>
      </c>
      <c r="AF33" s="21">
        <f>HLOOKUP($B$2,ZiekteFam!$B$1:$T$32,AG33,FALSE)</f>
        <v>3</v>
      </c>
      <c r="AG33" s="32">
        <f t="shared" si="12"/>
        <v>30</v>
      </c>
      <c r="AH33" s="32">
        <f>SUM('Symptomen (alle)'!D30:AC30)</f>
        <v>30</v>
      </c>
      <c r="AI33" s="22">
        <f>Tabel4246[[#This Row],[Kolom25]]/Tabel4246[[#This Row],[Kolom28]]</f>
        <v>0.16666666666666666</v>
      </c>
      <c r="AJ33" s="22"/>
      <c r="AK33" s="22">
        <f>Tabel4246[[#This Row],[Kolom29]]</f>
        <v>0.16666666666666666</v>
      </c>
      <c r="AL33" s="36">
        <f>_xlfn.RANK.EQ(Tabel4246[[#This Row],[Kolom29]],$AI$5:$AI$35)</f>
        <v>19</v>
      </c>
      <c r="AM33" s="135">
        <f>IF(E$2="x",(_xlfn.RANK.EQ(Tabel4246[[#This Row],[Kolom3]],E$5:E$35)),0)</f>
        <v>0</v>
      </c>
      <c r="AN33" s="135">
        <f>Tabel4246[[#This Row],[Kolom2911]]*AM$2</f>
        <v>0</v>
      </c>
      <c r="AO33" s="135">
        <f>IF(F$2="x",(_xlfn.RANK.EQ(Tabel4246[[#This Row],[Kolom4]],F$5:F$35)),0)</f>
        <v>0</v>
      </c>
      <c r="AP33" s="135">
        <f>Tabel4246[[#This Row],[Kolom29112]]*AO$2</f>
        <v>0</v>
      </c>
      <c r="AQ33" s="135">
        <f>IF(G$2="x",(_xlfn.RANK.EQ(Tabel4246[[#This Row],[Kolom5]],G$5:G$35)),0)</f>
        <v>0</v>
      </c>
      <c r="AR33" s="135">
        <f>Tabel4246[[#This Row],[Kolom29113]]*AQ$2</f>
        <v>0</v>
      </c>
      <c r="AS33" s="135">
        <f>IF(H$2="x",(_xlfn.RANK.EQ(Tabel4246[[#This Row],[Kolom6]],H$5:H$35)),0)</f>
        <v>0</v>
      </c>
      <c r="AT33" s="135">
        <f>Tabel4246[[#This Row],[Kolom29114]]*AS$2</f>
        <v>0</v>
      </c>
      <c r="AU33" s="135">
        <f>IF(I$2="x",(_xlfn.RANK.EQ(Tabel4246[[#This Row],[Kolom62]],I$5:I$35)),0)</f>
        <v>0</v>
      </c>
      <c r="AV33" s="135">
        <f>Tabel4246[[#This Row],[Kolom29115]]*AU$2</f>
        <v>0</v>
      </c>
      <c r="AW33" s="135">
        <f>IF(J$2="x",(_xlfn.RANK.EQ(Tabel4246[[#This Row],[Kolom7]],J$5:J$35)),0)</f>
        <v>7</v>
      </c>
      <c r="AX33" s="135">
        <f>Tabel4246[[#This Row],[Kolom29116]]*AW$2</f>
        <v>35</v>
      </c>
      <c r="AY33" s="135">
        <f>IF(K$2="x",(_xlfn.RANK.EQ(Tabel4246[[#This Row],[Kolom72]],K$5:K$35)),0)</f>
        <v>0</v>
      </c>
      <c r="AZ33" s="135">
        <f>Tabel4246[[#This Row],[Kolom29117]]*AY$2</f>
        <v>0</v>
      </c>
      <c r="BA33" s="135">
        <f>IF(L$2="x",(_xlfn.RANK.EQ(Tabel4246[[#This Row],[Kolom8]],L$5:L$35)),0)</f>
        <v>0</v>
      </c>
      <c r="BB33" s="135">
        <f>Tabel4246[[#This Row],[Kolom29118]]*BA$2</f>
        <v>0</v>
      </c>
      <c r="BC33" s="135">
        <f>IF(M$2="x",(_xlfn.RANK.EQ(Tabel4246[[#This Row],[Kolom9]],M$5:M$35)),0)</f>
        <v>0</v>
      </c>
      <c r="BD33" s="135">
        <f>Tabel4246[[#This Row],[Kolom29119]]*BC$2</f>
        <v>0</v>
      </c>
      <c r="BE33" s="135">
        <f>IF(N$2="x",(_xlfn.RANK.EQ(Tabel4246[[#This Row],[Kolom10]],N$5:N$35)),0)</f>
        <v>0</v>
      </c>
      <c r="BF33" s="135">
        <f>Tabel4246[[#This Row],[Kolom29120]]*BE$2</f>
        <v>0</v>
      </c>
      <c r="BG33" s="135">
        <f>IF(O$2="x",(_xlfn.RANK.EQ(Tabel4246[[#This Row],[Kolom11]],O$5:O$35)),0)</f>
        <v>0</v>
      </c>
      <c r="BH33" s="135">
        <f>Tabel4246[[#This Row],[Kolom29121]]*BG$2</f>
        <v>0</v>
      </c>
      <c r="BI33" s="135">
        <f>IF(P$2="x",(_xlfn.RANK.EQ(Tabel4246[[#This Row],[Kolom12]],P$5:P$35)),0)</f>
        <v>0</v>
      </c>
      <c r="BJ33" s="135">
        <f>Tabel4246[[#This Row],[Kolom29122]]*BI$2</f>
        <v>0</v>
      </c>
      <c r="BK33" s="135">
        <f>IF(Q$2="x",(_xlfn.RANK.EQ(Tabel4246[[#This Row],[Kolom13]],Q$5:Q$35)),0)</f>
        <v>0</v>
      </c>
      <c r="BL33" s="135">
        <f>Tabel4246[[#This Row],[Kolom29123]]*BK$2</f>
        <v>0</v>
      </c>
      <c r="BM33" s="135">
        <f>IF(R$2="x",(_xlfn.RANK.EQ(Tabel4246[[#This Row],[Kolom133]],R$5:R$35)),0)</f>
        <v>0</v>
      </c>
      <c r="BN33" s="135">
        <f>Tabel4246[[#This Row],[Kolom29124]]*BM$2</f>
        <v>0</v>
      </c>
      <c r="BO33" s="135">
        <f>IF(S$2="x",(_xlfn.RANK.EQ(Tabel4246[[#This Row],[Kolom132]],S$5:S$35)),0)</f>
        <v>0</v>
      </c>
      <c r="BP33" s="135">
        <f>Tabel4246[[#This Row],[Kolom29125]]*BO$2</f>
        <v>0</v>
      </c>
      <c r="BQ33" s="135">
        <f>IF(T$2="x",(_xlfn.RANK.EQ(Tabel4246[[#This Row],[Kolom14]],T$5:T$35)),0)</f>
        <v>0</v>
      </c>
      <c r="BR33" s="135">
        <f>Tabel4246[[#This Row],[Kolom29126]]*BQ$2</f>
        <v>0</v>
      </c>
      <c r="BS33" s="135">
        <f>IF(U$2="x",(_xlfn.RANK.EQ(Tabel4246[[#This Row],[Kolom16]],U$5:U$35)),0)</f>
        <v>0</v>
      </c>
      <c r="BT33" s="135">
        <f>Tabel4246[[#This Row],[Kolom29127]]*BS$2</f>
        <v>0</v>
      </c>
      <c r="BU33" s="135">
        <f>IF(V$2="x",(_xlfn.RANK.EQ(Tabel4246[[#This Row],[Kolom173]],V$5:V$35)),0)</f>
        <v>0</v>
      </c>
      <c r="BV33" s="135">
        <f>Tabel4246[[#This Row],[Kolom29128]]*BU$2</f>
        <v>0</v>
      </c>
      <c r="BW33" s="135">
        <f>IF(W$2="x",(_xlfn.RANK.EQ(Tabel4246[[#This Row],[Kolom172]],W$5:W$35)),0)</f>
        <v>0</v>
      </c>
      <c r="BX33" s="135">
        <f>Tabel4246[[#This Row],[Kolom29129]]*BW$2</f>
        <v>0</v>
      </c>
      <c r="BY33" s="135">
        <f>IF(X$2="x",(_xlfn.RANK.EQ(Tabel4246[[#This Row],[Kolom18]],X$5:X$35)),0)</f>
        <v>0</v>
      </c>
      <c r="BZ33" s="135">
        <f>Tabel4246[[#This Row],[Kolom29130]]*BY$2</f>
        <v>0</v>
      </c>
      <c r="CA33" s="135">
        <f>IF(Y$2="x",(_xlfn.RANK.EQ(Tabel4246[[#This Row],[Kolom19]],Y$5:Y$35)),0)</f>
        <v>0</v>
      </c>
      <c r="CB33" s="135">
        <f>Tabel4246[[#This Row],[Kolom29131]]*CA$2</f>
        <v>0</v>
      </c>
      <c r="CC33" s="135">
        <f>IF(Z$2="x",(_xlfn.RANK.EQ(Tabel4246[[#This Row],[Kolom20]],Z$5:Z$35)),0)</f>
        <v>20</v>
      </c>
      <c r="CD33" s="135">
        <f>Tabel4246[[#This Row],[Kolom29132]]*CC$2</f>
        <v>20</v>
      </c>
      <c r="CE33" s="135">
        <f>IF(AA$2="x",(_xlfn.RANK.EQ(Tabel4246[[#This Row],[Kolom21]],AA$5:AA$35)),0)</f>
        <v>0</v>
      </c>
      <c r="CF33" s="135">
        <f>Tabel4246[[#This Row],[Kolom29133]]*CE$2</f>
        <v>0</v>
      </c>
      <c r="CG33" s="135">
        <f>IF(AB$2="x",(_xlfn.RANK.EQ(Tabel4246[[#This Row],[Kolom22]],AB$5:AB$35)),0)</f>
        <v>0</v>
      </c>
      <c r="CH33" s="135">
        <f>Tabel4246[[#This Row],[Kolom29134]]*CG$2</f>
        <v>0</v>
      </c>
      <c r="CI33" s="135">
        <f>IF(AC$2="x",(_xlfn.RANK.EQ(Tabel4246[[#This Row],[Kolom223]],AC$5:AC$35)),0)</f>
        <v>17</v>
      </c>
      <c r="CJ33" s="135">
        <f>Tabel4246[[#This Row],[Kolom29135]]*CI$2</f>
        <v>17</v>
      </c>
      <c r="CK33" s="135">
        <f>IF(AD$2="x",(_xlfn.RANK.EQ(Tabel4246[[#This Row],[Kolom222]],AD$5:AD$35)),0)</f>
        <v>0</v>
      </c>
      <c r="CL33" s="135">
        <f>Tabel4246[[#This Row],[Kolom29136]]*CK$2</f>
        <v>0</v>
      </c>
      <c r="CM33" s="135">
        <f t="shared" si="13"/>
        <v>3</v>
      </c>
      <c r="CN33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Row],[Kolom29130]]+CA33+Tabel4246[[#This Row],[Kolom29132]]+Tabel4246[[#This Row],[Kolom29133]]+Tabel4246[[#This Row],[Kolom29134]]+Tabel4246[[#This Row],[Kolom29135]]+Tabel4246[[#This Row],[Kolom29136]])/Tabel4246[[#This Row],[Kolom29137]]</f>
        <v>14.666666666666666</v>
      </c>
      <c r="CO33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Row],[Kolom291302]]+CB33+Tabel4246[[#This Row],[Kolom291322]]+Tabel4246[[#This Row],[Kolom291332]]+Tabel4246[[#This Row],[Kolom291342]]+Tabel4246[[#This Row],[Kolom291352]]+Tabel4246[[#This Row],[Kolom291362]])/Tabel4246[[#This Row],[Kolom29137]]</f>
        <v>24</v>
      </c>
      <c r="CP33" s="142">
        <f>_xlfn.RANK.EQ(Tabel4246[[#This Row],[Kolom29138]],CN$5:CN$35,1)</f>
        <v>22</v>
      </c>
      <c r="CQ33" s="142">
        <f>_xlfn.RANK.EQ(Tabel4246[[#This Row],[Kolom291382]],CO$5:CO$35,1)</f>
        <v>14</v>
      </c>
    </row>
    <row r="34" spans="2:95">
      <c r="B34" s="21" t="str">
        <f>'Symptomen (alle)'!A31</f>
        <v>Poor Water Quality= verwijderen???= beter bij analyse:water waardes</v>
      </c>
      <c r="C34" s="21">
        <f>'Symptomen (alle)'!B31</f>
        <v>0</v>
      </c>
      <c r="D34" s="21">
        <f>IF(D$2="x",'Symptomen (alle)'!C31,0)</f>
        <v>0</v>
      </c>
      <c r="E34" s="21">
        <f>IF(E$2="x",'Symptomen (alle)'!D31,0)</f>
        <v>0</v>
      </c>
      <c r="F34" s="21">
        <f>IF(F$2="x",'Symptomen (alle)'!E31,0)</f>
        <v>0</v>
      </c>
      <c r="G34" s="21">
        <f>IF(G$2="x",'Symptomen (alle)'!F31,0)</f>
        <v>0</v>
      </c>
      <c r="H34" s="21">
        <f>IF(H$2="x",'Symptomen (alle)'!G31,0)</f>
        <v>0</v>
      </c>
      <c r="I34" s="21">
        <f>IF(I$2="x",'Symptomen (alle)'!H31,0)</f>
        <v>0</v>
      </c>
      <c r="J34" s="21">
        <f>IF(J$2="x",'Symptomen (alle)'!I31,0)</f>
        <v>1</v>
      </c>
      <c r="K34" s="21">
        <f>IF(K$2="x",'Symptomen (alle)'!J31,0)</f>
        <v>0</v>
      </c>
      <c r="L34" s="21">
        <f>IF(L$2="x",'Symptomen (alle)'!K31,0)</f>
        <v>0</v>
      </c>
      <c r="M34" s="21">
        <f>IF(M$2="x",'Symptomen (alle)'!L31,0)</f>
        <v>0</v>
      </c>
      <c r="N34" s="21">
        <f>IF(N$2="x",'Symptomen (alle)'!M31,0)</f>
        <v>0</v>
      </c>
      <c r="O34" s="21">
        <f>IF(O$2="x",'Symptomen (alle)'!N31,0)</f>
        <v>0</v>
      </c>
      <c r="P34" s="21">
        <f>IF(P$2="x",'Symptomen (alle)'!O31,0)</f>
        <v>0</v>
      </c>
      <c r="Q34" s="21">
        <f>IF(Q$2="x",'Symptomen (alle)'!P31,0)</f>
        <v>0</v>
      </c>
      <c r="R34" s="21">
        <f>IF(R$2="x",'Symptomen (alle)'!Q31,0)</f>
        <v>0</v>
      </c>
      <c r="S34" s="21">
        <f>IF(S$2="x",'Symptomen (alle)'!R31,0)</f>
        <v>0</v>
      </c>
      <c r="T34" s="21">
        <f>IF(T$2="x",'Symptomen (alle)'!S31,0)</f>
        <v>0</v>
      </c>
      <c r="U34" s="21">
        <f>IF(U$2="x",'Symptomen (alle)'!T31,0)</f>
        <v>0</v>
      </c>
      <c r="V34" s="21">
        <f>IF(V$2="x",'Symptomen (alle)'!U31,0)</f>
        <v>0</v>
      </c>
      <c r="W34" s="21">
        <f>IF(W$2="x",'Symptomen (alle)'!V31,0)</f>
        <v>0</v>
      </c>
      <c r="X34" s="21">
        <f>IF(X$2="x",'Symptomen (alle)'!W31,0)</f>
        <v>0</v>
      </c>
      <c r="Y34" s="21">
        <f>IF(Y$2="x",'Symptomen (alle)'!X31,0)</f>
        <v>0</v>
      </c>
      <c r="Z34" s="21">
        <f>IF(Z$2="x",'Symptomen (alle)'!Y31,0)</f>
        <v>2</v>
      </c>
      <c r="AA34" s="21">
        <f>IF(AA$2="x",'Symptomen (alle)'!Z31,0)</f>
        <v>0</v>
      </c>
      <c r="AB34" s="21">
        <f>IF(AB$2="x",'Symptomen (alle)'!AA31,0)</f>
        <v>0</v>
      </c>
      <c r="AC34" s="21">
        <f>IF(AC$2="x",'Symptomen (alle)'!AB31,0)</f>
        <v>10</v>
      </c>
      <c r="AD34" s="21">
        <f>IF(AD$2="x",'Symptomen (alle)'!AC31,0)</f>
        <v>0</v>
      </c>
      <c r="AE34" s="21">
        <f t="shared" si="11"/>
        <v>13</v>
      </c>
      <c r="AF34" s="21">
        <f>HLOOKUP($B$2,ZiekteFam!$B$1:$T$32,AG34,FALSE)</f>
        <v>0</v>
      </c>
      <c r="AG34" s="32">
        <f t="shared" si="12"/>
        <v>31</v>
      </c>
      <c r="AH34" s="32">
        <f>SUM('Symptomen (alle)'!D31:AC31)</f>
        <v>35</v>
      </c>
      <c r="AI34" s="22">
        <f>Tabel4246[[#This Row],[Kolom25]]/Tabel4246[[#This Row],[Kolom28]]</f>
        <v>0.37142857142857144</v>
      </c>
      <c r="AJ34" s="22"/>
      <c r="AK34" s="22">
        <f>Tabel4246[[#This Row],[Kolom29]]</f>
        <v>0.37142857142857144</v>
      </c>
      <c r="AL34" s="36">
        <f>_xlfn.RANK.EQ(Tabel4246[[#This Row],[Kolom29]],$AI$5:$AI$35)</f>
        <v>7</v>
      </c>
      <c r="AM34" s="135">
        <f>IF(E$2="x",(_xlfn.RANK.EQ(Tabel4246[[#This Row],[Kolom3]],E$5:E$35)),0)</f>
        <v>0</v>
      </c>
      <c r="AN34" s="135">
        <f>Tabel4246[[#This Row],[Kolom2911]]*AM$2</f>
        <v>0</v>
      </c>
      <c r="AO34" s="135">
        <f>IF(F$2="x",(_xlfn.RANK.EQ(Tabel4246[[#This Row],[Kolom4]],F$5:F$35)),0)</f>
        <v>0</v>
      </c>
      <c r="AP34" s="135">
        <f>Tabel4246[[#This Row],[Kolom29112]]*AO$2</f>
        <v>0</v>
      </c>
      <c r="AQ34" s="135">
        <f>IF(G$2="x",(_xlfn.RANK.EQ(Tabel4246[[#This Row],[Kolom5]],G$5:G$35)),0)</f>
        <v>0</v>
      </c>
      <c r="AR34" s="135">
        <f>Tabel4246[[#This Row],[Kolom29113]]*AQ$2</f>
        <v>0</v>
      </c>
      <c r="AS34" s="135">
        <f>IF(H$2="x",(_xlfn.RANK.EQ(Tabel4246[[#This Row],[Kolom6]],H$5:H$35)),0)</f>
        <v>0</v>
      </c>
      <c r="AT34" s="135">
        <f>Tabel4246[[#This Row],[Kolom29114]]*AS$2</f>
        <v>0</v>
      </c>
      <c r="AU34" s="135">
        <f>IF(I$2="x",(_xlfn.RANK.EQ(Tabel4246[[#This Row],[Kolom62]],I$5:I$35)),0)</f>
        <v>0</v>
      </c>
      <c r="AV34" s="135">
        <f>Tabel4246[[#This Row],[Kolom29115]]*AU$2</f>
        <v>0</v>
      </c>
      <c r="AW34" s="135">
        <f>IF(J$2="x",(_xlfn.RANK.EQ(Tabel4246[[#This Row],[Kolom7]],J$5:J$35)),0)</f>
        <v>16</v>
      </c>
      <c r="AX34" s="135">
        <f>Tabel4246[[#This Row],[Kolom29116]]*AW$2</f>
        <v>80</v>
      </c>
      <c r="AY34" s="135">
        <f>IF(K$2="x",(_xlfn.RANK.EQ(Tabel4246[[#This Row],[Kolom72]],K$5:K$35)),0)</f>
        <v>0</v>
      </c>
      <c r="AZ34" s="135">
        <f>Tabel4246[[#This Row],[Kolom29117]]*AY$2</f>
        <v>0</v>
      </c>
      <c r="BA34" s="135">
        <f>IF(L$2="x",(_xlfn.RANK.EQ(Tabel4246[[#This Row],[Kolom8]],L$5:L$35)),0)</f>
        <v>0</v>
      </c>
      <c r="BB34" s="135">
        <f>Tabel4246[[#This Row],[Kolom29118]]*BA$2</f>
        <v>0</v>
      </c>
      <c r="BC34" s="135">
        <f>IF(M$2="x",(_xlfn.RANK.EQ(Tabel4246[[#This Row],[Kolom9]],M$5:M$35)),0)</f>
        <v>0</v>
      </c>
      <c r="BD34" s="135">
        <f>Tabel4246[[#This Row],[Kolom29119]]*BC$2</f>
        <v>0</v>
      </c>
      <c r="BE34" s="135">
        <f>IF(N$2="x",(_xlfn.RANK.EQ(Tabel4246[[#This Row],[Kolom10]],N$5:N$35)),0)</f>
        <v>0</v>
      </c>
      <c r="BF34" s="135">
        <f>Tabel4246[[#This Row],[Kolom29120]]*BE$2</f>
        <v>0</v>
      </c>
      <c r="BG34" s="135">
        <f>IF(O$2="x",(_xlfn.RANK.EQ(Tabel4246[[#This Row],[Kolom11]],O$5:O$35)),0)</f>
        <v>0</v>
      </c>
      <c r="BH34" s="135">
        <f>Tabel4246[[#This Row],[Kolom29121]]*BG$2</f>
        <v>0</v>
      </c>
      <c r="BI34" s="135">
        <f>IF(P$2="x",(_xlfn.RANK.EQ(Tabel4246[[#This Row],[Kolom12]],P$5:P$35)),0)</f>
        <v>0</v>
      </c>
      <c r="BJ34" s="135">
        <f>Tabel4246[[#This Row],[Kolom29122]]*BI$2</f>
        <v>0</v>
      </c>
      <c r="BK34" s="135">
        <f>IF(Q$2="x",(_xlfn.RANK.EQ(Tabel4246[[#This Row],[Kolom13]],Q$5:Q$35)),0)</f>
        <v>0</v>
      </c>
      <c r="BL34" s="135">
        <f>Tabel4246[[#This Row],[Kolom29123]]*BK$2</f>
        <v>0</v>
      </c>
      <c r="BM34" s="135">
        <f>IF(R$2="x",(_xlfn.RANK.EQ(Tabel4246[[#This Row],[Kolom133]],R$5:R$35)),0)</f>
        <v>0</v>
      </c>
      <c r="BN34" s="135">
        <f>Tabel4246[[#This Row],[Kolom29124]]*BM$2</f>
        <v>0</v>
      </c>
      <c r="BO34" s="135">
        <f>IF(S$2="x",(_xlfn.RANK.EQ(Tabel4246[[#This Row],[Kolom132]],S$5:S$35)),0)</f>
        <v>0</v>
      </c>
      <c r="BP34" s="135">
        <f>Tabel4246[[#This Row],[Kolom29125]]*BO$2</f>
        <v>0</v>
      </c>
      <c r="BQ34" s="135">
        <f>IF(T$2="x",(_xlfn.RANK.EQ(Tabel4246[[#This Row],[Kolom14]],T$5:T$35)),0)</f>
        <v>0</v>
      </c>
      <c r="BR34" s="135">
        <f>Tabel4246[[#This Row],[Kolom29126]]*BQ$2</f>
        <v>0</v>
      </c>
      <c r="BS34" s="135">
        <f>IF(U$2="x",(_xlfn.RANK.EQ(Tabel4246[[#This Row],[Kolom16]],U$5:U$35)),0)</f>
        <v>0</v>
      </c>
      <c r="BT34" s="135">
        <f>Tabel4246[[#This Row],[Kolom29127]]*BS$2</f>
        <v>0</v>
      </c>
      <c r="BU34" s="135">
        <f>IF(V$2="x",(_xlfn.RANK.EQ(Tabel4246[[#This Row],[Kolom173]],V$5:V$35)),0)</f>
        <v>0</v>
      </c>
      <c r="BV34" s="135">
        <f>Tabel4246[[#This Row],[Kolom29128]]*BU$2</f>
        <v>0</v>
      </c>
      <c r="BW34" s="135">
        <f>IF(W$2="x",(_xlfn.RANK.EQ(Tabel4246[[#This Row],[Kolom172]],W$5:W$35)),0)</f>
        <v>0</v>
      </c>
      <c r="BX34" s="135">
        <f>Tabel4246[[#This Row],[Kolom29129]]*BW$2</f>
        <v>0</v>
      </c>
      <c r="BY34" s="135">
        <f>IF(X$2="x",(_xlfn.RANK.EQ(Tabel4246[[#This Row],[Kolom18]],X$5:X$35)),0)</f>
        <v>0</v>
      </c>
      <c r="BZ34" s="135">
        <f>Tabel4246[[#This Row],[Kolom29130]]*BY$2</f>
        <v>0</v>
      </c>
      <c r="CA34" s="135">
        <f>IF(Y$2="x",(_xlfn.RANK.EQ(Tabel4246[[#This Row],[Kolom19]],Y$5:Y$35)),0)</f>
        <v>0</v>
      </c>
      <c r="CB34" s="135">
        <f>Tabel4246[[#This Row],[Kolom29131]]*CA$2</f>
        <v>0</v>
      </c>
      <c r="CC34" s="135">
        <f>IF(Z$2="x",(_xlfn.RANK.EQ(Tabel4246[[#This Row],[Kolom20]],Z$5:Z$35)),0)</f>
        <v>10</v>
      </c>
      <c r="CD34" s="135">
        <f>Tabel4246[[#This Row],[Kolom29132]]*CC$2</f>
        <v>10</v>
      </c>
      <c r="CE34" s="135">
        <f>IF(AA$2="x",(_xlfn.RANK.EQ(Tabel4246[[#This Row],[Kolom21]],AA$5:AA$35)),0)</f>
        <v>0</v>
      </c>
      <c r="CF34" s="135">
        <f>Tabel4246[[#This Row],[Kolom29133]]*CE$2</f>
        <v>0</v>
      </c>
      <c r="CG34" s="135">
        <f>IF(AB$2="x",(_xlfn.RANK.EQ(Tabel4246[[#This Row],[Kolom22]],AB$5:AB$35)),0)</f>
        <v>0</v>
      </c>
      <c r="CH34" s="135">
        <f>Tabel4246[[#This Row],[Kolom29134]]*CG$2</f>
        <v>0</v>
      </c>
      <c r="CI34" s="135">
        <f>IF(AC$2="x",(_xlfn.RANK.EQ(Tabel4246[[#This Row],[Kolom223]],AC$5:AC$35)),0)</f>
        <v>1</v>
      </c>
      <c r="CJ34" s="135">
        <f>Tabel4246[[#This Row],[Kolom29135]]*CI$2</f>
        <v>1</v>
      </c>
      <c r="CK34" s="135">
        <f>IF(AD$2="x",(_xlfn.RANK.EQ(Tabel4246[[#This Row],[Kolom222]],AD$5:AD$35)),0)</f>
        <v>0</v>
      </c>
      <c r="CL34" s="135">
        <f>Tabel4246[[#This Row],[Kolom29136]]*CK$2</f>
        <v>0</v>
      </c>
      <c r="CM34" s="135">
        <f t="shared" si="13"/>
        <v>3</v>
      </c>
      <c r="CN34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Row],[Kolom29130]]+CA34+Tabel4246[[#This Row],[Kolom29132]]+Tabel4246[[#This Row],[Kolom29133]]+Tabel4246[[#This Row],[Kolom29134]]+Tabel4246[[#This Row],[Kolom29135]]+Tabel4246[[#This Row],[Kolom29136]])/Tabel4246[[#This Row],[Kolom29137]]</f>
        <v>9</v>
      </c>
      <c r="CO34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Row],[Kolom291302]]+CB34+Tabel4246[[#This Row],[Kolom291322]]+Tabel4246[[#This Row],[Kolom291332]]+Tabel4246[[#This Row],[Kolom291342]]+Tabel4246[[#This Row],[Kolom291352]]+Tabel4246[[#This Row],[Kolom291362]])/Tabel4246[[#This Row],[Kolom29137]]</f>
        <v>30.333333333333332</v>
      </c>
      <c r="CP34" s="142">
        <f>_xlfn.RANK.EQ(Tabel4246[[#This Row],[Kolom29138]],CN$5:CN$35,1)</f>
        <v>5</v>
      </c>
      <c r="CQ34" s="142">
        <f>_xlfn.RANK.EQ(Tabel4246[[#This Row],[Kolom291382]],CO$5:CO$35,1)</f>
        <v>16</v>
      </c>
    </row>
    <row r="35" spans="2:95">
      <c r="B35" s="21" t="str">
        <f>'Symptomen (alle)'!A32</f>
        <v>Nutritional deficiency/lack of (good) food</v>
      </c>
      <c r="C35" s="21">
        <f>'Symptomen (alle)'!B32</f>
        <v>0</v>
      </c>
      <c r="D35" s="21">
        <f>IF(D$2="x",'Symptomen (alle)'!C32,0)</f>
        <v>0</v>
      </c>
      <c r="E35" s="21">
        <f>IF(E$2="x",'Symptomen (alle)'!D32,0)</f>
        <v>0</v>
      </c>
      <c r="F35" s="21">
        <f>IF(F$2="x",'Symptomen (alle)'!E32,0)</f>
        <v>0</v>
      </c>
      <c r="G35" s="21">
        <f>IF(G$2="x",'Symptomen (alle)'!F32,0)</f>
        <v>0</v>
      </c>
      <c r="H35" s="21">
        <f>IF(H$2="x",'Symptomen (alle)'!G32,0)</f>
        <v>0</v>
      </c>
      <c r="I35" s="21">
        <f>IF(I$2="x",'Symptomen (alle)'!H32,0)</f>
        <v>0</v>
      </c>
      <c r="J35" s="21">
        <f>IF(J$2="x",'Symptomen (alle)'!I32,0)</f>
        <v>0</v>
      </c>
      <c r="K35" s="21">
        <f>IF(K$2="x",'Symptomen (alle)'!J32,0)</f>
        <v>0</v>
      </c>
      <c r="L35" s="21">
        <f>IF(L$2="x",'Symptomen (alle)'!K32,0)</f>
        <v>0</v>
      </c>
      <c r="M35" s="21">
        <f>IF(M$2="x",'Symptomen (alle)'!L32,0)</f>
        <v>0</v>
      </c>
      <c r="N35" s="21">
        <f>IF(N$2="x",'Symptomen (alle)'!M32,0)</f>
        <v>0</v>
      </c>
      <c r="O35" s="21">
        <f>IF(O$2="x",'Symptomen (alle)'!N32,0)</f>
        <v>0</v>
      </c>
      <c r="P35" s="21">
        <f>IF(P$2="x",'Symptomen (alle)'!O32,0)</f>
        <v>0</v>
      </c>
      <c r="Q35" s="21">
        <f>IF(Q$2="x",'Symptomen (alle)'!P32,0)</f>
        <v>0</v>
      </c>
      <c r="R35" s="21">
        <f>IF(R$2="x",'Symptomen (alle)'!Q32,0)</f>
        <v>0</v>
      </c>
      <c r="S35" s="21">
        <f>IF(S$2="x",'Symptomen (alle)'!R32,0)</f>
        <v>0</v>
      </c>
      <c r="T35" s="21">
        <f>IF(T$2="x",'Symptomen (alle)'!S32,0)</f>
        <v>0</v>
      </c>
      <c r="U35" s="21">
        <f>IF(U$2="x",'Symptomen (alle)'!T32,0)</f>
        <v>0</v>
      </c>
      <c r="V35" s="21">
        <f>IF(V$2="x",'Symptomen (alle)'!U32,0)</f>
        <v>0</v>
      </c>
      <c r="W35" s="21">
        <f>IF(W$2="x",'Symptomen (alle)'!V32,0)</f>
        <v>0</v>
      </c>
      <c r="X35" s="21">
        <f>IF(X$2="x",'Symptomen (alle)'!W32,0)</f>
        <v>0</v>
      </c>
      <c r="Y35" s="21">
        <f>IF(Y$2="x",'Symptomen (alle)'!X32,0)</f>
        <v>0</v>
      </c>
      <c r="Z35" s="21">
        <f>IF(Z$2="x",'Symptomen (alle)'!Y32,0)</f>
        <v>1</v>
      </c>
      <c r="AA35" s="21">
        <f>IF(AA$2="x",'Symptomen (alle)'!Z32,0)</f>
        <v>0</v>
      </c>
      <c r="AB35" s="21">
        <f>IF(AB$2="x",'Symptomen (alle)'!AA32,0)</f>
        <v>0</v>
      </c>
      <c r="AC35" s="21">
        <f>IF(AC$2="x",'Symptomen (alle)'!AB32,0)</f>
        <v>10</v>
      </c>
      <c r="AD35" s="21">
        <f>IF(AD$2="x",'Symptomen (alle)'!AC32,0)</f>
        <v>0</v>
      </c>
      <c r="AE35" s="21">
        <f t="shared" si="11"/>
        <v>11</v>
      </c>
      <c r="AF35" s="21">
        <f>HLOOKUP($B$2,ZiekteFam!$B$1:$T$32,AG35,FALSE)</f>
        <v>0</v>
      </c>
      <c r="AG35" s="32">
        <f t="shared" si="12"/>
        <v>32</v>
      </c>
      <c r="AH35" s="32">
        <f>SUM('Symptomen (alle)'!D32:AC32)</f>
        <v>39</v>
      </c>
      <c r="AI35" s="22">
        <f>Tabel4246[[#This Row],[Kolom25]]/Tabel4246[[#This Row],[Kolom28]]</f>
        <v>0.28205128205128205</v>
      </c>
      <c r="AJ35" s="22"/>
      <c r="AK35" s="22">
        <f>Tabel4246[[#This Row],[Kolom29]]</f>
        <v>0.28205128205128205</v>
      </c>
      <c r="AL35" s="36">
        <f>_xlfn.RANK.EQ(Tabel4246[[#This Row],[Kolom29]],$AI$5:$AI$35)</f>
        <v>11</v>
      </c>
      <c r="AM35" s="135">
        <f>IF(E$2="x",(_xlfn.RANK.EQ(Tabel4246[[#This Row],[Kolom3]],E$5:E$35)),0)</f>
        <v>0</v>
      </c>
      <c r="AN35" s="135">
        <f>Tabel4246[[#This Row],[Kolom2911]]*AM$2</f>
        <v>0</v>
      </c>
      <c r="AO35" s="135">
        <f>IF(F$2="x",(_xlfn.RANK.EQ(Tabel4246[[#This Row],[Kolom4]],F$5:F$35)),0)</f>
        <v>0</v>
      </c>
      <c r="AP35" s="135">
        <f>Tabel4246[[#This Row],[Kolom29112]]*AO$2</f>
        <v>0</v>
      </c>
      <c r="AQ35" s="135">
        <f>IF(G$2="x",(_xlfn.RANK.EQ(Tabel4246[[#This Row],[Kolom5]],G$5:G$35)),0)</f>
        <v>0</v>
      </c>
      <c r="AR35" s="135">
        <f>Tabel4246[[#This Row],[Kolom29113]]*AQ$2</f>
        <v>0</v>
      </c>
      <c r="AS35" s="135">
        <f>IF(H$2="x",(_xlfn.RANK.EQ(Tabel4246[[#This Row],[Kolom6]],H$5:H$35)),0)</f>
        <v>0</v>
      </c>
      <c r="AT35" s="135">
        <f>Tabel4246[[#This Row],[Kolom29114]]*AS$2</f>
        <v>0</v>
      </c>
      <c r="AU35" s="135">
        <f>IF(I$2="x",(_xlfn.RANK.EQ(Tabel4246[[#This Row],[Kolom62]],I$5:I$35)),0)</f>
        <v>0</v>
      </c>
      <c r="AV35" s="135">
        <f>Tabel4246[[#This Row],[Kolom29115]]*AU$2</f>
        <v>0</v>
      </c>
      <c r="AW35" s="135">
        <f>IF(J$2="x",(_xlfn.RANK.EQ(Tabel4246[[#This Row],[Kolom7]],J$5:J$35)),0)</f>
        <v>23</v>
      </c>
      <c r="AX35" s="135">
        <f>Tabel4246[[#This Row],[Kolom29116]]*AW$2</f>
        <v>115</v>
      </c>
      <c r="AY35" s="135">
        <f>IF(K$2="x",(_xlfn.RANK.EQ(Tabel4246[[#This Row],[Kolom72]],K$5:K$35)),0)</f>
        <v>0</v>
      </c>
      <c r="AZ35" s="135">
        <f>Tabel4246[[#This Row],[Kolom29117]]*AY$2</f>
        <v>0</v>
      </c>
      <c r="BA35" s="135">
        <f>IF(L$2="x",(_xlfn.RANK.EQ(Tabel4246[[#This Row],[Kolom8]],L$5:L$35)),0)</f>
        <v>0</v>
      </c>
      <c r="BB35" s="135">
        <f>Tabel4246[[#This Row],[Kolom29118]]*BA$2</f>
        <v>0</v>
      </c>
      <c r="BC35" s="135">
        <f>IF(M$2="x",(_xlfn.RANK.EQ(Tabel4246[[#This Row],[Kolom9]],M$5:M$35)),0)</f>
        <v>0</v>
      </c>
      <c r="BD35" s="135">
        <f>Tabel4246[[#This Row],[Kolom29119]]*BC$2</f>
        <v>0</v>
      </c>
      <c r="BE35" s="135">
        <f>IF(N$2="x",(_xlfn.RANK.EQ(Tabel4246[[#This Row],[Kolom10]],N$5:N$35)),0)</f>
        <v>0</v>
      </c>
      <c r="BF35" s="135">
        <f>Tabel4246[[#This Row],[Kolom29120]]*BE$2</f>
        <v>0</v>
      </c>
      <c r="BG35" s="135">
        <f>IF(O$2="x",(_xlfn.RANK.EQ(Tabel4246[[#This Row],[Kolom11]],O$5:O$35)),0)</f>
        <v>0</v>
      </c>
      <c r="BH35" s="135">
        <f>Tabel4246[[#This Row],[Kolom29121]]*BG$2</f>
        <v>0</v>
      </c>
      <c r="BI35" s="135">
        <f>IF(P$2="x",(_xlfn.RANK.EQ(Tabel4246[[#This Row],[Kolom12]],P$5:P$35)),0)</f>
        <v>0</v>
      </c>
      <c r="BJ35" s="135">
        <f>Tabel4246[[#This Row],[Kolom29122]]*BI$2</f>
        <v>0</v>
      </c>
      <c r="BK35" s="135">
        <f>IF(Q$2="x",(_xlfn.RANK.EQ(Tabel4246[[#This Row],[Kolom13]],Q$5:Q$35)),0)</f>
        <v>0</v>
      </c>
      <c r="BL35" s="135">
        <f>Tabel4246[[#This Row],[Kolom29123]]*BK$2</f>
        <v>0</v>
      </c>
      <c r="BM35" s="135">
        <f>IF(R$2="x",(_xlfn.RANK.EQ(Tabel4246[[#This Row],[Kolom133]],R$5:R$35)),0)</f>
        <v>0</v>
      </c>
      <c r="BN35" s="135">
        <f>Tabel4246[[#This Row],[Kolom29124]]*BM$2</f>
        <v>0</v>
      </c>
      <c r="BO35" s="135">
        <f>IF(S$2="x",(_xlfn.RANK.EQ(Tabel4246[[#This Row],[Kolom132]],S$5:S$35)),0)</f>
        <v>0</v>
      </c>
      <c r="BP35" s="135">
        <f>Tabel4246[[#This Row],[Kolom29125]]*BO$2</f>
        <v>0</v>
      </c>
      <c r="BQ35" s="135">
        <f>IF(T$2="x",(_xlfn.RANK.EQ(Tabel4246[[#This Row],[Kolom14]],T$5:T$35)),0)</f>
        <v>0</v>
      </c>
      <c r="BR35" s="135">
        <f>Tabel4246[[#This Row],[Kolom29126]]*BQ$2</f>
        <v>0</v>
      </c>
      <c r="BS35" s="135">
        <f>IF(U$2="x",(_xlfn.RANK.EQ(Tabel4246[[#This Row],[Kolom16]],U$5:U$35)),0)</f>
        <v>0</v>
      </c>
      <c r="BT35" s="135">
        <f>Tabel4246[[#This Row],[Kolom29127]]*BS$2</f>
        <v>0</v>
      </c>
      <c r="BU35" s="135">
        <f>IF(V$2="x",(_xlfn.RANK.EQ(Tabel4246[[#This Row],[Kolom173]],V$5:V$35)),0)</f>
        <v>0</v>
      </c>
      <c r="BV35" s="135">
        <f>Tabel4246[[#This Row],[Kolom29128]]*BU$2</f>
        <v>0</v>
      </c>
      <c r="BW35" s="135">
        <f>IF(W$2="x",(_xlfn.RANK.EQ(Tabel4246[[#This Row],[Kolom172]],W$5:W$35)),0)</f>
        <v>0</v>
      </c>
      <c r="BX35" s="135">
        <f>Tabel4246[[#This Row],[Kolom29129]]*BW$2</f>
        <v>0</v>
      </c>
      <c r="BY35" s="135">
        <f>IF(X$2="x",(_xlfn.RANK.EQ(Tabel4246[[#This Row],[Kolom18]],X$5:X$35)),0)</f>
        <v>0</v>
      </c>
      <c r="BZ35" s="135">
        <f>Tabel4246[[#This Row],[Kolom29130]]*BY$2</f>
        <v>0</v>
      </c>
      <c r="CA35" s="135">
        <f>IF(Y$2="x",(_xlfn.RANK.EQ(Tabel4246[[#This Row],[Kolom19]],Y$5:Y$35)),0)</f>
        <v>0</v>
      </c>
      <c r="CB35" s="135">
        <f>Tabel4246[[#This Row],[Kolom29131]]*CA$2</f>
        <v>0</v>
      </c>
      <c r="CC35" s="135">
        <f>IF(Z$2="x",(_xlfn.RANK.EQ(Tabel4246[[#This Row],[Kolom20]],Z$5:Z$35)),0)</f>
        <v>20</v>
      </c>
      <c r="CD35" s="135">
        <f>Tabel4246[[#This Row],[Kolom29132]]*CC$2</f>
        <v>20</v>
      </c>
      <c r="CE35" s="135">
        <f>IF(AA$2="x",(_xlfn.RANK.EQ(Tabel4246[[#This Row],[Kolom21]],AA$5:AA$35)),0)</f>
        <v>0</v>
      </c>
      <c r="CF35" s="135">
        <f>Tabel4246[[#This Row],[Kolom29133]]*CE$2</f>
        <v>0</v>
      </c>
      <c r="CG35" s="135">
        <f>IF(AB$2="x",(_xlfn.RANK.EQ(Tabel4246[[#This Row],[Kolom22]],AB$5:AB$35)),0)</f>
        <v>0</v>
      </c>
      <c r="CH35" s="135">
        <f>Tabel4246[[#This Row],[Kolom29134]]*CG$2</f>
        <v>0</v>
      </c>
      <c r="CI35" s="135">
        <f>IF(AC$2="x",(_xlfn.RANK.EQ(Tabel4246[[#This Row],[Kolom223]],AC$5:AC$35)),0)</f>
        <v>1</v>
      </c>
      <c r="CJ35" s="135">
        <f>Tabel4246[[#This Row],[Kolom29135]]*CI$2</f>
        <v>1</v>
      </c>
      <c r="CK35" s="135">
        <f>IF(AD$2="x",(_xlfn.RANK.EQ(Tabel4246[[#This Row],[Kolom222]],AD$5:AD$35)),0)</f>
        <v>0</v>
      </c>
      <c r="CL35" s="135">
        <f>Tabel4246[[#This Row],[Kolom29136]]*CK$2</f>
        <v>0</v>
      </c>
      <c r="CM35" s="135">
        <f t="shared" si="13"/>
        <v>3</v>
      </c>
      <c r="CN35" s="135">
        <f>(Tabel4246[[#This Row],[Kolom2911]]+Tabel4246[[#This Row],[Kolom29112]]+Tabel4246[[#This Row],[Kolom29113]]+Tabel4246[[#This Row],[Kolom29114]]+Tabel4246[[#This Row],[Kolom29115]]+Tabel4246[[#This Row],[Kolom29116]]+Tabel4246[[#This Row],[Kolom29117]]+Tabel4246[[#This Row],[Kolom29118]]+Tabel4246[[#This Row],[Kolom29119]]+Tabel4246[[#This Row],[Kolom29120]]+Tabel4246[[#This Row],[Kolom29121]]+Tabel4246[[#This Row],[Kolom29122]]+Tabel4246[[#This Row],[Kolom29123]]+Tabel4246[[#This Row],[Kolom29124]]+Tabel4246[[#This Row],[Kolom29125]]+Tabel4246[[#This Row],[Kolom29126]]+Tabel4246[[#This Row],[Kolom29127]]+Tabel4246[[#This Row],[Kolom29128]]+Tabel4246[[#This Row],[Kolom29129]]+Tabel4246[[#This Row],[Kolom29130]]+CA35+Tabel4246[[#This Row],[Kolom29132]]+Tabel4246[[#This Row],[Kolom29133]]+Tabel4246[[#This Row],[Kolom29134]]+Tabel4246[[#This Row],[Kolom29135]]+Tabel4246[[#This Row],[Kolom29136]])/Tabel4246[[#This Row],[Kolom29137]]</f>
        <v>14.666666666666666</v>
      </c>
      <c r="CO35" s="135">
        <f>(Tabel4246[[#This Row],[Kolom291110]]+Tabel4246[[#This Row],[Kolom291122]]+Tabel4246[[#This Row],[Kolom291132]]+Tabel4246[[#This Row],[Kolom291142]]+Tabel4246[[#This Row],[Kolom291152]]+Tabel4246[[#This Row],[Kolom291162]]+Tabel4246[[#This Row],[Kolom291172]]+Tabel4246[[#This Row],[Kolom291182]]+Tabel4246[[#This Row],[Kolom291192]]+Tabel4246[[#This Row],[Kolom291202]]+Tabel4246[[#This Row],[Kolom291212]]+Tabel4246[[#This Row],[Kolom291222]]+Tabel4246[[#This Row],[Kolom291232]]+Tabel4246[[#This Row],[Kolom291242]]+Tabel4246[[#This Row],[Kolom291252]]+Tabel4246[[#This Row],[Kolom291262]]+Tabel4246[[#This Row],[Kolom291272]]+Tabel4246[[#This Row],[Kolom291282]]+Tabel4246[[#This Row],[Kolom291292]]+Tabel4246[[#This Row],[Kolom291302]]+CB35+Tabel4246[[#This Row],[Kolom291322]]+Tabel4246[[#This Row],[Kolom291332]]+Tabel4246[[#This Row],[Kolom291342]]+Tabel4246[[#This Row],[Kolom291352]]+Tabel4246[[#This Row],[Kolom291362]])/Tabel4246[[#This Row],[Kolom29137]]</f>
        <v>45.333333333333336</v>
      </c>
      <c r="CP35" s="142">
        <f>_xlfn.RANK.EQ(Tabel4246[[#This Row],[Kolom29138]],CN$5:CN$35,1)</f>
        <v>22</v>
      </c>
      <c r="CQ35" s="142">
        <f>_xlfn.RANK.EQ(Tabel4246[[#This Row],[Kolom291382]],CO$5:CO$35,1)</f>
        <v>29</v>
      </c>
    </row>
    <row r="39" spans="2:95">
      <c r="B39" t="s">
        <v>88</v>
      </c>
    </row>
    <row r="41" spans="2:95">
      <c r="B41" t="s">
        <v>82</v>
      </c>
    </row>
    <row r="42" spans="2:95">
      <c r="B42" t="s">
        <v>83</v>
      </c>
    </row>
    <row r="43" spans="2:95">
      <c r="B43" t="s">
        <v>84</v>
      </c>
    </row>
    <row r="44" spans="2:95">
      <c r="B44" t="s">
        <v>85</v>
      </c>
    </row>
    <row r="45" spans="2:95">
      <c r="B45" t="s">
        <v>86</v>
      </c>
    </row>
    <row r="46" spans="2:95">
      <c r="B46" t="s">
        <v>87</v>
      </c>
    </row>
    <row r="48" spans="2:95">
      <c r="B48" t="s">
        <v>89</v>
      </c>
    </row>
  </sheetData>
  <sheetProtection sheet="1" objects="1" scenarios="1"/>
  <conditionalFormatting sqref="AI5:AJ35 AL5:AL35">
    <cfRule type="expression" dxfId="114" priority="5">
      <formula>$D5="x"</formula>
    </cfRule>
  </conditionalFormatting>
  <conditionalFormatting sqref="AK5:AK35">
    <cfRule type="expression" dxfId="113" priority="2">
      <formula>$AF5=10</formula>
    </cfRule>
    <cfRule type="expression" dxfId="112" priority="3">
      <formula>$AF5=3</formula>
    </cfRule>
    <cfRule type="expression" dxfId="111" priority="4">
      <formula>$AF5=0</formula>
    </cfRule>
  </conditionalFormatting>
  <conditionalFormatting sqref="C26:C27">
    <cfRule type="expression" dxfId="110" priority="1">
      <formula>$D26="x"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ZiekteFam!$A$38:$A$56</xm:f>
          </x14:formula1>
          <xm:sqref>B2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"/>
  <sheetViews>
    <sheetView topLeftCell="A2" workbookViewId="0">
      <pane xSplit="2" ySplit="5" topLeftCell="AY21" activePane="bottomRight" state="frozen"/>
      <selection activeCell="A46" sqref="A46"/>
      <selection pane="topRight" activeCell="A46" sqref="A46"/>
      <selection pane="bottomLeft" activeCell="A46" sqref="A46"/>
      <selection pane="bottomRight" activeCell="BL25" sqref="BL25"/>
    </sheetView>
  </sheetViews>
  <sheetFormatPr baseColWidth="10" defaultColWidth="11.5" defaultRowHeight="14" x14ac:dyDescent="0"/>
  <cols>
    <col min="1" max="1" width="29" bestFit="1" customWidth="1"/>
    <col min="2" max="2" width="39.6640625" customWidth="1"/>
    <col min="3" max="3" width="5" customWidth="1"/>
    <col min="4" max="30" width="4" customWidth="1"/>
    <col min="31" max="31" width="6" customWidth="1"/>
    <col min="32" max="32" width="10.5" bestFit="1" customWidth="1"/>
    <col min="33" max="33" width="4.1640625" customWidth="1"/>
    <col min="34" max="34" width="4.6640625" customWidth="1"/>
    <col min="35" max="35" width="7.1640625" customWidth="1"/>
    <col min="36" max="36" width="5" customWidth="1"/>
    <col min="37" max="39" width="4.5" customWidth="1"/>
    <col min="40" max="40" width="4" customWidth="1"/>
    <col min="41" max="43" width="3.6640625" customWidth="1"/>
    <col min="44" max="44" width="3.5" customWidth="1"/>
    <col min="45" max="45" width="3.33203125" customWidth="1"/>
    <col min="46" max="48" width="3.1640625" customWidth="1"/>
    <col min="49" max="50" width="4.5" customWidth="1"/>
    <col min="51" max="51" width="5.6640625" customWidth="1"/>
    <col min="52" max="53" width="6.33203125" customWidth="1"/>
    <col min="54" max="54" width="5.33203125" customWidth="1"/>
    <col min="55" max="57" width="5.6640625" customWidth="1"/>
    <col min="58" max="59" width="4.83203125" customWidth="1"/>
    <col min="60" max="60" width="9.5" customWidth="1"/>
    <col min="61" max="61" width="8.1640625" customWidth="1"/>
    <col min="62" max="62" width="7.33203125" customWidth="1"/>
    <col min="63" max="63" width="6.5" customWidth="1"/>
    <col min="64" max="64" width="5.33203125" customWidth="1"/>
    <col min="65" max="70" width="5.83203125" customWidth="1"/>
    <col min="71" max="71" width="10.5" bestFit="1" customWidth="1"/>
    <col min="72" max="72" width="3.5" bestFit="1" customWidth="1"/>
  </cols>
  <sheetData>
    <row r="1" spans="1:70">
      <c r="A1" t="s">
        <v>41</v>
      </c>
    </row>
    <row r="2" spans="1:70">
      <c r="D2" t="s">
        <v>42</v>
      </c>
    </row>
    <row r="3" spans="1:70" ht="289">
      <c r="A3" t="s">
        <v>47</v>
      </c>
      <c r="B3" t="s">
        <v>43</v>
      </c>
      <c r="C3" s="18" t="str">
        <f>'Symptomen (alle)'!B1</f>
        <v>lijken op elkaar</v>
      </c>
      <c r="D3" s="18" t="str">
        <f>'Symptomen (alle)'!C1</f>
        <v>Pathogen visible to_x000D_ naked eye</v>
      </c>
      <c r="E3" s="18" t="str">
        <f>'Symptomen (alle)'!D1</f>
        <v>Colour_x000D_change/Darkening</v>
      </c>
      <c r="F3" s="18" t="str">
        <f>'Symptomen (alle)'!E1</f>
        <v>Pop-eye</v>
      </c>
      <c r="G3" s="18" t="str">
        <f>'Symptomen (alle)'!F1</f>
        <v>Swollen Belly/Dropsy/ascites</v>
      </c>
      <c r="H3" s="18" t="str">
        <f>'Symptomen (alle)'!G1</f>
        <v>Reddish wounds/Skin ulcer/heamorrhage/Bleeding skin</v>
      </c>
      <c r="I3" s="18" t="str">
        <f>'Symptomen (alle)'!H1</f>
        <v>Extra growth/swelling on body/skin/little creature</v>
      </c>
      <c r="J3" s="18" t="str">
        <f>'Symptomen (alle)'!I1</f>
        <v>Body Whitish/Necrotic lesion/Holes</v>
      </c>
      <c r="K3" s="18" t="str">
        <f>'Symptomen (alle)'!J1</f>
        <v>Scale loss</v>
      </c>
      <c r="L3" s="18" t="str">
        <f>'Symptomen (alle)'!K1</f>
        <v>Fin rot/damage</v>
      </c>
      <c r="M3" s="18" t="str">
        <f>'Symptomen (alle)'!L1</f>
        <v>White Mucus/Extra Slime/Cloudy/Turbid skin</v>
      </c>
      <c r="N3" s="18" t="str">
        <f>'Symptomen (alle)'!M1</f>
        <v>Faecal cast/Excrement strings at anus</v>
      </c>
      <c r="O3" s="18" t="str">
        <f>'Symptomen (alle)'!N1</f>
        <v>Clamped/Fraying fins</v>
      </c>
      <c r="P3" s="18" t="str">
        <f>'Symptomen (alle)'!O1</f>
        <v>Cotton growth</v>
      </c>
      <c r="Q3" s="18" t="str">
        <f>'Symptomen (alle)'!P1</f>
        <v>White spots</v>
      </c>
      <c r="R3" s="18" t="str">
        <f>'Symptomen (alle)'!Q1</f>
        <v>White large specks/growths</v>
      </c>
      <c r="S3" s="18" t="str">
        <f>'Symptomen (alle)'!R1</f>
        <v>Black spots</v>
      </c>
      <c r="T3" s="18" t="str">
        <f>'Symptomen (alle)'!S1</f>
        <v>Dusty look/fine pepper spots</v>
      </c>
      <c r="U3" s="18" t="str">
        <f>'Symptomen (alle)'!T1</f>
        <v>Listless(V): Laying on bottom</v>
      </c>
      <c r="V3" s="18" t="str">
        <f>'Symptomen (alle)'!U1</f>
        <v>Listless(V): hanging at surface</v>
      </c>
      <c r="W3" s="18" t="str">
        <f>'Symptomen (alle)'!V1</f>
        <v>Scraping(V)</v>
      </c>
      <c r="X3" s="18" t="str">
        <f>'Symptomen (alle)'!W1</f>
        <v>Respiratory problems(V)</v>
      </c>
      <c r="Y3" s="18" t="str">
        <f>'Symptomen (alle)'!X1</f>
        <v>"Abnormal"/stressbehavior(V)</v>
      </c>
      <c r="Z3" s="18" t="str">
        <f>'Symptomen (alle)'!Y1</f>
        <v>Increased mortalitities(uit???)</v>
      </c>
      <c r="AA3" s="18" t="str">
        <f>'Symptomen (alle)'!Z1</f>
        <v>Fighting (v)</v>
      </c>
      <c r="AB3" s="18" t="str">
        <f>'Symptomen (alle)'!AA1</f>
        <v>Coughing (v)</v>
      </c>
      <c r="AC3" s="18" t="str">
        <f>'Symptomen (alle)'!AB1</f>
        <v>Emaciation/Exhaustion Progress</v>
      </c>
      <c r="AD3" s="18" t="str">
        <f>'Symptomen (alle)'!AC1</f>
        <v>Less appetite/less eating</v>
      </c>
      <c r="AE3" s="18" t="s">
        <v>45</v>
      </c>
      <c r="AF3" s="18" t="s">
        <v>79</v>
      </c>
      <c r="AG3" s="29" t="s">
        <v>78</v>
      </c>
      <c r="AH3" s="29" t="s">
        <v>48</v>
      </c>
      <c r="AI3" s="18" t="s">
        <v>74</v>
      </c>
      <c r="AJ3" s="18" t="s">
        <v>121</v>
      </c>
      <c r="AK3" s="18" t="s">
        <v>204</v>
      </c>
      <c r="AL3" s="18" t="s">
        <v>222</v>
      </c>
      <c r="AM3" s="18" t="s">
        <v>122</v>
      </c>
      <c r="AN3" s="18" t="s">
        <v>123</v>
      </c>
      <c r="AO3" s="18" t="s">
        <v>208</v>
      </c>
      <c r="AP3" s="18" t="s">
        <v>224</v>
      </c>
      <c r="AQ3" s="18" t="s">
        <v>100</v>
      </c>
      <c r="AR3" s="18" t="s">
        <v>102</v>
      </c>
      <c r="AS3" s="35" t="s">
        <v>104</v>
      </c>
      <c r="AT3" s="35" t="s">
        <v>202</v>
      </c>
      <c r="AU3" s="35" t="s">
        <v>226</v>
      </c>
      <c r="AV3" s="35" t="s">
        <v>108</v>
      </c>
      <c r="AW3" s="35" t="s">
        <v>117</v>
      </c>
      <c r="AX3" s="35" t="s">
        <v>118</v>
      </c>
      <c r="AY3" s="58" t="s">
        <v>206</v>
      </c>
      <c r="AZ3" s="58" t="s">
        <v>229</v>
      </c>
      <c r="BA3" s="58" t="s">
        <v>152</v>
      </c>
      <c r="BB3" s="58" t="s">
        <v>228</v>
      </c>
      <c r="BC3" s="35" t="s">
        <v>214</v>
      </c>
      <c r="BD3" s="35" t="s">
        <v>231</v>
      </c>
      <c r="BE3" s="35" t="s">
        <v>128</v>
      </c>
      <c r="BF3" s="35" t="s">
        <v>129</v>
      </c>
      <c r="BG3" s="35" t="s">
        <v>130</v>
      </c>
      <c r="BH3" s="57" t="s">
        <v>234</v>
      </c>
      <c r="BI3" s="57" t="s">
        <v>235</v>
      </c>
      <c r="BJ3" s="57" t="s">
        <v>232</v>
      </c>
      <c r="BK3" s="57" t="s">
        <v>233</v>
      </c>
      <c r="BL3" s="18" t="s">
        <v>80</v>
      </c>
      <c r="BM3" s="57" t="s">
        <v>241</v>
      </c>
      <c r="BN3" s="57" t="s">
        <v>240</v>
      </c>
      <c r="BO3" s="57" t="s">
        <v>242</v>
      </c>
      <c r="BP3" s="57" t="s">
        <v>243</v>
      </c>
      <c r="BQ3" s="57" t="s">
        <v>244</v>
      </c>
      <c r="BR3" s="18" t="s">
        <v>75</v>
      </c>
    </row>
    <row r="4" spans="1:70">
      <c r="A4" s="20" t="str">
        <f>Berekening!A4</f>
        <v>Bacteriële infectie en Mycobacterium</v>
      </c>
      <c r="B4" s="20" t="s">
        <v>248</v>
      </c>
      <c r="C4" s="20"/>
      <c r="D4" s="20"/>
      <c r="E4" s="20" t="s">
        <v>90</v>
      </c>
      <c r="F4" s="20" t="s">
        <v>90</v>
      </c>
      <c r="G4" s="20" t="s">
        <v>90</v>
      </c>
      <c r="H4" s="20" t="s">
        <v>90</v>
      </c>
      <c r="I4" s="20"/>
      <c r="J4" s="20" t="s">
        <v>90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90</v>
      </c>
      <c r="Y4" s="20"/>
      <c r="Z4" s="20"/>
      <c r="AA4" s="20"/>
      <c r="AB4" s="20"/>
      <c r="AC4" s="20" t="s">
        <v>90</v>
      </c>
      <c r="AD4" s="20" t="s">
        <v>90</v>
      </c>
      <c r="AF4" s="30"/>
      <c r="AG4" s="30"/>
    </row>
    <row r="5" spans="1:70" hidden="1">
      <c r="B5" s="19" t="s">
        <v>49</v>
      </c>
      <c r="C5" s="19" t="s">
        <v>170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179</v>
      </c>
      <c r="J5" t="s">
        <v>55</v>
      </c>
      <c r="K5" t="s">
        <v>94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178</v>
      </c>
      <c r="S5" t="s">
        <v>177</v>
      </c>
      <c r="T5" t="s">
        <v>62</v>
      </c>
      <c r="U5" t="s">
        <v>63</v>
      </c>
      <c r="V5" t="s">
        <v>161</v>
      </c>
      <c r="W5" t="s">
        <v>160</v>
      </c>
      <c r="X5" t="s">
        <v>64</v>
      </c>
      <c r="Y5" t="s">
        <v>65</v>
      </c>
      <c r="Z5" t="s">
        <v>66</v>
      </c>
      <c r="AA5" t="s">
        <v>67</v>
      </c>
      <c r="AB5" t="s">
        <v>68</v>
      </c>
      <c r="AC5" t="s">
        <v>97</v>
      </c>
      <c r="AD5" t="s">
        <v>96</v>
      </c>
      <c r="AE5" t="s">
        <v>69</v>
      </c>
      <c r="AF5" t="s">
        <v>70</v>
      </c>
      <c r="AG5" s="30" t="s">
        <v>71</v>
      </c>
      <c r="AH5" s="30" t="s">
        <v>72</v>
      </c>
      <c r="AI5" t="s">
        <v>73</v>
      </c>
      <c r="AJ5" t="s">
        <v>105</v>
      </c>
      <c r="AK5" t="s">
        <v>203</v>
      </c>
      <c r="AL5" t="s">
        <v>220</v>
      </c>
      <c r="AM5" t="s">
        <v>113</v>
      </c>
      <c r="AN5" t="s">
        <v>120</v>
      </c>
      <c r="AO5" t="s">
        <v>207</v>
      </c>
      <c r="AP5" t="s">
        <v>223</v>
      </c>
      <c r="AQ5" t="s">
        <v>99</v>
      </c>
      <c r="AR5" t="s">
        <v>101</v>
      </c>
      <c r="AS5" t="s">
        <v>103</v>
      </c>
      <c r="AT5" t="s">
        <v>201</v>
      </c>
      <c r="AU5" t="s">
        <v>225</v>
      </c>
      <c r="AV5" t="s">
        <v>106</v>
      </c>
      <c r="AW5" t="s">
        <v>115</v>
      </c>
      <c r="AX5" t="s">
        <v>116</v>
      </c>
      <c r="AY5" t="s">
        <v>205</v>
      </c>
      <c r="AZ5" t="s">
        <v>227</v>
      </c>
      <c r="BA5" t="s">
        <v>119</v>
      </c>
      <c r="BB5" t="s">
        <v>107</v>
      </c>
      <c r="BC5" t="s">
        <v>213</v>
      </c>
      <c r="BD5" t="s">
        <v>230</v>
      </c>
      <c r="BE5" t="s">
        <v>127</v>
      </c>
      <c r="BF5" t="s">
        <v>126</v>
      </c>
      <c r="BG5" t="s">
        <v>125</v>
      </c>
      <c r="BH5" t="s">
        <v>98</v>
      </c>
      <c r="BI5" t="s">
        <v>124</v>
      </c>
      <c r="BJ5" t="s">
        <v>216</v>
      </c>
      <c r="BK5" t="s">
        <v>215</v>
      </c>
      <c r="BL5" t="s">
        <v>77</v>
      </c>
      <c r="BM5" t="s">
        <v>200</v>
      </c>
      <c r="BN5" t="s">
        <v>239</v>
      </c>
      <c r="BO5" t="s">
        <v>238</v>
      </c>
      <c r="BP5" t="s">
        <v>237</v>
      </c>
      <c r="BQ5" t="s">
        <v>236</v>
      </c>
      <c r="BR5" t="s">
        <v>76</v>
      </c>
    </row>
    <row r="6" spans="1:70">
      <c r="B6" s="24" t="s">
        <v>46</v>
      </c>
      <c r="C6" s="24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31"/>
      <c r="AH6" s="31"/>
      <c r="AI6" s="22"/>
      <c r="AJ6" s="22"/>
      <c r="AK6" s="22"/>
      <c r="AL6" s="22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</row>
    <row r="7" spans="1:70">
      <c r="B7" s="21" t="str">
        <f>'Symptomen (alle)'!A2</f>
        <v>Fish Lice(Argulus/Livoneca)</v>
      </c>
      <c r="C7" s="21">
        <f>'Symptomen (alle)'!B2</f>
        <v>0</v>
      </c>
      <c r="D7" s="21">
        <f>IF(D$4="x",'Symptomen (alle)'!C2,0)</f>
        <v>0</v>
      </c>
      <c r="E7" s="21">
        <f>IF(E$4="x",'Symptomen (alle)'!D2,0)</f>
        <v>0</v>
      </c>
      <c r="F7" s="21">
        <f>IF(F$4="x",'Symptomen (alle)'!E2,0)</f>
        <v>0</v>
      </c>
      <c r="G7" s="21">
        <f>IF(G$4="x",'Symptomen (alle)'!F2,0)</f>
        <v>0</v>
      </c>
      <c r="H7" s="21">
        <f>IF(H$4="x",'Symptomen (alle)'!G2,0)</f>
        <v>1</v>
      </c>
      <c r="I7" s="21">
        <f>IF(I$4="x",'Symptomen (alle)'!H2,0)</f>
        <v>0</v>
      </c>
      <c r="J7" s="21">
        <f>IF(J$4="x",'Symptomen (alle)'!I2,0)</f>
        <v>0</v>
      </c>
      <c r="K7" s="21">
        <f>IF(K$4="x",'Symptomen (alle)'!J2,0)</f>
        <v>0</v>
      </c>
      <c r="L7" s="21">
        <f>IF(L$4="x",'Symptomen (alle)'!K2,0)</f>
        <v>0</v>
      </c>
      <c r="M7" s="21">
        <f>IF(M$4="x",'Symptomen (alle)'!L2,0)</f>
        <v>0</v>
      </c>
      <c r="N7" s="21">
        <f>IF(N$4="x",'Symptomen (alle)'!M2,0)</f>
        <v>0</v>
      </c>
      <c r="O7" s="21">
        <f>IF(O$4="x",'Symptomen (alle)'!N2,0)</f>
        <v>0</v>
      </c>
      <c r="P7" s="21">
        <f>IF(P$4="x",'Symptomen (alle)'!O2,0)</f>
        <v>0</v>
      </c>
      <c r="Q7" s="21">
        <f>IF(Q$4="x",'Symptomen (alle)'!P2,0)</f>
        <v>0</v>
      </c>
      <c r="R7" s="21">
        <f>IF(R$4="x",'Symptomen (alle)'!Q2,0)</f>
        <v>0</v>
      </c>
      <c r="S7" s="21">
        <f>IF(S$4="x",'Symptomen (alle)'!R2,0)</f>
        <v>0</v>
      </c>
      <c r="T7" s="21">
        <f>IF(T$4="x",'Symptomen (alle)'!S2,0)</f>
        <v>0</v>
      </c>
      <c r="U7" s="21">
        <f>IF(U$4="x",'Symptomen (alle)'!T2,0)</f>
        <v>0</v>
      </c>
      <c r="V7" s="21">
        <f>IF(V$4="x",'Symptomen (alle)'!U2,0)</f>
        <v>0</v>
      </c>
      <c r="W7" s="21">
        <f>IF(W$4="x",'Symptomen (alle)'!V2,0)</f>
        <v>0</v>
      </c>
      <c r="X7" s="21">
        <f>IF(X$4="x",'Symptomen (alle)'!W2,0)</f>
        <v>0</v>
      </c>
      <c r="Y7" s="21">
        <f>IF(Y$4="x",'Symptomen (alle)'!X2,0)</f>
        <v>0</v>
      </c>
      <c r="Z7" s="21">
        <f>IF(Z$4="x",'Symptomen (alle)'!Y2,0)</f>
        <v>0</v>
      </c>
      <c r="AA7" s="21">
        <f>IF(AA$4="x",'Symptomen (alle)'!Z2,0)</f>
        <v>0</v>
      </c>
      <c r="AB7" s="21">
        <f>IF(AB$4="x",'Symptomen (alle)'!AA2,0)</f>
        <v>0</v>
      </c>
      <c r="AC7" s="21">
        <f>IF(AC$4="x",'Symptomen (alle)'!AB2,0)</f>
        <v>2</v>
      </c>
      <c r="AD7" s="21">
        <f>IF(AD$4="x",'Symptomen (alle)'!AC2,0)</f>
        <v>2</v>
      </c>
      <c r="AE7" s="21">
        <f>SUM(E7:AD7)</f>
        <v>5</v>
      </c>
      <c r="AF7" s="21">
        <f>HLOOKUP($B$4,ZiekteFam!$B$1:$T$32,AG7,FALSE)</f>
        <v>3</v>
      </c>
      <c r="AG7" s="32">
        <f>ROW(AF7)-5</f>
        <v>2</v>
      </c>
      <c r="AH7" s="32">
        <f>SUM('Symptomen (alle)'!D2:AC2)</f>
        <v>18</v>
      </c>
      <c r="AI7" s="22">
        <f>Tabel423[[#This Row],[Kolom25]]/Tabel423[[#This Row],[Kolom28]]</f>
        <v>0.27777777777777779</v>
      </c>
      <c r="AJ7" s="36">
        <f>COUNTIF($F$4:$J$4,"x")+COUNTIF($P$4:$T$4,"x")</f>
        <v>4</v>
      </c>
      <c r="AK7" s="36">
        <f>COUNTIF($F7:$J7,10)+COUNTIF($P7:$T7,10)</f>
        <v>0</v>
      </c>
      <c r="AL7" s="36">
        <f>COUNTIF($F7:$J7,5)+COUNTIF($P7:$T7,5)</f>
        <v>0</v>
      </c>
      <c r="AM7" s="36">
        <f>COUNTIF($F7:$J7,3)+COUNTIF($P7:$T7,3)</f>
        <v>0</v>
      </c>
      <c r="AN7" s="36">
        <f>COUNTIF($F7:$J7,2)+COUNTIF($P7:$T7,2)</f>
        <v>0</v>
      </c>
      <c r="AO7" s="36">
        <f>COUNTIF(Tabel423[[#This Row],[Kolom3]:[Kolom222]],10)</f>
        <v>0</v>
      </c>
      <c r="AP7" s="36">
        <f>COUNTIF(Tabel423[[#This Row],[Kolom3]:[Kolom222]],5)</f>
        <v>0</v>
      </c>
      <c r="AQ7" s="36">
        <f>COUNTIF(Tabel423[[#This Row],[Kolom3]:[Kolom222]],3)</f>
        <v>0</v>
      </c>
      <c r="AR7" s="36">
        <f>COUNTIF(Tabel423[[#This Row],[Kolom3]:[Kolom222]],2)</f>
        <v>2</v>
      </c>
      <c r="AS7" s="36">
        <f>COUNTIF(Tabel423[[#This Row],[Kolom3]:[Kolom222]],1)</f>
        <v>1</v>
      </c>
      <c r="AT7" s="36">
        <f>COUNTIF('Symptomen (alle)'!$D2:$AC2,10)</f>
        <v>0</v>
      </c>
      <c r="AU7" s="36">
        <f>COUNTIF('Symptomen (alle)'!$D2:$AC2,5)</f>
        <v>0</v>
      </c>
      <c r="AV7" s="36">
        <f>COUNTIF('Symptomen (alle)'!$D2:$AC2,3)</f>
        <v>3</v>
      </c>
      <c r="AW7" s="36">
        <f>COUNTIF('Symptomen (alle)'!$D2:$AC2,2)</f>
        <v>3</v>
      </c>
      <c r="AX7" s="36">
        <f>COUNTIF('Symptomen (alle)'!$D2:$AC2,1)</f>
        <v>3</v>
      </c>
      <c r="AY7" s="22">
        <f>IF(Tabel423[[#This Row],[Kolom300]]=0,0,Tabel423[[#This Row],[Kolom2972]]/Tabel423[[#This Row],[Kolom300]])</f>
        <v>0</v>
      </c>
      <c r="AZ7" s="22">
        <f>IF(Tabel423[[#This Row],[Kolom301]]=0,0,Tabel423[[#This Row],[Kolom2973]]/Tabel423[[#This Row],[Kolom301]])</f>
        <v>0</v>
      </c>
      <c r="BA7" s="22">
        <f>IF(Tabel423[[#This Row],[Kolom294]]=0,0,Tabel423[[#This Row],[Kolom298]]/Tabel423[[#This Row],[Kolom294]])</f>
        <v>0</v>
      </c>
      <c r="BB7" s="22">
        <f>IF(Tabel423[[#This Row],[Kolom295]]=0,0,Tabel423[[#This Row],[Kolom299]]/Tabel423[[#This Row],[Kolom295]])</f>
        <v>0</v>
      </c>
      <c r="BC7" s="22">
        <f>IF(Tabel423[[#This Row],[Kolom2965]]=0,0,Tabel423[[#This Row],[Kolom300]]/Tabel423[[#This Row],[Kolom2965]])</f>
        <v>0</v>
      </c>
      <c r="BD7" s="22">
        <f>IF(Tabel423[[#This Row],[Kolom2966]]=0,0,Tabel423[[#This Row],[Kolom301]]/Tabel423[[#This Row],[Kolom2966]])</f>
        <v>0</v>
      </c>
      <c r="BE7" s="22">
        <f>IF(Tabel423[[#This Row],[Kolom2962]]=0,0,Tabel423[[#This Row],[Kolom294]]/Tabel423[[#This Row],[Kolom2962]])</f>
        <v>0</v>
      </c>
      <c r="BF7" s="22">
        <f>IF(Tabel423[[#This Row],[Kolom29622]]=0,0,Tabel423[[#This Row],[Kolom295]]/Tabel423[[#This Row],[Kolom29622]])</f>
        <v>0.66666666666666663</v>
      </c>
      <c r="BG7" s="22">
        <f>IF(Tabel423[[#This Row],[Kolom29623]]=0,0,Tabel423[[#This Row],[Kolom296]]/Tabel423[[#This Row],[Kolom29623]])</f>
        <v>0.33333333333333331</v>
      </c>
      <c r="BH7" s="22">
        <f>(10*Tabel423[[#This Row],[Kolom296232]]+5*Tabel423[[#This Row],[Kolom296233]]+3*Tabel423[[#This Row],[Kolom29624]]+2*Tabel423[[#This Row],[Kolom2963]]+Tabel423[[#This Row],[Kolom29]])/21</f>
        <v>1.3227513227513229E-2</v>
      </c>
      <c r="BI7" s="22">
        <f>(10*Tabel423[[#This Row],[Kolom296232]]+5*Tabel423[[#This Row],[Kolom296233]]+3*Tabel423[[#This Row],[Kolom29624]]+2*Tabel423[[#This Row],[Kolom2963]])/20</f>
        <v>0</v>
      </c>
      <c r="BJ7" s="22">
        <f>(10*Tabel423[[#This Row],[Kolom29634]]+5*Tabel423[[#This Row],[Kolom29635]]+3*Tabel423[[#This Row],[Kolom29633]]+2*Tabel423[[#This Row],[Kolom29632]]+Tabel423[[#This Row],[Kolom2964]])/21</f>
        <v>7.9365079365079361E-2</v>
      </c>
      <c r="BK7" s="22">
        <f>(10*Tabel423[[#This Row],[Kolom29634]]+5*Tabel423[[#This Row],[Kolom29635]]+3*Tabel423[[#This Row],[Kolom29633]]+2*Tabel423[[#This Row],[Kolom29632]])/20</f>
        <v>6.6666666666666666E-2</v>
      </c>
      <c r="BL7" s="22">
        <f>Tabel423[[#This Row],[Kolom29]]</f>
        <v>0.27777777777777779</v>
      </c>
      <c r="BM7" s="36">
        <f>_xlfn.RANK.EQ(Tabel423[[#This Row],[Kolom29]],$AI$7:$AI$37)</f>
        <v>27</v>
      </c>
      <c r="BN7" s="36">
        <f>_xlfn.RANK.EQ(Tabel423[[#This Row],[Kolom293]],BH$7:BH$37)</f>
        <v>29</v>
      </c>
      <c r="BO7" s="36">
        <f>_xlfn.RANK.EQ(Tabel423[[#This Row],[Kolom2933]],BI$7:BI$37)</f>
        <v>22</v>
      </c>
      <c r="BP7" s="36">
        <f>_xlfn.RANK.EQ(Tabel423[[#This Row],[Kolom29332]],BJ$7:BJ$37)</f>
        <v>31</v>
      </c>
      <c r="BQ7" s="36">
        <f>_xlfn.RANK.EQ(Tabel423[[#This Row],[Kolom2934]],BK$7:BK$37)</f>
        <v>28</v>
      </c>
      <c r="BR7" s="23"/>
    </row>
    <row r="8" spans="1:70">
      <c r="B8" s="21" t="str">
        <f>'Symptomen (alle)'!A3</f>
        <v>Anchor worm (Lernaea)</v>
      </c>
      <c r="C8" s="21">
        <f>'Symptomen (alle)'!B3</f>
        <v>0</v>
      </c>
      <c r="D8" s="21">
        <f>IF(D$4="x",'Symptomen (alle)'!C3,0)</f>
        <v>0</v>
      </c>
      <c r="E8" s="21">
        <f>IF(E$4="x",'Symptomen (alle)'!D3,0)</f>
        <v>0</v>
      </c>
      <c r="F8" s="21">
        <f>IF(F$4="x",'Symptomen (alle)'!E3,0)</f>
        <v>0</v>
      </c>
      <c r="G8" s="21">
        <f>IF(G$4="x",'Symptomen (alle)'!F3,0)</f>
        <v>0</v>
      </c>
      <c r="H8" s="21">
        <f>IF(H$4="x",'Symptomen (alle)'!G3,0)</f>
        <v>3</v>
      </c>
      <c r="I8" s="21">
        <f>IF(I$4="x",'Symptomen (alle)'!H3,0)</f>
        <v>0</v>
      </c>
      <c r="J8" s="21">
        <f>IF(J$4="x",'Symptomen (alle)'!I3,0)</f>
        <v>1</v>
      </c>
      <c r="K8" s="21">
        <f>IF(K$4="x",'Symptomen (alle)'!J3,0)</f>
        <v>0</v>
      </c>
      <c r="L8" s="21">
        <f>IF(L$4="x",'Symptomen (alle)'!K3,0)</f>
        <v>0</v>
      </c>
      <c r="M8" s="21">
        <f>IF(M$4="x",'Symptomen (alle)'!L3,0)</f>
        <v>0</v>
      </c>
      <c r="N8" s="21">
        <f>IF(N$4="x",'Symptomen (alle)'!M3,0)</f>
        <v>0</v>
      </c>
      <c r="O8" s="21">
        <f>IF(O$4="x",'Symptomen (alle)'!N3,0)</f>
        <v>0</v>
      </c>
      <c r="P8" s="21">
        <f>IF(P$4="x",'Symptomen (alle)'!O3,0)</f>
        <v>0</v>
      </c>
      <c r="Q8" s="21">
        <f>IF(Q$4="x",'Symptomen (alle)'!P3,0)</f>
        <v>0</v>
      </c>
      <c r="R8" s="21">
        <f>IF(R$4="x",'Symptomen (alle)'!Q3,0)</f>
        <v>0</v>
      </c>
      <c r="S8" s="21">
        <f>IF(S$4="x",'Symptomen (alle)'!R3,0)</f>
        <v>0</v>
      </c>
      <c r="T8" s="21">
        <f>IF(T$4="x",'Symptomen (alle)'!S3,0)</f>
        <v>0</v>
      </c>
      <c r="U8" s="21">
        <f>IF(U$4="x",'Symptomen (alle)'!T3,0)</f>
        <v>0</v>
      </c>
      <c r="V8" s="21">
        <f>IF(V$4="x",'Symptomen (alle)'!U3,0)</f>
        <v>0</v>
      </c>
      <c r="W8" s="21">
        <f>IF(W$4="x",'Symptomen (alle)'!V3,0)</f>
        <v>0</v>
      </c>
      <c r="X8" s="21">
        <f>IF(X$4="x",'Symptomen (alle)'!W3,0)</f>
        <v>0</v>
      </c>
      <c r="Y8" s="21">
        <f>IF(Y$4="x",'Symptomen (alle)'!X3,0)</f>
        <v>0</v>
      </c>
      <c r="Z8" s="21">
        <f>IF(Z$4="x",'Symptomen (alle)'!Y3,0)</f>
        <v>0</v>
      </c>
      <c r="AA8" s="21">
        <f>IF(AA$4="x",'Symptomen (alle)'!Z3,0)</f>
        <v>0</v>
      </c>
      <c r="AB8" s="21">
        <f>IF(AB$4="x",'Symptomen (alle)'!AA3,0)</f>
        <v>0</v>
      </c>
      <c r="AC8" s="21">
        <f>IF(AC$4="x",'Symptomen (alle)'!AB3,0)</f>
        <v>2</v>
      </c>
      <c r="AD8" s="21">
        <f>IF(AD$4="x",'Symptomen (alle)'!AC3,0)</f>
        <v>2</v>
      </c>
      <c r="AE8" s="21">
        <f t="shared" ref="AE8:AE37" si="0">SUM(E8:AD8)</f>
        <v>8</v>
      </c>
      <c r="AF8" s="21">
        <f>HLOOKUP($B$4,ZiekteFam!$B$1:$T$32,AG8,FALSE)</f>
        <v>0</v>
      </c>
      <c r="AG8" s="32">
        <f t="shared" ref="AG8:AG37" si="1">ROW(AF8)-5</f>
        <v>3</v>
      </c>
      <c r="AH8" s="32">
        <f>SUM('Symptomen (alle)'!D3:AC3)</f>
        <v>29</v>
      </c>
      <c r="AI8" s="22">
        <f>Tabel423[[#This Row],[Kolom25]]/Tabel423[[#This Row],[Kolom28]]</f>
        <v>0.27586206896551724</v>
      </c>
      <c r="AJ8" s="36">
        <f t="shared" ref="AJ8:AJ37" si="2">COUNTIF($F$4:$J$4,"x")+COUNTIF($P$4:$T$4,"x")</f>
        <v>4</v>
      </c>
      <c r="AK8" s="36">
        <f t="shared" ref="AK8:AK37" si="3">COUNTIF($F8:$J8,10)+COUNTIF($P8:$T8,10)</f>
        <v>0</v>
      </c>
      <c r="AL8" s="36">
        <f t="shared" ref="AL8:AL37" si="4">COUNTIF($F8:$J8,5)+COUNTIF($P8:$T8,5)</f>
        <v>0</v>
      </c>
      <c r="AM8" s="36">
        <f t="shared" ref="AM8:AM37" si="5">COUNTIF($F8:$J8,3)+COUNTIF($P8:$T8,3)</f>
        <v>1</v>
      </c>
      <c r="AN8" s="36">
        <f t="shared" ref="AN8:AN37" si="6">COUNTIF($F8:$J8,2)+COUNTIF($P8:$T8,2)</f>
        <v>0</v>
      </c>
      <c r="AO8" s="36">
        <f>COUNTIF(Tabel423[[#This Row],[Kolom3]:[Kolom222]],10)</f>
        <v>0</v>
      </c>
      <c r="AP8" s="36">
        <f>COUNTIF(Tabel423[[#This Row],[Kolom3]:[Kolom222]],5)</f>
        <v>0</v>
      </c>
      <c r="AQ8" s="36">
        <f>COUNTIF(Tabel423[[#This Row],[Kolom3]:[Kolom222]],3)</f>
        <v>1</v>
      </c>
      <c r="AR8" s="36">
        <f>COUNTIF(Tabel423[[#This Row],[Kolom3]:[Kolom222]],2)</f>
        <v>2</v>
      </c>
      <c r="AS8" s="36">
        <f>COUNTIF(Tabel423[[#This Row],[Kolom3]:[Kolom222]],1)</f>
        <v>1</v>
      </c>
      <c r="AT8" s="36">
        <f>COUNTIF('Symptomen (alle)'!$D3:$AC3,10)</f>
        <v>1</v>
      </c>
      <c r="AU8" s="36">
        <f>COUNTIF('Symptomen (alle)'!$D3:$AC3,5)</f>
        <v>0</v>
      </c>
      <c r="AV8" s="36">
        <f>COUNTIF('Symptomen (alle)'!$D3:$AC3,3)</f>
        <v>3</v>
      </c>
      <c r="AW8" s="36">
        <f>COUNTIF('Symptomen (alle)'!$D3:$AC3,2)</f>
        <v>4</v>
      </c>
      <c r="AX8" s="36">
        <f>COUNTIF('Symptomen (alle)'!$D3:$AC3,1)</f>
        <v>2</v>
      </c>
      <c r="AY8" s="22">
        <f>IF(Tabel423[[#This Row],[Kolom300]]=0,0,Tabel423[[#This Row],[Kolom2972]]/Tabel423[[#This Row],[Kolom300]])</f>
        <v>0</v>
      </c>
      <c r="AZ8" s="22">
        <f>IF(Tabel423[[#This Row],[Kolom301]]=0,0,Tabel423[[#This Row],[Kolom2973]]/Tabel423[[#This Row],[Kolom301]])</f>
        <v>0</v>
      </c>
      <c r="BA8" s="22">
        <f>IF(Tabel423[[#This Row],[Kolom294]]=0,0,Tabel423[[#This Row],[Kolom298]]/Tabel423[[#This Row],[Kolom294]])</f>
        <v>1</v>
      </c>
      <c r="BB8" s="22">
        <f>IF(Tabel423[[#This Row],[Kolom295]]=0,0,Tabel423[[#This Row],[Kolom299]]/Tabel423[[#This Row],[Kolom295]])</f>
        <v>0</v>
      </c>
      <c r="BC8" s="22">
        <f>IF(Tabel423[[#This Row],[Kolom2965]]=0,0,Tabel423[[#This Row],[Kolom300]]/Tabel423[[#This Row],[Kolom2965]])</f>
        <v>0</v>
      </c>
      <c r="BD8" s="22">
        <f>IF(Tabel423[[#This Row],[Kolom2966]]=0,0,Tabel423[[#This Row],[Kolom301]]/Tabel423[[#This Row],[Kolom2966]])</f>
        <v>0</v>
      </c>
      <c r="BE8" s="22">
        <f>IF(Tabel423[[#This Row],[Kolom2962]]=0,0,Tabel423[[#This Row],[Kolom294]]/Tabel423[[#This Row],[Kolom2962]])</f>
        <v>0.33333333333333331</v>
      </c>
      <c r="BF8" s="22">
        <f>IF(Tabel423[[#This Row],[Kolom29622]]=0,0,Tabel423[[#This Row],[Kolom295]]/Tabel423[[#This Row],[Kolom29622]])</f>
        <v>0.5</v>
      </c>
      <c r="BG8" s="22">
        <f>IF(Tabel423[[#This Row],[Kolom29623]]=0,0,Tabel423[[#This Row],[Kolom296]]/Tabel423[[#This Row],[Kolom29623]])</f>
        <v>0.5</v>
      </c>
      <c r="BH8" s="22">
        <f>(10*Tabel423[[#This Row],[Kolom296232]]+5*Tabel423[[#This Row],[Kolom296233]]+3*Tabel423[[#This Row],[Kolom29624]]+2*Tabel423[[#This Row],[Kolom2963]]+Tabel423[[#This Row],[Kolom29]])/21</f>
        <v>0.15599343185550082</v>
      </c>
      <c r="BI8" s="22">
        <f>(10*Tabel423[[#This Row],[Kolom296232]]+5*Tabel423[[#This Row],[Kolom296233]]+3*Tabel423[[#This Row],[Kolom29624]]+2*Tabel423[[#This Row],[Kolom2963]])/20</f>
        <v>0.15</v>
      </c>
      <c r="BJ8" s="22">
        <f>(10*Tabel423[[#This Row],[Kolom29634]]+3*Tabel423[[#This Row],[Kolom29633]]+2*Tabel423[[#This Row],[Kolom29632]]+Tabel423[[#This Row],[Kolom2964]])/16</f>
        <v>0.15625</v>
      </c>
      <c r="BK8" s="22">
        <f>(10*Tabel423[[#This Row],[Kolom29634]]+5*Tabel423[[#This Row],[Kolom29635]]+3*Tabel423[[#This Row],[Kolom29633]]+2*Tabel423[[#This Row],[Kolom29632]])/20</f>
        <v>0.1</v>
      </c>
      <c r="BL8" s="22">
        <f>Tabel423[[#This Row],[Kolom29]]</f>
        <v>0.27586206896551724</v>
      </c>
      <c r="BM8" s="36">
        <f>_xlfn.RANK.EQ(Tabel423[[#This Row],[Kolom29]],$AI$7:$AI$37)</f>
        <v>28</v>
      </c>
      <c r="BN8" s="36">
        <f>_xlfn.RANK.EQ(Tabel423[[#This Row],[Kolom293]],BH$7:BH$37)</f>
        <v>10</v>
      </c>
      <c r="BO8" s="36">
        <f>_xlfn.RANK.EQ(Tabel423[[#This Row],[Kolom2933]],BI$7:BI$37)</f>
        <v>10</v>
      </c>
      <c r="BP8" s="36">
        <f>_xlfn.RANK.EQ(Tabel423[[#This Row],[Kolom29332]],BJ$7:BJ$37)</f>
        <v>23</v>
      </c>
      <c r="BQ8" s="36">
        <f>_xlfn.RANK.EQ(Tabel423[[#This Row],[Kolom2934]],BK$7:BK$37)</f>
        <v>24</v>
      </c>
      <c r="BR8" s="23"/>
    </row>
    <row r="9" spans="1:70">
      <c r="B9" s="21" t="str">
        <f>'Symptomen (alle)'!A4</f>
        <v>Camallanus</v>
      </c>
      <c r="C9" s="21">
        <f>'Symptomen (alle)'!B4</f>
        <v>0</v>
      </c>
      <c r="D9" s="21">
        <f>IF(D$4="x",'Symptomen (alle)'!C4,0)</f>
        <v>0</v>
      </c>
      <c r="E9" s="21">
        <f>IF(E$4="x",'Symptomen (alle)'!D4,0)</f>
        <v>2</v>
      </c>
      <c r="F9" s="21">
        <f>IF(F$4="x",'Symptomen (alle)'!E4,0)</f>
        <v>0</v>
      </c>
      <c r="G9" s="21">
        <f>IF(G$4="x",'Symptomen (alle)'!F4,0)</f>
        <v>0</v>
      </c>
      <c r="H9" s="21">
        <f>IF(H$4="x",'Symptomen (alle)'!G4,0)</f>
        <v>0</v>
      </c>
      <c r="I9" s="21">
        <f>IF(I$4="x",'Symptomen (alle)'!H4,0)</f>
        <v>0</v>
      </c>
      <c r="J9" s="21">
        <f>IF(J$4="x",'Symptomen (alle)'!I4,0)</f>
        <v>0</v>
      </c>
      <c r="K9" s="21">
        <f>IF(K$4="x",'Symptomen (alle)'!J4,0)</f>
        <v>0</v>
      </c>
      <c r="L9" s="21">
        <f>IF(L$4="x",'Symptomen (alle)'!K4,0)</f>
        <v>0</v>
      </c>
      <c r="M9" s="21">
        <f>IF(M$4="x",'Symptomen (alle)'!L4,0)</f>
        <v>0</v>
      </c>
      <c r="N9" s="21">
        <f>IF(N$4="x",'Symptomen (alle)'!M4,0)</f>
        <v>0</v>
      </c>
      <c r="O9" s="21">
        <f>IF(O$4="x",'Symptomen (alle)'!N4,0)</f>
        <v>0</v>
      </c>
      <c r="P9" s="21">
        <f>IF(P$4="x",'Symptomen (alle)'!O4,0)</f>
        <v>0</v>
      </c>
      <c r="Q9" s="21">
        <f>IF(Q$4="x",'Symptomen (alle)'!P4,0)</f>
        <v>0</v>
      </c>
      <c r="R9" s="21">
        <f>IF(R$4="x",'Symptomen (alle)'!Q4,0)</f>
        <v>0</v>
      </c>
      <c r="S9" s="21">
        <f>IF(S$4="x",'Symptomen (alle)'!R4,0)</f>
        <v>0</v>
      </c>
      <c r="T9" s="21">
        <f>IF(T$4="x",'Symptomen (alle)'!S4,0)</f>
        <v>0</v>
      </c>
      <c r="U9" s="21">
        <f>IF(U$4="x",'Symptomen (alle)'!T4,0)</f>
        <v>0</v>
      </c>
      <c r="V9" s="21">
        <f>IF(V$4="x",'Symptomen (alle)'!U4,0)</f>
        <v>0</v>
      </c>
      <c r="W9" s="21">
        <f>IF(W$4="x",'Symptomen (alle)'!V4,0)</f>
        <v>0</v>
      </c>
      <c r="X9" s="21">
        <f>IF(X$4="x",'Symptomen (alle)'!W4,0)</f>
        <v>0</v>
      </c>
      <c r="Y9" s="21">
        <f>IF(Y$4="x",'Symptomen (alle)'!X4,0)</f>
        <v>0</v>
      </c>
      <c r="Z9" s="21">
        <f>IF(Z$4="x",'Symptomen (alle)'!Y4,0)</f>
        <v>0</v>
      </c>
      <c r="AA9" s="21">
        <f>IF(AA$4="x",'Symptomen (alle)'!Z4,0)</f>
        <v>0</v>
      </c>
      <c r="AB9" s="21">
        <f>IF(AB$4="x",'Symptomen (alle)'!AA4,0)</f>
        <v>0</v>
      </c>
      <c r="AC9" s="21">
        <f>IF(AC$4="x",'Symptomen (alle)'!AB4,0)</f>
        <v>3</v>
      </c>
      <c r="AD9" s="21">
        <f>IF(AD$4="x",'Symptomen (alle)'!AC4,0)</f>
        <v>1</v>
      </c>
      <c r="AE9" s="21">
        <f t="shared" si="0"/>
        <v>6</v>
      </c>
      <c r="AF9" s="21">
        <f>HLOOKUP($B$4,ZiekteFam!$B$1:$T$32,AG9,FALSE)</f>
        <v>3</v>
      </c>
      <c r="AG9" s="32">
        <f t="shared" si="1"/>
        <v>4</v>
      </c>
      <c r="AH9" s="32">
        <f>SUM('Symptomen (alle)'!D4:AC4)</f>
        <v>18</v>
      </c>
      <c r="AI9" s="22">
        <f>Tabel423[[#This Row],[Kolom25]]/Tabel423[[#This Row],[Kolom28]]</f>
        <v>0.33333333333333331</v>
      </c>
      <c r="AJ9" s="36">
        <f t="shared" si="2"/>
        <v>4</v>
      </c>
      <c r="AK9" s="36">
        <f t="shared" si="3"/>
        <v>0</v>
      </c>
      <c r="AL9" s="36">
        <f t="shared" si="4"/>
        <v>0</v>
      </c>
      <c r="AM9" s="36">
        <f t="shared" si="5"/>
        <v>0</v>
      </c>
      <c r="AN9" s="36">
        <f t="shared" si="6"/>
        <v>0</v>
      </c>
      <c r="AO9" s="36">
        <f>COUNTIF(Tabel423[[#This Row],[Kolom3]:[Kolom222]],10)</f>
        <v>0</v>
      </c>
      <c r="AP9" s="36">
        <f>COUNTIF(Tabel423[[#This Row],[Kolom3]:[Kolom222]],5)</f>
        <v>0</v>
      </c>
      <c r="AQ9" s="36">
        <f>COUNTIF(Tabel423[[#This Row],[Kolom3]:[Kolom222]],3)</f>
        <v>1</v>
      </c>
      <c r="AR9" s="36">
        <f>COUNTIF(Tabel423[[#This Row],[Kolom3]:[Kolom222]],2)</f>
        <v>1</v>
      </c>
      <c r="AS9" s="36">
        <f>COUNTIF(Tabel423[[#This Row],[Kolom3]:[Kolom222]],1)</f>
        <v>1</v>
      </c>
      <c r="AT9" s="36">
        <f>COUNTIF('Symptomen (alle)'!$D4:$AC4,10)</f>
        <v>1</v>
      </c>
      <c r="AU9" s="36">
        <f>COUNTIF('Symptomen (alle)'!$D4:$AC4,5)</f>
        <v>0</v>
      </c>
      <c r="AV9" s="36">
        <f>COUNTIF('Symptomen (alle)'!$D4:$AC4,3)</f>
        <v>1</v>
      </c>
      <c r="AW9" s="36">
        <f>COUNTIF('Symptomen (alle)'!$D4:$AC4,2)</f>
        <v>2</v>
      </c>
      <c r="AX9" s="36">
        <f>COUNTIF('Symptomen (alle)'!$D4:$AC4,1)</f>
        <v>1</v>
      </c>
      <c r="AY9" s="22">
        <f>IF(Tabel423[[#This Row],[Kolom300]]=0,0,Tabel423[[#This Row],[Kolom2972]]/Tabel423[[#This Row],[Kolom300]])</f>
        <v>0</v>
      </c>
      <c r="AZ9" s="22">
        <f>IF(Tabel423[[#This Row],[Kolom301]]=0,0,Tabel423[[#This Row],[Kolom2973]]/Tabel423[[#This Row],[Kolom301]])</f>
        <v>0</v>
      </c>
      <c r="BA9" s="22">
        <f>IF(Tabel423[[#This Row],[Kolom294]]=0,0,Tabel423[[#This Row],[Kolom298]]/Tabel423[[#This Row],[Kolom294]])</f>
        <v>0</v>
      </c>
      <c r="BB9" s="22">
        <f>IF(Tabel423[[#This Row],[Kolom295]]=0,0,Tabel423[[#This Row],[Kolom299]]/Tabel423[[#This Row],[Kolom295]])</f>
        <v>0</v>
      </c>
      <c r="BC9" s="22">
        <f>IF(Tabel423[[#This Row],[Kolom2965]]=0,0,Tabel423[[#This Row],[Kolom300]]/Tabel423[[#This Row],[Kolom2965]])</f>
        <v>0</v>
      </c>
      <c r="BD9" s="22">
        <f>IF(Tabel423[[#This Row],[Kolom2966]]=0,0,Tabel423[[#This Row],[Kolom301]]/Tabel423[[#This Row],[Kolom2966]])</f>
        <v>0</v>
      </c>
      <c r="BE9" s="22">
        <f>IF(Tabel423[[#This Row],[Kolom2962]]=0,0,Tabel423[[#This Row],[Kolom294]]/Tabel423[[#This Row],[Kolom2962]])</f>
        <v>1</v>
      </c>
      <c r="BF9" s="22">
        <f>IF(Tabel423[[#This Row],[Kolom29622]]=0,0,Tabel423[[#This Row],[Kolom295]]/Tabel423[[#This Row],[Kolom29622]])</f>
        <v>0.5</v>
      </c>
      <c r="BG9" s="22">
        <f>IF(Tabel423[[#This Row],[Kolom29623]]=0,0,Tabel423[[#This Row],[Kolom296]]/Tabel423[[#This Row],[Kolom29623]])</f>
        <v>1</v>
      </c>
      <c r="BH9" s="22">
        <f>(10*Tabel423[[#This Row],[Kolom296232]]+5*Tabel423[[#This Row],[Kolom296233]]+3*Tabel423[[#This Row],[Kolom29624]]+2*Tabel423[[#This Row],[Kolom2963]]+Tabel423[[#This Row],[Kolom29]])/21</f>
        <v>1.5873015873015872E-2</v>
      </c>
      <c r="BI9" s="22">
        <f>(10*Tabel423[[#This Row],[Kolom296232]]+5*Tabel423[[#This Row],[Kolom296233]]+3*Tabel423[[#This Row],[Kolom29624]]+2*Tabel423[[#This Row],[Kolom2963]])/20</f>
        <v>0</v>
      </c>
      <c r="BJ9" s="22">
        <f>(10*Tabel423[[#This Row],[Kolom29634]]+3*Tabel423[[#This Row],[Kolom29633]]+2*Tabel423[[#This Row],[Kolom29632]]+Tabel423[[#This Row],[Kolom2964]])/16</f>
        <v>0.3125</v>
      </c>
      <c r="BK9" s="22">
        <f>(10*Tabel423[[#This Row],[Kolom29634]]+5*Tabel423[[#This Row],[Kolom29635]]+3*Tabel423[[#This Row],[Kolom29633]]+2*Tabel423[[#This Row],[Kolom29632]])/20</f>
        <v>0.2</v>
      </c>
      <c r="BL9" s="22">
        <f>Tabel423[[#This Row],[Kolom29]]</f>
        <v>0.33333333333333331</v>
      </c>
      <c r="BM9" s="36">
        <f>_xlfn.RANK.EQ(Tabel423[[#This Row],[Kolom29]],$AI$7:$AI$37)</f>
        <v>20</v>
      </c>
      <c r="BN9" s="36">
        <f>_xlfn.RANK.EQ(Tabel423[[#This Row],[Kolom293]],BH$7:BH$37)</f>
        <v>27</v>
      </c>
      <c r="BO9" s="36">
        <f>_xlfn.RANK.EQ(Tabel423[[#This Row],[Kolom2933]],BI$7:BI$37)</f>
        <v>22</v>
      </c>
      <c r="BP9" s="36">
        <f>_xlfn.RANK.EQ(Tabel423[[#This Row],[Kolom29332]],BJ$7:BJ$37)</f>
        <v>14</v>
      </c>
      <c r="BQ9" s="36">
        <f>_xlfn.RANK.EQ(Tabel423[[#This Row],[Kolom2934]],BK$7:BK$37)</f>
        <v>15</v>
      </c>
      <c r="BR9" s="23"/>
    </row>
    <row r="10" spans="1:70">
      <c r="B10" s="21" t="str">
        <f>'Symptomen (alle)'!A5</f>
        <v>Worms Internal/Camallanus/Capillaria/Nematode/other worms</v>
      </c>
      <c r="C10">
        <f>'Symptomen (alle)'!B5</f>
        <v>0</v>
      </c>
      <c r="D10" s="21">
        <f>IF(D$4="x",'Symptomen (alle)'!C5,0)</f>
        <v>0</v>
      </c>
      <c r="E10" s="21">
        <f>IF(E$4="x",'Symptomen (alle)'!D5,0)</f>
        <v>2</v>
      </c>
      <c r="F10" s="21">
        <f>IF(F$4="x",'Symptomen (alle)'!E5,0)</f>
        <v>0</v>
      </c>
      <c r="G10" s="21">
        <f>IF(G$4="x",'Symptomen (alle)'!F5,0)</f>
        <v>2</v>
      </c>
      <c r="H10" s="21">
        <f>IF(H$4="x",'Symptomen (alle)'!G5,0)</f>
        <v>0</v>
      </c>
      <c r="I10" s="21">
        <f>IF(I$4="x",'Symptomen (alle)'!H5,0)</f>
        <v>0</v>
      </c>
      <c r="J10" s="21">
        <f>IF(J$4="x",'Symptomen (alle)'!I5,0)</f>
        <v>0</v>
      </c>
      <c r="K10" s="21">
        <f>IF(K$4="x",'Symptomen (alle)'!J5,0)</f>
        <v>0</v>
      </c>
      <c r="L10" s="21">
        <f>IF(L$4="x",'Symptomen (alle)'!K5,0)</f>
        <v>0</v>
      </c>
      <c r="M10" s="21">
        <f>IF(M$4="x",'Symptomen (alle)'!L5,0)</f>
        <v>0</v>
      </c>
      <c r="N10" s="21">
        <f>IF(N$4="x",'Symptomen (alle)'!M5,0)</f>
        <v>0</v>
      </c>
      <c r="O10" s="21">
        <f>IF(O$4="x",'Symptomen (alle)'!N5,0)</f>
        <v>0</v>
      </c>
      <c r="P10" s="21">
        <f>IF(P$4="x",'Symptomen (alle)'!O5,0)</f>
        <v>0</v>
      </c>
      <c r="Q10" s="21">
        <f>IF(Q$4="x",'Symptomen (alle)'!P5,0)</f>
        <v>0</v>
      </c>
      <c r="R10" s="21">
        <f>IF(R$4="x",'Symptomen (alle)'!Q5,0)</f>
        <v>0</v>
      </c>
      <c r="S10" s="21">
        <f>IF(S$4="x",'Symptomen (alle)'!R5,0)</f>
        <v>0</v>
      </c>
      <c r="T10" s="21">
        <f>IF(T$4="x",'Symptomen (alle)'!S5,0)</f>
        <v>0</v>
      </c>
      <c r="U10" s="21">
        <f>IF(U$4="x",'Symptomen (alle)'!T5,0)</f>
        <v>0</v>
      </c>
      <c r="V10" s="21">
        <f>IF(V$4="x",'Symptomen (alle)'!U5,0)</f>
        <v>0</v>
      </c>
      <c r="W10" s="21">
        <f>IF(W$4="x",'Symptomen (alle)'!V5,0)</f>
        <v>0</v>
      </c>
      <c r="X10" s="21">
        <f>IF(X$4="x",'Symptomen (alle)'!W5,0)</f>
        <v>0</v>
      </c>
      <c r="Y10" s="21">
        <f>IF(Y$4="x",'Symptomen (alle)'!X5,0)</f>
        <v>0</v>
      </c>
      <c r="Z10" s="21">
        <f>IF(Z$4="x",'Symptomen (alle)'!Y5,0)</f>
        <v>0</v>
      </c>
      <c r="AA10" s="21">
        <f>IF(AA$4="x",'Symptomen (alle)'!Z5,0)</f>
        <v>0</v>
      </c>
      <c r="AB10" s="21">
        <f>IF(AB$4="x",'Symptomen (alle)'!AA5,0)</f>
        <v>0</v>
      </c>
      <c r="AC10" s="21">
        <f>IF(AC$4="x",'Symptomen (alle)'!AB5,0)</f>
        <v>3</v>
      </c>
      <c r="AD10" s="21">
        <f>IF(AD$4="x",'Symptomen (alle)'!AC5,0)</f>
        <v>1</v>
      </c>
      <c r="AE10" s="21">
        <f t="shared" si="0"/>
        <v>8</v>
      </c>
      <c r="AF10" s="21">
        <f>HLOOKUP($B$4,ZiekteFam!$B$1:$T$32,AG10,FALSE)</f>
        <v>3</v>
      </c>
      <c r="AG10" s="32">
        <f t="shared" si="1"/>
        <v>5</v>
      </c>
      <c r="AH10" s="32">
        <f>SUM('Symptomen (alle)'!D5:AC5)</f>
        <v>15</v>
      </c>
      <c r="AI10" s="22">
        <f>Tabel423[[#This Row],[Kolom25]]/Tabel423[[#This Row],[Kolom28]]</f>
        <v>0.53333333333333333</v>
      </c>
      <c r="AJ10" s="36">
        <f t="shared" si="2"/>
        <v>4</v>
      </c>
      <c r="AK10" s="36">
        <f t="shared" si="3"/>
        <v>0</v>
      </c>
      <c r="AL10" s="36">
        <f t="shared" si="4"/>
        <v>0</v>
      </c>
      <c r="AM10" s="36">
        <f t="shared" si="5"/>
        <v>0</v>
      </c>
      <c r="AN10" s="36">
        <f t="shared" si="6"/>
        <v>1</v>
      </c>
      <c r="AO10" s="36">
        <f>COUNTIF(Tabel423[[#This Row],[Kolom3]:[Kolom222]],10)</f>
        <v>0</v>
      </c>
      <c r="AP10" s="36">
        <f>COUNTIF(Tabel423[[#This Row],[Kolom3]:[Kolom222]],5)</f>
        <v>0</v>
      </c>
      <c r="AQ10" s="36">
        <f>COUNTIF(Tabel423[[#This Row],[Kolom3]:[Kolom222]],3)</f>
        <v>1</v>
      </c>
      <c r="AR10" s="36">
        <f>COUNTIF(Tabel423[[#This Row],[Kolom3]:[Kolom222]],2)</f>
        <v>2</v>
      </c>
      <c r="AS10" s="36">
        <f>COUNTIF(Tabel423[[#This Row],[Kolom3]:[Kolom222]],1)</f>
        <v>1</v>
      </c>
      <c r="AT10" s="36">
        <f>COUNTIF('Symptomen (alle)'!$D5:$AC5,10)</f>
        <v>0</v>
      </c>
      <c r="AU10" s="36">
        <f>COUNTIF('Symptomen (alle)'!$D5:$AC5,5)</f>
        <v>1</v>
      </c>
      <c r="AV10" s="36">
        <f>COUNTIF('Symptomen (alle)'!$D5:$AC5,3)</f>
        <v>1</v>
      </c>
      <c r="AW10" s="36">
        <f>COUNTIF('Symptomen (alle)'!$D5:$AC5,2)</f>
        <v>3</v>
      </c>
      <c r="AX10" s="36">
        <f>COUNTIF('Symptomen (alle)'!$D5:$AC5,1)</f>
        <v>1</v>
      </c>
      <c r="AY10" s="22">
        <f>IF(Tabel423[[#This Row],[Kolom300]]=0,0,Tabel423[[#This Row],[Kolom2972]]/Tabel423[[#This Row],[Kolom300]])</f>
        <v>0</v>
      </c>
      <c r="AZ10" s="22">
        <f>IF(Tabel423[[#This Row],[Kolom301]]=0,0,Tabel423[[#This Row],[Kolom2973]]/Tabel423[[#This Row],[Kolom301]])</f>
        <v>0</v>
      </c>
      <c r="BA10" s="22">
        <f>IF(Tabel423[[#This Row],[Kolom294]]=0,0,Tabel423[[#This Row],[Kolom298]]/Tabel423[[#This Row],[Kolom294]])</f>
        <v>0</v>
      </c>
      <c r="BB10" s="22">
        <f>IF(Tabel423[[#This Row],[Kolom295]]=0,0,Tabel423[[#This Row],[Kolom299]]/Tabel423[[#This Row],[Kolom295]])</f>
        <v>0.5</v>
      </c>
      <c r="BC10" s="22">
        <f>IF(Tabel423[[#This Row],[Kolom2965]]=0,0,Tabel423[[#This Row],[Kolom300]]/Tabel423[[#This Row],[Kolom2965]])</f>
        <v>0</v>
      </c>
      <c r="BD10" s="22">
        <f>IF(Tabel423[[#This Row],[Kolom2966]]=0,0,Tabel423[[#This Row],[Kolom301]]/Tabel423[[#This Row],[Kolom2966]])</f>
        <v>0</v>
      </c>
      <c r="BE10" s="22">
        <f>IF(Tabel423[[#This Row],[Kolom2962]]=0,0,Tabel423[[#This Row],[Kolom294]]/Tabel423[[#This Row],[Kolom2962]])</f>
        <v>1</v>
      </c>
      <c r="BF10" s="22">
        <f>IF(Tabel423[[#This Row],[Kolom29622]]=0,0,Tabel423[[#This Row],[Kolom295]]/Tabel423[[#This Row],[Kolom29622]])</f>
        <v>0.66666666666666663</v>
      </c>
      <c r="BG10" s="22">
        <f>IF(Tabel423[[#This Row],[Kolom29623]]=0,0,Tabel423[[#This Row],[Kolom296]]/Tabel423[[#This Row],[Kolom29623]])</f>
        <v>1</v>
      </c>
      <c r="BH10" s="22">
        <f>(10*Tabel423[[#This Row],[Kolom296232]]+5*Tabel423[[#This Row],[Kolom296233]]+3*Tabel423[[#This Row],[Kolom29624]]+2*Tabel423[[#This Row],[Kolom2963]]+Tabel423[[#This Row],[Kolom29]])/21</f>
        <v>7.3015873015873006E-2</v>
      </c>
      <c r="BI10" s="22">
        <f>(10*Tabel423[[#This Row],[Kolom296232]]+5*Tabel423[[#This Row],[Kolom296233]]+3*Tabel423[[#This Row],[Kolom29624]]+2*Tabel423[[#This Row],[Kolom2963]])/20</f>
        <v>0.05</v>
      </c>
      <c r="BJ10" s="22">
        <f>(10*Tabel423[[#This Row],[Kolom29634]]+3*Tabel423[[#This Row],[Kolom29633]]+2*Tabel423[[#This Row],[Kolom29632]]+Tabel423[[#This Row],[Kolom2964]])/16</f>
        <v>0.33333333333333331</v>
      </c>
      <c r="BK10" s="22">
        <f>(10*Tabel423[[#This Row],[Kolom29634]]+5*Tabel423[[#This Row],[Kolom29635]]+3*Tabel423[[#This Row],[Kolom29633]]+2*Tabel423[[#This Row],[Kolom29632]])/20</f>
        <v>0.21666666666666665</v>
      </c>
      <c r="BL10" s="22">
        <f>Tabel423[[#This Row],[Kolom29]]</f>
        <v>0.53333333333333333</v>
      </c>
      <c r="BM10" s="36">
        <f>_xlfn.RANK.EQ(Tabel423[[#This Row],[Kolom29]],$AI$7:$AI$37)</f>
        <v>6</v>
      </c>
      <c r="BN10" s="36">
        <f>_xlfn.RANK.EQ(Tabel423[[#This Row],[Kolom293]],BH$7:BH$37)</f>
        <v>16</v>
      </c>
      <c r="BO10" s="36">
        <f>_xlfn.RANK.EQ(Tabel423[[#This Row],[Kolom2933]],BI$7:BI$37)</f>
        <v>16</v>
      </c>
      <c r="BP10" s="36">
        <f>_xlfn.RANK.EQ(Tabel423[[#This Row],[Kolom29332]],BJ$7:BJ$37)</f>
        <v>12</v>
      </c>
      <c r="BQ10" s="36">
        <f>_xlfn.RANK.EQ(Tabel423[[#This Row],[Kolom2934]],BK$7:BK$37)</f>
        <v>14</v>
      </c>
      <c r="BR10" s="23"/>
    </row>
    <row r="11" spans="1:70">
      <c r="B11" s="21" t="str">
        <f>'Symptomen (alle)'!A6</f>
        <v>Swellings (Cancers, Trematodes, Nematodes, Sporozoa, etc.)</v>
      </c>
      <c r="C11" s="77">
        <f>'Symptomen (alle)'!B6</f>
        <v>0</v>
      </c>
      <c r="D11" s="21">
        <f>IF(D$4="x",'Symptomen (alle)'!C6,0)</f>
        <v>0</v>
      </c>
      <c r="E11" s="21">
        <f>IF(E$4="x",'Symptomen (alle)'!D6,0)</f>
        <v>3</v>
      </c>
      <c r="F11" s="21">
        <f>IF(F$4="x",'Symptomen (alle)'!E6,0)</f>
        <v>0</v>
      </c>
      <c r="G11" s="21">
        <f>IF(G$4="x",'Symptomen (alle)'!F6,0)</f>
        <v>0</v>
      </c>
      <c r="H11" s="21">
        <f>IF(H$4="x",'Symptomen (alle)'!G6,0)</f>
        <v>0</v>
      </c>
      <c r="I11" s="21">
        <f>IF(I$4="x",'Symptomen (alle)'!H6,0)</f>
        <v>0</v>
      </c>
      <c r="J11" s="21">
        <f>IF(J$4="x",'Symptomen (alle)'!I6,0)</f>
        <v>0</v>
      </c>
      <c r="K11" s="21">
        <f>IF(K$4="x",'Symptomen (alle)'!J6,0)</f>
        <v>0</v>
      </c>
      <c r="L11" s="21">
        <f>IF(L$4="x",'Symptomen (alle)'!K6,0)</f>
        <v>0</v>
      </c>
      <c r="M11" s="21">
        <f>IF(M$4="x",'Symptomen (alle)'!L6,0)</f>
        <v>0</v>
      </c>
      <c r="N11" s="21">
        <f>IF(N$4="x",'Symptomen (alle)'!M6,0)</f>
        <v>0</v>
      </c>
      <c r="O11" s="21">
        <f>IF(O$4="x",'Symptomen (alle)'!N6,0)</f>
        <v>0</v>
      </c>
      <c r="P11" s="21">
        <f>IF(P$4="x",'Symptomen (alle)'!O6,0)</f>
        <v>0</v>
      </c>
      <c r="Q11" s="21">
        <f>IF(Q$4="x",'Symptomen (alle)'!P6,0)</f>
        <v>0</v>
      </c>
      <c r="R11" s="21">
        <f>IF(R$4="x",'Symptomen (alle)'!Q6,0)</f>
        <v>0</v>
      </c>
      <c r="S11" s="21">
        <f>IF(S$4="x",'Symptomen (alle)'!R6,0)</f>
        <v>0</v>
      </c>
      <c r="T11" s="21">
        <f>IF(T$4="x",'Symptomen (alle)'!S6,0)</f>
        <v>0</v>
      </c>
      <c r="U11" s="21">
        <f>IF(U$4="x",'Symptomen (alle)'!T6,0)</f>
        <v>0</v>
      </c>
      <c r="V11" s="21">
        <f>IF(V$4="x",'Symptomen (alle)'!U6,0)</f>
        <v>0</v>
      </c>
      <c r="W11" s="21">
        <f>IF(W$4="x",'Symptomen (alle)'!V6,0)</f>
        <v>0</v>
      </c>
      <c r="X11" s="21">
        <f>IF(X$4="x",'Symptomen (alle)'!W6,0)</f>
        <v>0</v>
      </c>
      <c r="Y11" s="21">
        <f>IF(Y$4="x",'Symptomen (alle)'!X6,0)</f>
        <v>0</v>
      </c>
      <c r="Z11" s="21">
        <f>IF(Z$4="x",'Symptomen (alle)'!Y6,0)</f>
        <v>0</v>
      </c>
      <c r="AA11" s="21">
        <f>IF(AA$4="x",'Symptomen (alle)'!Z6,0)</f>
        <v>0</v>
      </c>
      <c r="AB11" s="21">
        <f>IF(AB$4="x",'Symptomen (alle)'!AA6,0)</f>
        <v>0</v>
      </c>
      <c r="AC11" s="21">
        <f>IF(AC$4="x",'Symptomen (alle)'!AB6,0)</f>
        <v>3</v>
      </c>
      <c r="AD11" s="21">
        <f>IF(AD$4="x",'Symptomen (alle)'!AC6,0)</f>
        <v>0</v>
      </c>
      <c r="AE11" s="21">
        <f t="shared" si="0"/>
        <v>6</v>
      </c>
      <c r="AF11" s="21">
        <f>HLOOKUP($B$4,ZiekteFam!$B$1:$T$32,AG11,FALSE)</f>
        <v>0</v>
      </c>
      <c r="AG11" s="32">
        <f>ROW(AF11)-4</f>
        <v>7</v>
      </c>
      <c r="AH11" s="32">
        <f>SUM('Symptomen (alle)'!D6:AC6)</f>
        <v>25</v>
      </c>
      <c r="AI11" s="22">
        <f>Tabel423[[#This Row],[Kolom25]]/Tabel423[[#This Row],[Kolom28]]</f>
        <v>0.24</v>
      </c>
      <c r="AJ11" s="36">
        <f t="shared" si="2"/>
        <v>4</v>
      </c>
      <c r="AK11" s="36">
        <f t="shared" si="3"/>
        <v>0</v>
      </c>
      <c r="AL11" s="36">
        <f t="shared" si="4"/>
        <v>0</v>
      </c>
      <c r="AM11" s="36">
        <f t="shared" si="5"/>
        <v>0</v>
      </c>
      <c r="AN11" s="36">
        <f t="shared" si="6"/>
        <v>0</v>
      </c>
      <c r="AO11" s="36">
        <f>COUNTIF(Tabel423[[#This Row],[Kolom3]:[Kolom222]],10)</f>
        <v>0</v>
      </c>
      <c r="AP11" s="36">
        <f>COUNTIF(Tabel423[[#This Row],[Kolom3]:[Kolom222]],5)</f>
        <v>0</v>
      </c>
      <c r="AQ11" s="36">
        <f>COUNTIF(Tabel423[[#This Row],[Kolom3]:[Kolom222]],3)</f>
        <v>2</v>
      </c>
      <c r="AR11" s="36">
        <f>COUNTIF(Tabel423[[#This Row],[Kolom3]:[Kolom222]],2)</f>
        <v>0</v>
      </c>
      <c r="AS11" s="36">
        <f>COUNTIF(Tabel423[[#This Row],[Kolom3]:[Kolom222]],1)</f>
        <v>0</v>
      </c>
      <c r="AT11" s="36">
        <f>COUNTIF('Symptomen (alle)'!$D6:$AC6,10)</f>
        <v>1</v>
      </c>
      <c r="AU11" s="36">
        <f>COUNTIF('Symptomen (alle)'!$D6:$AC6,5)</f>
        <v>1</v>
      </c>
      <c r="AV11" s="36">
        <f>COUNTIF('Symptomen (alle)'!$D6:$AC6,3)</f>
        <v>2</v>
      </c>
      <c r="AW11" s="36">
        <f>COUNTIF('Symptomen (alle)'!$D6:$AC6,2)</f>
        <v>1</v>
      </c>
      <c r="AX11" s="36">
        <f>COUNTIF('Symptomen (alle)'!$D6:$AC6,1)</f>
        <v>2</v>
      </c>
      <c r="AY11" s="22">
        <f>IF(Tabel423[[#This Row],[Kolom300]]=0,0,Tabel423[[#This Row],[Kolom2972]]/Tabel423[[#This Row],[Kolom300]])</f>
        <v>0</v>
      </c>
      <c r="AZ11" s="22">
        <f>IF(Tabel423[[#This Row],[Kolom301]]=0,0,Tabel423[[#This Row],[Kolom2973]]/Tabel423[[#This Row],[Kolom301]])</f>
        <v>0</v>
      </c>
      <c r="BA11" s="22">
        <f>IF(Tabel423[[#This Row],[Kolom294]]=0,0,Tabel423[[#This Row],[Kolom298]]/Tabel423[[#This Row],[Kolom294]])</f>
        <v>0</v>
      </c>
      <c r="BB11" s="22">
        <f>IF(Tabel423[[#This Row],[Kolom295]]=0,0,Tabel423[[#This Row],[Kolom299]]/Tabel423[[#This Row],[Kolom295]])</f>
        <v>0</v>
      </c>
      <c r="BC11" s="22">
        <f>IF(Tabel423[[#This Row],[Kolom2965]]=0,0,Tabel423[[#This Row],[Kolom300]]/Tabel423[[#This Row],[Kolom2965]])</f>
        <v>0</v>
      </c>
      <c r="BD11" s="22">
        <f>IF(Tabel423[[#This Row],[Kolom2966]]=0,0,Tabel423[[#This Row],[Kolom301]]/Tabel423[[#This Row],[Kolom2966]])</f>
        <v>0</v>
      </c>
      <c r="BE11" s="22">
        <f>IF(Tabel423[[#This Row],[Kolom2962]]=0,0,Tabel423[[#This Row],[Kolom294]]/Tabel423[[#This Row],[Kolom2962]])</f>
        <v>1</v>
      </c>
      <c r="BF11" s="22">
        <f>IF(Tabel423[[#This Row],[Kolom29622]]=0,0,Tabel423[[#This Row],[Kolom295]]/Tabel423[[#This Row],[Kolom29622]])</f>
        <v>0</v>
      </c>
      <c r="BG11" s="22">
        <f>IF(Tabel423[[#This Row],[Kolom29623]]=0,0,Tabel423[[#This Row],[Kolom296]]/Tabel423[[#This Row],[Kolom29623]])</f>
        <v>0</v>
      </c>
      <c r="BH11" s="22">
        <f>(10*Tabel423[[#This Row],[Kolom296232]]+5*Tabel423[[#This Row],[Kolom296233]]+3*Tabel423[[#This Row],[Kolom29624]]+2*Tabel423[[#This Row],[Kolom2963]]+Tabel423[[#This Row],[Kolom29]])/21</f>
        <v>1.1428571428571429E-2</v>
      </c>
      <c r="BI11" s="22">
        <f>(10*Tabel423[[#This Row],[Kolom296232]]+5*Tabel423[[#This Row],[Kolom296233]]+3*Tabel423[[#This Row],[Kolom29624]]+2*Tabel423[[#This Row],[Kolom2963]])/20</f>
        <v>0</v>
      </c>
      <c r="BJ11" s="22">
        <f>(10*Tabel423[[#This Row],[Kolom29634]]+3*Tabel423[[#This Row],[Kolom29633]]+2*Tabel423[[#This Row],[Kolom29632]]+Tabel423[[#This Row],[Kolom2964]])/16</f>
        <v>0.1875</v>
      </c>
      <c r="BK11" s="22">
        <f>(10*Tabel423[[#This Row],[Kolom29634]]+5*Tabel423[[#This Row],[Kolom29635]]+3*Tabel423[[#This Row],[Kolom29633]]+2*Tabel423[[#This Row],[Kolom29632]])/20</f>
        <v>0.15</v>
      </c>
      <c r="BL11" s="22">
        <f>Tabel423[[#This Row],[Kolom29]]</f>
        <v>0.24</v>
      </c>
      <c r="BM11" s="36">
        <f>_xlfn.RANK.EQ(Tabel423[[#This Row],[Kolom29]],$AI$7:$AI$37)</f>
        <v>30</v>
      </c>
      <c r="BN11" s="36">
        <f>_xlfn.RANK.EQ(Tabel423[[#This Row],[Kolom293]],BH$7:BH$37)</f>
        <v>30</v>
      </c>
      <c r="BO11" s="36">
        <f>_xlfn.RANK.EQ(Tabel423[[#This Row],[Kolom2933]],BI$7:BI$37)</f>
        <v>22</v>
      </c>
      <c r="BP11" s="36">
        <f>_xlfn.RANK.EQ(Tabel423[[#This Row],[Kolom29332]],BJ$7:BJ$37)</f>
        <v>18</v>
      </c>
      <c r="BQ11" s="36">
        <f>_xlfn.RANK.EQ(Tabel423[[#This Row],[Kolom2934]],BK$7:BK$37)</f>
        <v>18</v>
      </c>
      <c r="BR11" s="23"/>
    </row>
    <row r="12" spans="1:70">
      <c r="B12" s="21" t="str">
        <f>'Symptomen (alle)'!A7</f>
        <v>Skin fluke (i.e. Gyrodactylus)</v>
      </c>
      <c r="C12" s="21">
        <f>'Symptomen (alle)'!B7</f>
        <v>0</v>
      </c>
      <c r="D12" s="21">
        <f>IF(D$4="x",'Symptomen (alle)'!C7,0)</f>
        <v>0</v>
      </c>
      <c r="E12" s="21">
        <f>IF(E$4="x",'Symptomen (alle)'!D7,0)</f>
        <v>2</v>
      </c>
      <c r="F12" s="21">
        <f>IF(F$4="x",'Symptomen (alle)'!E7,0)</f>
        <v>1</v>
      </c>
      <c r="G12" s="21">
        <f>IF(G$4="x",'Symptomen (alle)'!F7,0)</f>
        <v>1</v>
      </c>
      <c r="H12" s="21">
        <f>IF(H$4="x",'Symptomen (alle)'!G7,0)</f>
        <v>3</v>
      </c>
      <c r="I12" s="21">
        <f>IF(I$4="x",'Symptomen (alle)'!H7,0)</f>
        <v>0</v>
      </c>
      <c r="J12" s="21">
        <f>IF(J$4="x",'Symptomen (alle)'!I7,0)</f>
        <v>2</v>
      </c>
      <c r="K12" s="21">
        <f>IF(K$4="x",'Symptomen (alle)'!J7,0)</f>
        <v>0</v>
      </c>
      <c r="L12" s="21">
        <f>IF(L$4="x",'Symptomen (alle)'!K7,0)</f>
        <v>0</v>
      </c>
      <c r="M12" s="21">
        <f>IF(M$4="x",'Symptomen (alle)'!L7,0)</f>
        <v>0</v>
      </c>
      <c r="N12" s="21">
        <f>IF(N$4="x",'Symptomen (alle)'!M7,0)</f>
        <v>0</v>
      </c>
      <c r="O12" s="21">
        <f>IF(O$4="x",'Symptomen (alle)'!N7,0)</f>
        <v>0</v>
      </c>
      <c r="P12" s="21">
        <f>IF(P$4="x",'Symptomen (alle)'!O7,0)</f>
        <v>0</v>
      </c>
      <c r="Q12" s="21">
        <f>IF(Q$4="x",'Symptomen (alle)'!P7,0)</f>
        <v>0</v>
      </c>
      <c r="R12" s="21">
        <f>IF(R$4="x",'Symptomen (alle)'!Q7,0)</f>
        <v>0</v>
      </c>
      <c r="S12" s="21">
        <f>IF(S$4="x",'Symptomen (alle)'!R7,0)</f>
        <v>0</v>
      </c>
      <c r="T12" s="21">
        <f>IF(T$4="x",'Symptomen (alle)'!S7,0)</f>
        <v>0</v>
      </c>
      <c r="U12" s="21">
        <f>IF(U$4="x",'Symptomen (alle)'!T7,0)</f>
        <v>0</v>
      </c>
      <c r="V12" s="21">
        <f>IF(V$4="x",'Symptomen (alle)'!U7,0)</f>
        <v>0</v>
      </c>
      <c r="W12" s="21">
        <f>IF(W$4="x",'Symptomen (alle)'!V7,0)</f>
        <v>0</v>
      </c>
      <c r="X12" s="21">
        <f>IF(X$4="x",'Symptomen (alle)'!W7,0)</f>
        <v>1</v>
      </c>
      <c r="Y12" s="21">
        <f>IF(Y$4="x",'Symptomen (alle)'!X7,0)</f>
        <v>0</v>
      </c>
      <c r="Z12" s="21">
        <f>IF(Z$4="x",'Symptomen (alle)'!Y7,0)</f>
        <v>0</v>
      </c>
      <c r="AA12" s="21">
        <f>IF(AA$4="x",'Symptomen (alle)'!Z7,0)</f>
        <v>0</v>
      </c>
      <c r="AB12" s="21">
        <f>IF(AB$4="x",'Symptomen (alle)'!AA7,0)</f>
        <v>0</v>
      </c>
      <c r="AC12" s="21">
        <f>IF(AC$4="x",'Symptomen (alle)'!AB7,0)</f>
        <v>2</v>
      </c>
      <c r="AD12" s="21">
        <f>IF(AD$4="x",'Symptomen (alle)'!AC7,0)</f>
        <v>2</v>
      </c>
      <c r="AE12" s="21">
        <f t="shared" si="0"/>
        <v>14</v>
      </c>
      <c r="AF12" s="21">
        <f>HLOOKUP($B$4,ZiekteFam!$B$1:$T$32,AG12,FALSE)</f>
        <v>0</v>
      </c>
      <c r="AG12" s="32">
        <f t="shared" si="1"/>
        <v>7</v>
      </c>
      <c r="AH12" s="32">
        <f>SUM('Symptomen (alle)'!D7:AC7)</f>
        <v>48</v>
      </c>
      <c r="AI12" s="22">
        <f>Tabel423[[#This Row],[Kolom25]]/Tabel423[[#This Row],[Kolom28]]</f>
        <v>0.29166666666666669</v>
      </c>
      <c r="AJ12" s="36">
        <f t="shared" si="2"/>
        <v>4</v>
      </c>
      <c r="AK12" s="36">
        <f t="shared" si="3"/>
        <v>0</v>
      </c>
      <c r="AL12" s="36">
        <f t="shared" si="4"/>
        <v>0</v>
      </c>
      <c r="AM12" s="36">
        <f t="shared" si="5"/>
        <v>1</v>
      </c>
      <c r="AN12" s="36">
        <f t="shared" si="6"/>
        <v>1</v>
      </c>
      <c r="AO12" s="36">
        <f>COUNTIF(Tabel423[[#This Row],[Kolom3]:[Kolom222]],10)</f>
        <v>0</v>
      </c>
      <c r="AP12" s="36">
        <f>COUNTIF(Tabel423[[#This Row],[Kolom3]:[Kolom222]],5)</f>
        <v>0</v>
      </c>
      <c r="AQ12" s="36">
        <f>COUNTIF(Tabel423[[#This Row],[Kolom3]:[Kolom222]],3)</f>
        <v>1</v>
      </c>
      <c r="AR12" s="36">
        <f>COUNTIF(Tabel423[[#This Row],[Kolom3]:[Kolom222]],2)</f>
        <v>4</v>
      </c>
      <c r="AS12" s="36">
        <f>COUNTIF(Tabel423[[#This Row],[Kolom3]:[Kolom222]],1)</f>
        <v>3</v>
      </c>
      <c r="AT12" s="36">
        <f>COUNTIF('Symptomen (alle)'!$D7:$AC7,10)</f>
        <v>1</v>
      </c>
      <c r="AU12" s="36">
        <f>COUNTIF('Symptomen (alle)'!$D7:$AC7,5)</f>
        <v>1</v>
      </c>
      <c r="AV12" s="36">
        <f>COUNTIF('Symptomen (alle)'!$D7:$AC7,3)</f>
        <v>5</v>
      </c>
      <c r="AW12" s="36">
        <f>COUNTIF('Symptomen (alle)'!$D7:$AC7,2)</f>
        <v>7</v>
      </c>
      <c r="AX12" s="36">
        <f>COUNTIF('Symptomen (alle)'!$D7:$AC7,1)</f>
        <v>4</v>
      </c>
      <c r="AY12" s="22">
        <f>IF(Tabel423[[#This Row],[Kolom300]]=0,0,Tabel423[[#This Row],[Kolom2972]]/Tabel423[[#This Row],[Kolom300]])</f>
        <v>0</v>
      </c>
      <c r="AZ12" s="22">
        <f>IF(Tabel423[[#This Row],[Kolom301]]=0,0,Tabel423[[#This Row],[Kolom2973]]/Tabel423[[#This Row],[Kolom301]])</f>
        <v>0</v>
      </c>
      <c r="BA12" s="22">
        <f>IF(Tabel423[[#This Row],[Kolom294]]=0,0,Tabel423[[#This Row],[Kolom298]]/Tabel423[[#This Row],[Kolom294]])</f>
        <v>1</v>
      </c>
      <c r="BB12" s="22">
        <f>IF(Tabel423[[#This Row],[Kolom295]]=0,0,Tabel423[[#This Row],[Kolom299]]/Tabel423[[#This Row],[Kolom295]])</f>
        <v>0.25</v>
      </c>
      <c r="BC12" s="22">
        <f>IF(Tabel423[[#This Row],[Kolom2965]]=0,0,Tabel423[[#This Row],[Kolom300]]/Tabel423[[#This Row],[Kolom2965]])</f>
        <v>0</v>
      </c>
      <c r="BD12" s="22">
        <f>IF(Tabel423[[#This Row],[Kolom2966]]=0,0,Tabel423[[#This Row],[Kolom301]]/Tabel423[[#This Row],[Kolom2966]])</f>
        <v>0</v>
      </c>
      <c r="BE12" s="22">
        <f>IF(Tabel423[[#This Row],[Kolom2962]]=0,0,Tabel423[[#This Row],[Kolom294]]/Tabel423[[#This Row],[Kolom2962]])</f>
        <v>0.2</v>
      </c>
      <c r="BF12" s="22">
        <f>IF(Tabel423[[#This Row],[Kolom29622]]=0,0,Tabel423[[#This Row],[Kolom295]]/Tabel423[[#This Row],[Kolom29622]])</f>
        <v>0.5714285714285714</v>
      </c>
      <c r="BG12" s="22">
        <f>IF(Tabel423[[#This Row],[Kolom29623]]=0,0,Tabel423[[#This Row],[Kolom296]]/Tabel423[[#This Row],[Kolom29623]])</f>
        <v>0.75</v>
      </c>
      <c r="BH12" s="22">
        <f>(10*Tabel423[[#This Row],[Kolom296232]]+5*Tabel423[[#This Row],[Kolom296233]]+3*Tabel423[[#This Row],[Kolom29624]]+2*Tabel423[[#This Row],[Kolom2963]]+Tabel423[[#This Row],[Kolom29]])/21</f>
        <v>0.18055555555555555</v>
      </c>
      <c r="BI12" s="22">
        <f>(10*Tabel423[[#This Row],[Kolom296232]]+5*Tabel423[[#This Row],[Kolom296233]]+3*Tabel423[[#This Row],[Kolom29624]]+2*Tabel423[[#This Row],[Kolom2963]])/20</f>
        <v>0.17499999999999999</v>
      </c>
      <c r="BJ12" s="22">
        <f>(10*Tabel423[[#This Row],[Kolom29634]]+3*Tabel423[[#This Row],[Kolom29633]]+2*Tabel423[[#This Row],[Kolom29632]]+Tabel423[[#This Row],[Kolom2964]])/16</f>
        <v>0.15580357142857143</v>
      </c>
      <c r="BK12" s="22">
        <f>(10*Tabel423[[#This Row],[Kolom29634]]+5*Tabel423[[#This Row],[Kolom29635]]+3*Tabel423[[#This Row],[Kolom29633]]+2*Tabel423[[#This Row],[Kolom29632]])/20</f>
        <v>8.7142857142857147E-2</v>
      </c>
      <c r="BL12" s="22">
        <f>Tabel423[[#This Row],[Kolom29]]</f>
        <v>0.29166666666666669</v>
      </c>
      <c r="BM12" s="36">
        <f>_xlfn.RANK.EQ(Tabel423[[#This Row],[Kolom29]],$AI$7:$AI$37)</f>
        <v>25</v>
      </c>
      <c r="BN12" s="36">
        <f>_xlfn.RANK.EQ(Tabel423[[#This Row],[Kolom293]],BH$7:BH$37)</f>
        <v>9</v>
      </c>
      <c r="BO12" s="36">
        <f>_xlfn.RANK.EQ(Tabel423[[#This Row],[Kolom2933]],BI$7:BI$37)</f>
        <v>9</v>
      </c>
      <c r="BP12" s="36">
        <f>_xlfn.RANK.EQ(Tabel423[[#This Row],[Kolom29332]],BJ$7:BJ$37)</f>
        <v>24</v>
      </c>
      <c r="BQ12" s="36">
        <f>_xlfn.RANK.EQ(Tabel423[[#This Row],[Kolom2934]],BK$7:BK$37)</f>
        <v>27</v>
      </c>
      <c r="BR12" s="23"/>
    </row>
    <row r="13" spans="1:70">
      <c r="B13" s="21" t="str">
        <f>'Symptomen (alle)'!A8</f>
        <v>Gill fluke (i.e. Dactylogyrus)</v>
      </c>
      <c r="C13" s="21">
        <f>'Symptomen (alle)'!B8</f>
        <v>0</v>
      </c>
      <c r="D13" s="21">
        <f>IF(D$4="x",'Symptomen (alle)'!C8,0)</f>
        <v>0</v>
      </c>
      <c r="E13" s="21">
        <f>IF(E$4="x",'Symptomen (alle)'!D8,0)</f>
        <v>2</v>
      </c>
      <c r="F13" s="21">
        <f>IF(F$4="x",'Symptomen (alle)'!E8,0)</f>
        <v>1</v>
      </c>
      <c r="G13" s="21">
        <f>IF(G$4="x",'Symptomen (alle)'!F8,0)</f>
        <v>1</v>
      </c>
      <c r="H13" s="21">
        <f>IF(H$4="x",'Symptomen (alle)'!G8,0)</f>
        <v>0</v>
      </c>
      <c r="I13" s="21">
        <f>IF(I$4="x",'Symptomen (alle)'!H8,0)</f>
        <v>0</v>
      </c>
      <c r="J13" s="21">
        <f>IF(J$4="x",'Symptomen (alle)'!I8,0)</f>
        <v>0</v>
      </c>
      <c r="K13" s="21">
        <f>IF(K$4="x",'Symptomen (alle)'!J8,0)</f>
        <v>0</v>
      </c>
      <c r="L13" s="21">
        <f>IF(L$4="x",'Symptomen (alle)'!K8,0)</f>
        <v>0</v>
      </c>
      <c r="M13" s="21">
        <f>IF(M$4="x",'Symptomen (alle)'!L8,0)</f>
        <v>0</v>
      </c>
      <c r="N13" s="21">
        <f>IF(N$4="x",'Symptomen (alle)'!M8,0)</f>
        <v>0</v>
      </c>
      <c r="O13" s="21">
        <f>IF(O$4="x",'Symptomen (alle)'!N8,0)</f>
        <v>0</v>
      </c>
      <c r="P13" s="21">
        <f>IF(P$4="x",'Symptomen (alle)'!O8,0)</f>
        <v>0</v>
      </c>
      <c r="Q13" s="21">
        <f>IF(Q$4="x",'Symptomen (alle)'!P8,0)</f>
        <v>0</v>
      </c>
      <c r="R13" s="21">
        <f>IF(R$4="x",'Symptomen (alle)'!Q8,0)</f>
        <v>0</v>
      </c>
      <c r="S13" s="21">
        <f>IF(S$4="x",'Symptomen (alle)'!R8,0)</f>
        <v>0</v>
      </c>
      <c r="T13" s="21">
        <f>IF(T$4="x",'Symptomen (alle)'!S8,0)</f>
        <v>0</v>
      </c>
      <c r="U13" s="21">
        <f>IF(U$4="x",'Symptomen (alle)'!T8,0)</f>
        <v>0</v>
      </c>
      <c r="V13" s="21">
        <f>IF(V$4="x",'Symptomen (alle)'!U8,0)</f>
        <v>0</v>
      </c>
      <c r="W13" s="21">
        <f>IF(W$4="x",'Symptomen (alle)'!V8,0)</f>
        <v>0</v>
      </c>
      <c r="X13" s="21">
        <f>IF(X$4="x",'Symptomen (alle)'!W8,0)</f>
        <v>3</v>
      </c>
      <c r="Y13" s="21">
        <f>IF(Y$4="x",'Symptomen (alle)'!X8,0)</f>
        <v>0</v>
      </c>
      <c r="Z13" s="21">
        <f>IF(Z$4="x",'Symptomen (alle)'!Y8,0)</f>
        <v>0</v>
      </c>
      <c r="AA13" s="21">
        <f>IF(AA$4="x",'Symptomen (alle)'!Z8,0)</f>
        <v>0</v>
      </c>
      <c r="AB13" s="21">
        <f>IF(AB$4="x",'Symptomen (alle)'!AA8,0)</f>
        <v>0</v>
      </c>
      <c r="AC13" s="21">
        <f>IF(AC$4="x",'Symptomen (alle)'!AB8,0)</f>
        <v>3</v>
      </c>
      <c r="AD13" s="21">
        <f>IF(AD$4="x",'Symptomen (alle)'!AC8,0)</f>
        <v>2</v>
      </c>
      <c r="AE13" s="21">
        <f t="shared" si="0"/>
        <v>12</v>
      </c>
      <c r="AF13" s="21">
        <f>HLOOKUP($B$4,ZiekteFam!$B$1:$T$32,AG13,FALSE)</f>
        <v>0</v>
      </c>
      <c r="AG13" s="32">
        <f t="shared" si="1"/>
        <v>8</v>
      </c>
      <c r="AH13" s="32">
        <f>SUM('Symptomen (alle)'!D8:AC8)</f>
        <v>33</v>
      </c>
      <c r="AI13" s="22">
        <f>Tabel423[[#This Row],[Kolom25]]/Tabel423[[#This Row],[Kolom28]]</f>
        <v>0.36363636363636365</v>
      </c>
      <c r="AJ13" s="36">
        <f t="shared" si="2"/>
        <v>4</v>
      </c>
      <c r="AK13" s="36">
        <f t="shared" si="3"/>
        <v>0</v>
      </c>
      <c r="AL13" s="36">
        <f t="shared" si="4"/>
        <v>0</v>
      </c>
      <c r="AM13" s="36">
        <f t="shared" si="5"/>
        <v>0</v>
      </c>
      <c r="AN13" s="36">
        <f t="shared" si="6"/>
        <v>0</v>
      </c>
      <c r="AO13" s="36">
        <f>COUNTIF(Tabel423[[#This Row],[Kolom3]:[Kolom222]],10)</f>
        <v>0</v>
      </c>
      <c r="AP13" s="36">
        <f>COUNTIF(Tabel423[[#This Row],[Kolom3]:[Kolom222]],5)</f>
        <v>0</v>
      </c>
      <c r="AQ13" s="36">
        <f>COUNTIF(Tabel423[[#This Row],[Kolom3]:[Kolom222]],3)</f>
        <v>2</v>
      </c>
      <c r="AR13" s="36">
        <f>COUNTIF(Tabel423[[#This Row],[Kolom3]:[Kolom222]],2)</f>
        <v>2</v>
      </c>
      <c r="AS13" s="36">
        <f>COUNTIF(Tabel423[[#This Row],[Kolom3]:[Kolom222]],1)</f>
        <v>2</v>
      </c>
      <c r="AT13" s="36">
        <f>COUNTIF('Symptomen (alle)'!$D8:$AC8,10)</f>
        <v>1</v>
      </c>
      <c r="AU13" s="36">
        <f>COUNTIF('Symptomen (alle)'!$D8:$AC8,5)</f>
        <v>0</v>
      </c>
      <c r="AV13" s="36">
        <f>COUNTIF('Symptomen (alle)'!$D8:$AC8,3)</f>
        <v>4</v>
      </c>
      <c r="AW13" s="36">
        <f>COUNTIF('Symptomen (alle)'!$D8:$AC8,2)</f>
        <v>4</v>
      </c>
      <c r="AX13" s="36">
        <f>COUNTIF('Symptomen (alle)'!$D8:$AC8,1)</f>
        <v>3</v>
      </c>
      <c r="AY13" s="22">
        <f>IF(Tabel423[[#This Row],[Kolom300]]=0,0,Tabel423[[#This Row],[Kolom2972]]/Tabel423[[#This Row],[Kolom300]])</f>
        <v>0</v>
      </c>
      <c r="AZ13" s="22">
        <f>IF(Tabel423[[#This Row],[Kolom301]]=0,0,Tabel423[[#This Row],[Kolom2973]]/Tabel423[[#This Row],[Kolom301]])</f>
        <v>0</v>
      </c>
      <c r="BA13" s="22">
        <f>IF(Tabel423[[#This Row],[Kolom294]]=0,0,Tabel423[[#This Row],[Kolom298]]/Tabel423[[#This Row],[Kolom294]])</f>
        <v>0</v>
      </c>
      <c r="BB13" s="22">
        <f>IF(Tabel423[[#This Row],[Kolom295]]=0,0,Tabel423[[#This Row],[Kolom299]]/Tabel423[[#This Row],[Kolom295]])</f>
        <v>0</v>
      </c>
      <c r="BC13" s="22">
        <f>IF(Tabel423[[#This Row],[Kolom2965]]=0,0,Tabel423[[#This Row],[Kolom300]]/Tabel423[[#This Row],[Kolom2965]])</f>
        <v>0</v>
      </c>
      <c r="BD13" s="22">
        <f>IF(Tabel423[[#This Row],[Kolom2966]]=0,0,Tabel423[[#This Row],[Kolom301]]/Tabel423[[#This Row],[Kolom2966]])</f>
        <v>0</v>
      </c>
      <c r="BE13" s="22">
        <f>IF(Tabel423[[#This Row],[Kolom2962]]=0,0,Tabel423[[#This Row],[Kolom294]]/Tabel423[[#This Row],[Kolom2962]])</f>
        <v>0.5</v>
      </c>
      <c r="BF13" s="22">
        <f>IF(Tabel423[[#This Row],[Kolom29622]]=0,0,Tabel423[[#This Row],[Kolom295]]/Tabel423[[#This Row],[Kolom29622]])</f>
        <v>0.5</v>
      </c>
      <c r="BG13" s="22">
        <f>IF(Tabel423[[#This Row],[Kolom29623]]=0,0,Tabel423[[#This Row],[Kolom296]]/Tabel423[[#This Row],[Kolom29623]])</f>
        <v>0.66666666666666663</v>
      </c>
      <c r="BH13" s="22">
        <f>(10*Tabel423[[#This Row],[Kolom296232]]+5*Tabel423[[#This Row],[Kolom296233]]+3*Tabel423[[#This Row],[Kolom29624]]+2*Tabel423[[#This Row],[Kolom2963]]+Tabel423[[#This Row],[Kolom29]])/21</f>
        <v>1.7316017316017316E-2</v>
      </c>
      <c r="BI13" s="22">
        <f>(10*Tabel423[[#This Row],[Kolom296232]]+5*Tabel423[[#This Row],[Kolom296233]]+3*Tabel423[[#This Row],[Kolom29624]]+2*Tabel423[[#This Row],[Kolom2963]])/20</f>
        <v>0</v>
      </c>
      <c r="BJ13" s="22">
        <f>(10*Tabel423[[#This Row],[Kolom29634]]+3*Tabel423[[#This Row],[Kolom29633]]+2*Tabel423[[#This Row],[Kolom29632]]+Tabel423[[#This Row],[Kolom2964]])/16</f>
        <v>0.19791666666666666</v>
      </c>
      <c r="BK13" s="22">
        <f>(10*Tabel423[[#This Row],[Kolom29634]]+5*Tabel423[[#This Row],[Kolom29635]]+3*Tabel423[[#This Row],[Kolom29633]]+2*Tabel423[[#This Row],[Kolom29632]])/20</f>
        <v>0.125</v>
      </c>
      <c r="BL13" s="22">
        <f>Tabel423[[#This Row],[Kolom29]]</f>
        <v>0.36363636363636365</v>
      </c>
      <c r="BM13" s="36">
        <f>_xlfn.RANK.EQ(Tabel423[[#This Row],[Kolom29]],$AI$7:$AI$37)</f>
        <v>16</v>
      </c>
      <c r="BN13" s="36">
        <f>_xlfn.RANK.EQ(Tabel423[[#This Row],[Kolom293]],BH$7:BH$37)</f>
        <v>25</v>
      </c>
      <c r="BO13" s="36">
        <f>_xlfn.RANK.EQ(Tabel423[[#This Row],[Kolom2933]],BI$7:BI$37)</f>
        <v>22</v>
      </c>
      <c r="BP13" s="36">
        <f>_xlfn.RANK.EQ(Tabel423[[#This Row],[Kolom29332]],BJ$7:BJ$37)</f>
        <v>17</v>
      </c>
      <c r="BQ13" s="36">
        <f>_xlfn.RANK.EQ(Tabel423[[#This Row],[Kolom2934]],BK$7:BK$37)</f>
        <v>20</v>
      </c>
      <c r="BR13" s="23"/>
    </row>
    <row r="14" spans="1:70">
      <c r="B14" s="21" t="str">
        <f>'Symptomen (alle)'!A9</f>
        <v>ICH/White spot disease_x000D_(Ichthyophthirius)</v>
      </c>
      <c r="C14" s="21">
        <f>'Symptomen (alle)'!B9</f>
        <v>1</v>
      </c>
      <c r="D14" s="21">
        <f>IF(D$4="x",'Symptomen (alle)'!C9,0)</f>
        <v>0</v>
      </c>
      <c r="E14" s="21">
        <f>IF(E$4="x",'Symptomen (alle)'!D9,0)</f>
        <v>2</v>
      </c>
      <c r="F14" s="21">
        <f>IF(F$4="x",'Symptomen (alle)'!E9,0)</f>
        <v>1</v>
      </c>
      <c r="G14" s="21">
        <f>IF(G$4="x",'Symptomen (alle)'!F9,0)</f>
        <v>1</v>
      </c>
      <c r="H14" s="21">
        <f>IF(H$4="x",'Symptomen (alle)'!G9,0)</f>
        <v>2</v>
      </c>
      <c r="I14" s="21">
        <f>IF(I$4="x",'Symptomen (alle)'!H9,0)</f>
        <v>0</v>
      </c>
      <c r="J14" s="21">
        <f>IF(J$4="x",'Symptomen (alle)'!I9,0)</f>
        <v>2</v>
      </c>
      <c r="K14" s="21">
        <f>IF(K$4="x",'Symptomen (alle)'!J9,0)</f>
        <v>0</v>
      </c>
      <c r="L14" s="21">
        <f>IF(L$4="x",'Symptomen (alle)'!K9,0)</f>
        <v>0</v>
      </c>
      <c r="M14" s="21">
        <f>IF(M$4="x",'Symptomen (alle)'!L9,0)</f>
        <v>0</v>
      </c>
      <c r="N14" s="21">
        <f>IF(N$4="x",'Symptomen (alle)'!M9,0)</f>
        <v>0</v>
      </c>
      <c r="O14" s="21">
        <f>IF(O$4="x",'Symptomen (alle)'!N9,0)</f>
        <v>0</v>
      </c>
      <c r="P14" s="21">
        <f>IF(P$4="x",'Symptomen (alle)'!O9,0)</f>
        <v>0</v>
      </c>
      <c r="Q14" s="21">
        <f>IF(Q$4="x",'Symptomen (alle)'!P9,0)</f>
        <v>0</v>
      </c>
      <c r="R14" s="21">
        <f>IF(R$4="x",'Symptomen (alle)'!Q9,0)</f>
        <v>0</v>
      </c>
      <c r="S14" s="21">
        <f>IF(S$4="x",'Symptomen (alle)'!R9,0)</f>
        <v>0</v>
      </c>
      <c r="T14" s="21">
        <f>IF(T$4="x",'Symptomen (alle)'!S9,0)</f>
        <v>0</v>
      </c>
      <c r="U14" s="21">
        <f>IF(U$4="x",'Symptomen (alle)'!T9,0)</f>
        <v>0</v>
      </c>
      <c r="V14" s="21">
        <f>IF(V$4="x",'Symptomen (alle)'!U9,0)</f>
        <v>0</v>
      </c>
      <c r="W14" s="21">
        <f>IF(W$4="x",'Symptomen (alle)'!V9,0)</f>
        <v>0</v>
      </c>
      <c r="X14" s="21">
        <f>IF(X$4="x",'Symptomen (alle)'!W9,0)</f>
        <v>3</v>
      </c>
      <c r="Y14" s="21">
        <f>IF(Y$4="x",'Symptomen (alle)'!X9,0)</f>
        <v>0</v>
      </c>
      <c r="Z14" s="21">
        <f>IF(Z$4="x",'Symptomen (alle)'!Y9,0)</f>
        <v>0</v>
      </c>
      <c r="AA14" s="21">
        <f>IF(AA$4="x",'Symptomen (alle)'!Z9,0)</f>
        <v>0</v>
      </c>
      <c r="AB14" s="21">
        <f>IF(AB$4="x",'Symptomen (alle)'!AA9,0)</f>
        <v>0</v>
      </c>
      <c r="AC14" s="21">
        <f>IF(AC$4="x",'Symptomen (alle)'!AB9,0)</f>
        <v>1</v>
      </c>
      <c r="AD14" s="21">
        <f>IF(AD$4="x",'Symptomen (alle)'!AC9,0)</f>
        <v>3</v>
      </c>
      <c r="AE14" s="21">
        <f t="shared" si="0"/>
        <v>15</v>
      </c>
      <c r="AF14" s="21">
        <f>HLOOKUP($B$4,ZiekteFam!$B$1:$T$32,AG14,FALSE)</f>
        <v>10</v>
      </c>
      <c r="AG14" s="32">
        <f t="shared" si="1"/>
        <v>9</v>
      </c>
      <c r="AH14" s="32">
        <f>SUM('Symptomen (alle)'!D9:AC9)</f>
        <v>43</v>
      </c>
      <c r="AI14" s="22">
        <f>Tabel423[[#This Row],[Kolom25]]/Tabel423[[#This Row],[Kolom28]]</f>
        <v>0.34883720930232559</v>
      </c>
      <c r="AJ14" s="36">
        <f t="shared" si="2"/>
        <v>4</v>
      </c>
      <c r="AK14" s="36">
        <f t="shared" si="3"/>
        <v>0</v>
      </c>
      <c r="AL14" s="36">
        <f t="shared" si="4"/>
        <v>0</v>
      </c>
      <c r="AM14" s="36">
        <f t="shared" si="5"/>
        <v>0</v>
      </c>
      <c r="AN14" s="36">
        <f t="shared" si="6"/>
        <v>2</v>
      </c>
      <c r="AO14" s="36">
        <f>COUNTIF(Tabel423[[#This Row],[Kolom3]:[Kolom222]],10)</f>
        <v>0</v>
      </c>
      <c r="AP14" s="36">
        <f>COUNTIF(Tabel423[[#This Row],[Kolom3]:[Kolom222]],5)</f>
        <v>0</v>
      </c>
      <c r="AQ14" s="36">
        <f>COUNTIF(Tabel423[[#This Row],[Kolom3]:[Kolom222]],3)</f>
        <v>2</v>
      </c>
      <c r="AR14" s="36">
        <f>COUNTIF(Tabel423[[#This Row],[Kolom3]:[Kolom222]],2)</f>
        <v>3</v>
      </c>
      <c r="AS14" s="36">
        <f>COUNTIF(Tabel423[[#This Row],[Kolom3]:[Kolom222]],1)</f>
        <v>3</v>
      </c>
      <c r="AT14" s="36">
        <f>COUNTIF('Symptomen (alle)'!$D9:$AC9,10)</f>
        <v>1</v>
      </c>
      <c r="AU14" s="36">
        <f>COUNTIF('Symptomen (alle)'!$D9:$AC9,5)</f>
        <v>0</v>
      </c>
      <c r="AV14" s="36">
        <f>COUNTIF('Symptomen (alle)'!$D9:$AC9,3)</f>
        <v>4</v>
      </c>
      <c r="AW14" s="36">
        <f>COUNTIF('Symptomen (alle)'!$D9:$AC9,2)</f>
        <v>7</v>
      </c>
      <c r="AX14" s="36">
        <f>COUNTIF('Symptomen (alle)'!$D9:$AC9,1)</f>
        <v>7</v>
      </c>
      <c r="AY14" s="22">
        <f>IF(Tabel423[[#This Row],[Kolom300]]=0,0,Tabel423[[#This Row],[Kolom2972]]/Tabel423[[#This Row],[Kolom300]])</f>
        <v>0</v>
      </c>
      <c r="AZ14" s="22">
        <f>IF(Tabel423[[#This Row],[Kolom301]]=0,0,Tabel423[[#This Row],[Kolom2973]]/Tabel423[[#This Row],[Kolom301]])</f>
        <v>0</v>
      </c>
      <c r="BA14" s="22">
        <f>IF(Tabel423[[#This Row],[Kolom294]]=0,0,Tabel423[[#This Row],[Kolom298]]/Tabel423[[#This Row],[Kolom294]])</f>
        <v>0</v>
      </c>
      <c r="BB14" s="22">
        <f>IF(Tabel423[[#This Row],[Kolom295]]=0,0,Tabel423[[#This Row],[Kolom299]]/Tabel423[[#This Row],[Kolom295]])</f>
        <v>0.66666666666666663</v>
      </c>
      <c r="BC14" s="22">
        <f>IF(Tabel423[[#This Row],[Kolom2965]]=0,0,Tabel423[[#This Row],[Kolom300]]/Tabel423[[#This Row],[Kolom2965]])</f>
        <v>0</v>
      </c>
      <c r="BD14" s="22">
        <f>IF(Tabel423[[#This Row],[Kolom2966]]=0,0,Tabel423[[#This Row],[Kolom301]]/Tabel423[[#This Row],[Kolom2966]])</f>
        <v>0</v>
      </c>
      <c r="BE14" s="22">
        <f>IF(Tabel423[[#This Row],[Kolom2962]]=0,0,Tabel423[[#This Row],[Kolom294]]/Tabel423[[#This Row],[Kolom2962]])</f>
        <v>0.5</v>
      </c>
      <c r="BF14" s="22">
        <f>IF(Tabel423[[#This Row],[Kolom29622]]=0,0,Tabel423[[#This Row],[Kolom295]]/Tabel423[[#This Row],[Kolom29622]])</f>
        <v>0.42857142857142855</v>
      </c>
      <c r="BG14" s="22">
        <f>IF(Tabel423[[#This Row],[Kolom29623]]=0,0,Tabel423[[#This Row],[Kolom296]]/Tabel423[[#This Row],[Kolom29623]])</f>
        <v>0.42857142857142855</v>
      </c>
      <c r="BH14" s="22">
        <f>(10*Tabel423[[#This Row],[Kolom296232]]+5*Tabel423[[#This Row],[Kolom296233]]+3*Tabel423[[#This Row],[Kolom29624]]+2*Tabel423[[#This Row],[Kolom2963]]+Tabel423[[#This Row],[Kolom29]])/21</f>
        <v>8.0103359173126609E-2</v>
      </c>
      <c r="BI14" s="22">
        <f>(10*Tabel423[[#This Row],[Kolom296232]]+5*Tabel423[[#This Row],[Kolom296233]]+3*Tabel423[[#This Row],[Kolom29624]]+2*Tabel423[[#This Row],[Kolom2963]])/20</f>
        <v>6.6666666666666666E-2</v>
      </c>
      <c r="BJ14" s="22">
        <f>(10*Tabel423[[#This Row],[Kolom29634]]+3*Tabel423[[#This Row],[Kolom29633]]+2*Tabel423[[#This Row],[Kolom29632]]+Tabel423[[#This Row],[Kolom2964]])/16</f>
        <v>0.17410714285714285</v>
      </c>
      <c r="BK14" s="22">
        <f>(10*Tabel423[[#This Row],[Kolom29634]]+5*Tabel423[[#This Row],[Kolom29635]]+3*Tabel423[[#This Row],[Kolom29633]]+2*Tabel423[[#This Row],[Kolom29632]])/20</f>
        <v>0.11785714285714285</v>
      </c>
      <c r="BL14" s="22">
        <f>Tabel423[[#This Row],[Kolom29]]</f>
        <v>0.34883720930232559</v>
      </c>
      <c r="BM14" s="36">
        <f>_xlfn.RANK.EQ(Tabel423[[#This Row],[Kolom29]],$AI$7:$AI$37)</f>
        <v>18</v>
      </c>
      <c r="BN14" s="36">
        <f>_xlfn.RANK.EQ(Tabel423[[#This Row],[Kolom293]],BH$7:BH$37)</f>
        <v>14</v>
      </c>
      <c r="BO14" s="36">
        <f>_xlfn.RANK.EQ(Tabel423[[#This Row],[Kolom2933]],BI$7:BI$37)</f>
        <v>14</v>
      </c>
      <c r="BP14" s="36">
        <f>_xlfn.RANK.EQ(Tabel423[[#This Row],[Kolom29332]],BJ$7:BJ$37)</f>
        <v>21</v>
      </c>
      <c r="BQ14" s="36">
        <f>_xlfn.RANK.EQ(Tabel423[[#This Row],[Kolom2934]],BK$7:BK$37)</f>
        <v>22</v>
      </c>
      <c r="BR14" s="23"/>
    </row>
    <row r="15" spans="1:70">
      <c r="B15" s="21" t="str">
        <f>'Symptomen (alle)'!A10</f>
        <v>Oodinium/Velvet disease</v>
      </c>
      <c r="C15">
        <f>'Symptomen (alle)'!B10</f>
        <v>1</v>
      </c>
      <c r="D15" s="21">
        <f>IF(D$4="x",'Symptomen (alle)'!C10,0)</f>
        <v>0</v>
      </c>
      <c r="E15" s="21">
        <f>IF(E$4="x",'Symptomen (alle)'!D10,0)</f>
        <v>2</v>
      </c>
      <c r="F15" s="21">
        <f>IF(F$4="x",'Symptomen (alle)'!E10,0)</f>
        <v>0</v>
      </c>
      <c r="G15" s="21">
        <f>IF(G$4="x",'Symptomen (alle)'!F10,0)</f>
        <v>0</v>
      </c>
      <c r="H15" s="21">
        <f>IF(H$4="x",'Symptomen (alle)'!G10,0)</f>
        <v>2</v>
      </c>
      <c r="I15" s="21">
        <f>IF(I$4="x",'Symptomen (alle)'!H10,0)</f>
        <v>0</v>
      </c>
      <c r="J15" s="21">
        <f>IF(J$4="x",'Symptomen (alle)'!I10,0)</f>
        <v>2</v>
      </c>
      <c r="K15" s="21">
        <f>IF(K$4="x",'Symptomen (alle)'!J10,0)</f>
        <v>0</v>
      </c>
      <c r="L15" s="21">
        <f>IF(L$4="x",'Symptomen (alle)'!K10,0)</f>
        <v>0</v>
      </c>
      <c r="M15" s="21">
        <f>IF(M$4="x",'Symptomen (alle)'!L10,0)</f>
        <v>0</v>
      </c>
      <c r="N15" s="21">
        <f>IF(N$4="x",'Symptomen (alle)'!M10,0)</f>
        <v>0</v>
      </c>
      <c r="O15" s="21">
        <f>IF(O$4="x",'Symptomen (alle)'!N10,0)</f>
        <v>0</v>
      </c>
      <c r="P15" s="21">
        <f>IF(P$4="x",'Symptomen (alle)'!O10,0)</f>
        <v>0</v>
      </c>
      <c r="Q15" s="21">
        <f>IF(Q$4="x",'Symptomen (alle)'!P10,0)</f>
        <v>0</v>
      </c>
      <c r="R15" s="21">
        <f>IF(R$4="x",'Symptomen (alle)'!Q10,0)</f>
        <v>0</v>
      </c>
      <c r="S15" s="21">
        <f>IF(S$4="x",'Symptomen (alle)'!R10,0)</f>
        <v>0</v>
      </c>
      <c r="T15" s="21">
        <f>IF(T$4="x",'Symptomen (alle)'!S10,0)</f>
        <v>0</v>
      </c>
      <c r="U15" s="21">
        <f>IF(U$4="x",'Symptomen (alle)'!T10,0)</f>
        <v>0</v>
      </c>
      <c r="V15" s="21">
        <f>IF(V$4="x",'Symptomen (alle)'!U10,0)</f>
        <v>0</v>
      </c>
      <c r="W15" s="21">
        <f>IF(W$4="x",'Symptomen (alle)'!V10,0)</f>
        <v>0</v>
      </c>
      <c r="X15" s="21">
        <f>IF(X$4="x",'Symptomen (alle)'!W10,0)</f>
        <v>3</v>
      </c>
      <c r="Y15" s="21">
        <f>IF(Y$4="x",'Symptomen (alle)'!X10,0)</f>
        <v>0</v>
      </c>
      <c r="Z15" s="21">
        <f>IF(Z$4="x",'Symptomen (alle)'!Y10,0)</f>
        <v>0</v>
      </c>
      <c r="AA15" s="21">
        <f>IF(AA$4="x",'Symptomen (alle)'!Z10,0)</f>
        <v>0</v>
      </c>
      <c r="AB15" s="21">
        <f>IF(AB$4="x",'Symptomen (alle)'!AA10,0)</f>
        <v>0</v>
      </c>
      <c r="AC15" s="21">
        <f>IF(AC$4="x",'Symptomen (alle)'!AB10,0)</f>
        <v>2</v>
      </c>
      <c r="AD15" s="21">
        <f>IF(AD$4="x",'Symptomen (alle)'!AC10,0)</f>
        <v>1</v>
      </c>
      <c r="AE15" s="21">
        <f t="shared" si="0"/>
        <v>12</v>
      </c>
      <c r="AF15" s="21">
        <f>HLOOKUP($B$4,ZiekteFam!$B$1:$T$32,AG15,FALSE)</f>
        <v>3</v>
      </c>
      <c r="AG15" s="32">
        <f t="shared" si="1"/>
        <v>10</v>
      </c>
      <c r="AH15" s="32">
        <f>SUM('Symptomen (alle)'!D10:AC10)</f>
        <v>41</v>
      </c>
      <c r="AI15" s="22">
        <f>Tabel423[[#This Row],[Kolom25]]/Tabel423[[#This Row],[Kolom28]]</f>
        <v>0.29268292682926828</v>
      </c>
      <c r="AJ15" s="36">
        <f t="shared" si="2"/>
        <v>4</v>
      </c>
      <c r="AK15" s="36">
        <f t="shared" si="3"/>
        <v>0</v>
      </c>
      <c r="AL15" s="36">
        <f t="shared" si="4"/>
        <v>0</v>
      </c>
      <c r="AM15" s="36">
        <f t="shared" si="5"/>
        <v>0</v>
      </c>
      <c r="AN15" s="36">
        <f t="shared" si="6"/>
        <v>2</v>
      </c>
      <c r="AO15" s="36">
        <f>COUNTIF(Tabel423[[#This Row],[Kolom3]:[Kolom222]],10)</f>
        <v>0</v>
      </c>
      <c r="AP15" s="36">
        <f>COUNTIF(Tabel423[[#This Row],[Kolom3]:[Kolom222]],5)</f>
        <v>0</v>
      </c>
      <c r="AQ15" s="36">
        <f>COUNTIF(Tabel423[[#This Row],[Kolom3]:[Kolom222]],3)</f>
        <v>1</v>
      </c>
      <c r="AR15" s="36">
        <f>COUNTIF(Tabel423[[#This Row],[Kolom3]:[Kolom222]],2)</f>
        <v>4</v>
      </c>
      <c r="AS15" s="36">
        <f>COUNTIF(Tabel423[[#This Row],[Kolom3]:[Kolom222]],1)</f>
        <v>1</v>
      </c>
      <c r="AT15" s="36">
        <f>COUNTIF('Symptomen (alle)'!$D10:$AC10,10)</f>
        <v>1</v>
      </c>
      <c r="AU15" s="36">
        <f>COUNTIF('Symptomen (alle)'!$D10:$AC10,5)</f>
        <v>0</v>
      </c>
      <c r="AV15" s="36">
        <f>COUNTIF('Symptomen (alle)'!$D10:$AC10,3)</f>
        <v>4</v>
      </c>
      <c r="AW15" s="36">
        <f>COUNTIF('Symptomen (alle)'!$D10:$AC10,2)</f>
        <v>7</v>
      </c>
      <c r="AX15" s="36">
        <f>COUNTIF('Symptomen (alle)'!$D10:$AC10,1)</f>
        <v>5</v>
      </c>
      <c r="AY15" s="22">
        <f>IF(Tabel423[[#This Row],[Kolom300]]=0,0,Tabel423[[#This Row],[Kolom2972]]/Tabel423[[#This Row],[Kolom300]])</f>
        <v>0</v>
      </c>
      <c r="AZ15" s="22">
        <f>IF(Tabel423[[#This Row],[Kolom301]]=0,0,Tabel423[[#This Row],[Kolom2973]]/Tabel423[[#This Row],[Kolom301]])</f>
        <v>0</v>
      </c>
      <c r="BA15" s="22">
        <f>IF(Tabel423[[#This Row],[Kolom294]]=0,0,Tabel423[[#This Row],[Kolom298]]/Tabel423[[#This Row],[Kolom294]])</f>
        <v>0</v>
      </c>
      <c r="BB15" s="22">
        <f>IF(Tabel423[[#This Row],[Kolom295]]=0,0,Tabel423[[#This Row],[Kolom299]]/Tabel423[[#This Row],[Kolom295]])</f>
        <v>0.5</v>
      </c>
      <c r="BC15" s="22">
        <f>IF(Tabel423[[#This Row],[Kolom2965]]=0,0,Tabel423[[#This Row],[Kolom300]]/Tabel423[[#This Row],[Kolom2965]])</f>
        <v>0</v>
      </c>
      <c r="BD15" s="22">
        <f>IF(Tabel423[[#This Row],[Kolom2966]]=0,0,Tabel423[[#This Row],[Kolom301]]/Tabel423[[#This Row],[Kolom2966]])</f>
        <v>0</v>
      </c>
      <c r="BE15" s="22">
        <f>IF(Tabel423[[#This Row],[Kolom2962]]=0,0,Tabel423[[#This Row],[Kolom294]]/Tabel423[[#This Row],[Kolom2962]])</f>
        <v>0.25</v>
      </c>
      <c r="BF15" s="22">
        <f>IF(Tabel423[[#This Row],[Kolom29622]]=0,0,Tabel423[[#This Row],[Kolom295]]/Tabel423[[#This Row],[Kolom29622]])</f>
        <v>0.5714285714285714</v>
      </c>
      <c r="BG15" s="22">
        <f>IF(Tabel423[[#This Row],[Kolom29623]]=0,0,Tabel423[[#This Row],[Kolom296]]/Tabel423[[#This Row],[Kolom29623]])</f>
        <v>0.2</v>
      </c>
      <c r="BH15" s="22">
        <f>(10*Tabel423[[#This Row],[Kolom296232]]+5*Tabel423[[#This Row],[Kolom296233]]+3*Tabel423[[#This Row],[Kolom29624]]+2*Tabel423[[#This Row],[Kolom2963]]+Tabel423[[#This Row],[Kolom29]])/21</f>
        <v>6.1556329849012777E-2</v>
      </c>
      <c r="BI15" s="22">
        <f>(10*Tabel423[[#This Row],[Kolom296232]]+5*Tabel423[[#This Row],[Kolom296233]]+3*Tabel423[[#This Row],[Kolom29624]]+2*Tabel423[[#This Row],[Kolom2963]])/20</f>
        <v>0.05</v>
      </c>
      <c r="BJ15" s="22">
        <f>(10*Tabel423[[#This Row],[Kolom29634]]+3*Tabel423[[#This Row],[Kolom29633]]+2*Tabel423[[#This Row],[Kolom29632]]+Tabel423[[#This Row],[Kolom2964]])/16</f>
        <v>0.13080357142857144</v>
      </c>
      <c r="BK15" s="22">
        <f>(10*Tabel423[[#This Row],[Kolom29634]]+5*Tabel423[[#This Row],[Kolom29635]]+3*Tabel423[[#This Row],[Kolom29633]]+2*Tabel423[[#This Row],[Kolom29632]])/20</f>
        <v>9.464285714285714E-2</v>
      </c>
      <c r="BL15" s="22">
        <f>Tabel423[[#This Row],[Kolom29]]</f>
        <v>0.29268292682926828</v>
      </c>
      <c r="BM15" s="36">
        <f>_xlfn.RANK.EQ(Tabel423[[#This Row],[Kolom29]],$AI$7:$AI$37)</f>
        <v>24</v>
      </c>
      <c r="BN15" s="36">
        <f>_xlfn.RANK.EQ(Tabel423[[#This Row],[Kolom293]],BH$7:BH$37)</f>
        <v>20</v>
      </c>
      <c r="BO15" s="36">
        <f>_xlfn.RANK.EQ(Tabel423[[#This Row],[Kolom2933]],BI$7:BI$37)</f>
        <v>16</v>
      </c>
      <c r="BP15" s="36">
        <f>_xlfn.RANK.EQ(Tabel423[[#This Row],[Kolom29332]],BJ$7:BJ$37)</f>
        <v>27</v>
      </c>
      <c r="BQ15" s="36">
        <f>_xlfn.RANK.EQ(Tabel423[[#This Row],[Kolom2934]],BK$7:BK$37)</f>
        <v>26</v>
      </c>
      <c r="BR15" s="23"/>
    </row>
    <row r="16" spans="1:70">
      <c r="B16" s="21" t="str">
        <f>'Symptomen (alle)'!A11</f>
        <v>Black spot disease (mostly encapsulated worm larvae)</v>
      </c>
      <c r="C16" s="77">
        <f>'Symptomen (alle)'!B11</f>
        <v>1</v>
      </c>
      <c r="D16" s="21">
        <f>IF(D$4="x",'Symptomen (alle)'!C11,0)</f>
        <v>0</v>
      </c>
      <c r="E16" s="21">
        <f>IF(E$4="x",'Symptomen (alle)'!D11,0)</f>
        <v>2</v>
      </c>
      <c r="F16" s="21">
        <f>IF(F$4="x",'Symptomen (alle)'!E11,0)</f>
        <v>0</v>
      </c>
      <c r="G16" s="21">
        <f>IF(G$4="x",'Symptomen (alle)'!F11,0)</f>
        <v>0</v>
      </c>
      <c r="H16" s="21">
        <f>IF(H$4="x",'Symptomen (alle)'!G11,0)</f>
        <v>0</v>
      </c>
      <c r="I16" s="21">
        <f>IF(I$4="x",'Symptomen (alle)'!H11,0)</f>
        <v>0</v>
      </c>
      <c r="J16" s="21">
        <f>IF(J$4="x",'Symptomen (alle)'!I11,0)</f>
        <v>1</v>
      </c>
      <c r="K16" s="21">
        <f>IF(K$4="x",'Symptomen (alle)'!J11,0)</f>
        <v>0</v>
      </c>
      <c r="L16" s="21">
        <f>IF(L$4="x",'Symptomen (alle)'!K11,0)</f>
        <v>0</v>
      </c>
      <c r="M16" s="21">
        <f>IF(M$4="x",'Symptomen (alle)'!L11,0)</f>
        <v>0</v>
      </c>
      <c r="N16" s="21">
        <f>IF(N$4="x",'Symptomen (alle)'!M11,0)</f>
        <v>0</v>
      </c>
      <c r="O16" s="21">
        <f>IF(O$4="x",'Symptomen (alle)'!N11,0)</f>
        <v>0</v>
      </c>
      <c r="P16" s="21">
        <f>IF(P$4="x",'Symptomen (alle)'!O11,0)</f>
        <v>0</v>
      </c>
      <c r="Q16" s="21">
        <f>IF(Q$4="x",'Symptomen (alle)'!P11,0)</f>
        <v>0</v>
      </c>
      <c r="R16" s="21">
        <f>IF(R$4="x",'Symptomen (alle)'!Q11,0)</f>
        <v>0</v>
      </c>
      <c r="S16" s="21">
        <f>IF(S$4="x",'Symptomen (alle)'!R11,0)</f>
        <v>0</v>
      </c>
      <c r="T16" s="21">
        <f>IF(T$4="x",'Symptomen (alle)'!S11,0)</f>
        <v>0</v>
      </c>
      <c r="U16" s="21">
        <f>IF(U$4="x",'Symptomen (alle)'!T11,0)</f>
        <v>0</v>
      </c>
      <c r="V16" s="21">
        <f>IF(V$4="x",'Symptomen (alle)'!U11,0)</f>
        <v>0</v>
      </c>
      <c r="W16" s="21">
        <f>IF(W$4="x",'Symptomen (alle)'!V11,0)</f>
        <v>0</v>
      </c>
      <c r="X16" s="21">
        <f>IF(X$4="x",'Symptomen (alle)'!W11,0)</f>
        <v>2</v>
      </c>
      <c r="Y16" s="21">
        <f>IF(Y$4="x",'Symptomen (alle)'!X11,0)</f>
        <v>0</v>
      </c>
      <c r="Z16" s="21">
        <f>IF(Z$4="x",'Symptomen (alle)'!Y11,0)</f>
        <v>0</v>
      </c>
      <c r="AA16" s="21">
        <f>IF(AA$4="x",'Symptomen (alle)'!Z11,0)</f>
        <v>0</v>
      </c>
      <c r="AB16" s="21">
        <f>IF(AB$4="x",'Symptomen (alle)'!AA11,0)</f>
        <v>0</v>
      </c>
      <c r="AC16" s="21">
        <f>IF(AC$4="x",'Symptomen (alle)'!AB11,0)</f>
        <v>3</v>
      </c>
      <c r="AD16" s="21">
        <f>IF(AD$4="x",'Symptomen (alle)'!AC11,0)</f>
        <v>1</v>
      </c>
      <c r="AE16" s="21">
        <f t="shared" si="0"/>
        <v>9</v>
      </c>
      <c r="AF16" s="21">
        <f>HLOOKUP($B$4,ZiekteFam!$B$1:$T$32,AG16,FALSE)</f>
        <v>3</v>
      </c>
      <c r="AG16" s="32">
        <f t="shared" si="1"/>
        <v>11</v>
      </c>
      <c r="AH16" s="32">
        <f>SUM('Symptomen (alle)'!D11:AC11)</f>
        <v>24</v>
      </c>
      <c r="AI16" s="22">
        <f>Tabel423[[#This Row],[Kolom25]]/Tabel423[[#This Row],[Kolom28]]</f>
        <v>0.375</v>
      </c>
      <c r="AJ16" s="36">
        <f t="shared" si="2"/>
        <v>4</v>
      </c>
      <c r="AK16" s="36">
        <f t="shared" si="3"/>
        <v>0</v>
      </c>
      <c r="AL16" s="36">
        <f t="shared" si="4"/>
        <v>0</v>
      </c>
      <c r="AM16" s="36">
        <f t="shared" si="5"/>
        <v>0</v>
      </c>
      <c r="AN16" s="36">
        <f t="shared" si="6"/>
        <v>0</v>
      </c>
      <c r="AO16" s="36">
        <f>COUNTIF(Tabel423[[#This Row],[Kolom3]:[Kolom222]],10)</f>
        <v>0</v>
      </c>
      <c r="AP16" s="36">
        <f>COUNTIF(Tabel423[[#This Row],[Kolom3]:[Kolom222]],5)</f>
        <v>0</v>
      </c>
      <c r="AQ16" s="36">
        <f>COUNTIF(Tabel423[[#This Row],[Kolom3]:[Kolom222]],3)</f>
        <v>1</v>
      </c>
      <c r="AR16" s="36">
        <f>COUNTIF(Tabel423[[#This Row],[Kolom3]:[Kolom222]],2)</f>
        <v>2</v>
      </c>
      <c r="AS16" s="36">
        <f>COUNTIF(Tabel423[[#This Row],[Kolom3]:[Kolom222]],1)</f>
        <v>2</v>
      </c>
      <c r="AT16" s="36">
        <f>COUNTIF('Symptomen (alle)'!$D11:$AC11,10)</f>
        <v>1</v>
      </c>
      <c r="AU16" s="36">
        <f>COUNTIF('Symptomen (alle)'!$D11:$AC11,5)</f>
        <v>0</v>
      </c>
      <c r="AV16" s="36">
        <f>COUNTIF('Symptomen (alle)'!$D11:$AC11,3)</f>
        <v>1</v>
      </c>
      <c r="AW16" s="36">
        <f>COUNTIF('Symptomen (alle)'!$D11:$AC11,2)</f>
        <v>2</v>
      </c>
      <c r="AX16" s="36">
        <f>COUNTIF('Symptomen (alle)'!$D11:$AC11,1)</f>
        <v>7</v>
      </c>
      <c r="AY16" s="22">
        <f>IF(Tabel423[[#This Row],[Kolom300]]=0,0,Tabel423[[#This Row],[Kolom2972]]/Tabel423[[#This Row],[Kolom300]])</f>
        <v>0</v>
      </c>
      <c r="AZ16" s="22">
        <f>IF(Tabel423[[#This Row],[Kolom301]]=0,0,Tabel423[[#This Row],[Kolom2973]]/Tabel423[[#This Row],[Kolom301]])</f>
        <v>0</v>
      </c>
      <c r="BA16" s="22">
        <f>IF(Tabel423[[#This Row],[Kolom294]]=0,0,Tabel423[[#This Row],[Kolom298]]/Tabel423[[#This Row],[Kolom294]])</f>
        <v>0</v>
      </c>
      <c r="BB16" s="22">
        <f>IF(Tabel423[[#This Row],[Kolom295]]=0,0,Tabel423[[#This Row],[Kolom299]]/Tabel423[[#This Row],[Kolom295]])</f>
        <v>0</v>
      </c>
      <c r="BC16" s="22">
        <f>IF(Tabel423[[#This Row],[Kolom2965]]=0,0,Tabel423[[#This Row],[Kolom300]]/Tabel423[[#This Row],[Kolom2965]])</f>
        <v>0</v>
      </c>
      <c r="BD16" s="22">
        <f>IF(Tabel423[[#This Row],[Kolom2966]]=0,0,Tabel423[[#This Row],[Kolom301]]/Tabel423[[#This Row],[Kolom2966]])</f>
        <v>0</v>
      </c>
      <c r="BE16" s="22">
        <f>IF(Tabel423[[#This Row],[Kolom2962]]=0,0,Tabel423[[#This Row],[Kolom294]]/Tabel423[[#This Row],[Kolom2962]])</f>
        <v>1</v>
      </c>
      <c r="BF16" s="22">
        <f>IF(Tabel423[[#This Row],[Kolom29622]]=0,0,Tabel423[[#This Row],[Kolom295]]/Tabel423[[#This Row],[Kolom29622]])</f>
        <v>1</v>
      </c>
      <c r="BG16" s="22">
        <f>IF(Tabel423[[#This Row],[Kolom29623]]=0,0,Tabel423[[#This Row],[Kolom296]]/Tabel423[[#This Row],[Kolom29623]])</f>
        <v>0.2857142857142857</v>
      </c>
      <c r="BH16" s="22">
        <f>(10*Tabel423[[#This Row],[Kolom296232]]+5*Tabel423[[#This Row],[Kolom296233]]+3*Tabel423[[#This Row],[Kolom29624]]+2*Tabel423[[#This Row],[Kolom2963]]+Tabel423[[#This Row],[Kolom29]])/21</f>
        <v>1.7857142857142856E-2</v>
      </c>
      <c r="BI16" s="22">
        <f>(10*Tabel423[[#This Row],[Kolom296232]]+5*Tabel423[[#This Row],[Kolom296233]]+3*Tabel423[[#This Row],[Kolom29624]]+2*Tabel423[[#This Row],[Kolom2963]])/20</f>
        <v>0</v>
      </c>
      <c r="BJ16" s="22">
        <f>(10*Tabel423[[#This Row],[Kolom29634]]+3*Tabel423[[#This Row],[Kolom29633]]+2*Tabel423[[#This Row],[Kolom29632]]+Tabel423[[#This Row],[Kolom2964]])/16</f>
        <v>0.33035714285714285</v>
      </c>
      <c r="BK16" s="22">
        <f>(10*Tabel423[[#This Row],[Kolom29634]]+5*Tabel423[[#This Row],[Kolom29635]]+3*Tabel423[[#This Row],[Kolom29633]]+2*Tabel423[[#This Row],[Kolom29632]])/20</f>
        <v>0.25</v>
      </c>
      <c r="BL16" s="22">
        <f>Tabel423[[#This Row],[Kolom29]]</f>
        <v>0.375</v>
      </c>
      <c r="BM16" s="36">
        <f>_xlfn.RANK.EQ(Tabel423[[#This Row],[Kolom29]],$AI$7:$AI$37)</f>
        <v>15</v>
      </c>
      <c r="BN16" s="36">
        <f>_xlfn.RANK.EQ(Tabel423[[#This Row],[Kolom293]],BH$7:BH$37)</f>
        <v>24</v>
      </c>
      <c r="BO16" s="36">
        <f>_xlfn.RANK.EQ(Tabel423[[#This Row],[Kolom2933]],BI$7:BI$37)</f>
        <v>22</v>
      </c>
      <c r="BP16" s="36">
        <f>_xlfn.RANK.EQ(Tabel423[[#This Row],[Kolom29332]],BJ$7:BJ$37)</f>
        <v>13</v>
      </c>
      <c r="BQ16" s="36">
        <f>_xlfn.RANK.EQ(Tabel423[[#This Row],[Kolom2934]],BK$7:BK$37)</f>
        <v>12</v>
      </c>
      <c r="BR16" s="23"/>
    </row>
    <row r="17" spans="1:70">
      <c r="B17" s="21" t="str">
        <f>'Symptomen (alle)'!A12</f>
        <v>White grub disease (encapsulated worm larvae, NO ICH)</v>
      </c>
      <c r="C17" s="77" t="str">
        <f>'Symptomen (alle)'!B12</f>
        <v>4</v>
      </c>
      <c r="D17" s="21">
        <f>IF(D$4="x",'Symptomen (alle)'!C12,0)</f>
        <v>0</v>
      </c>
      <c r="E17" s="21">
        <f>IF(E$4="x",'Symptomen (alle)'!D12,0)</f>
        <v>1</v>
      </c>
      <c r="F17" s="21">
        <f>IF(F$4="x",'Symptomen (alle)'!E12,0)</f>
        <v>0</v>
      </c>
      <c r="G17" s="21">
        <f>IF(G$4="x",'Symptomen (alle)'!F12,0)</f>
        <v>0</v>
      </c>
      <c r="H17" s="21">
        <f>IF(H$4="x",'Symptomen (alle)'!G12,0)</f>
        <v>0</v>
      </c>
      <c r="I17" s="21">
        <f>IF(I$4="x",'Symptomen (alle)'!H12,0)</f>
        <v>0</v>
      </c>
      <c r="J17" s="21">
        <f>IF(J$4="x",'Symptomen (alle)'!I12,0)</f>
        <v>1</v>
      </c>
      <c r="K17" s="21">
        <f>IF(K$4="x",'Symptomen (alle)'!J12,0)</f>
        <v>0</v>
      </c>
      <c r="L17" s="21">
        <f>IF(L$4="x",'Symptomen (alle)'!K12,0)</f>
        <v>0</v>
      </c>
      <c r="M17" s="21">
        <f>IF(M$4="x",'Symptomen (alle)'!L12,0)</f>
        <v>0</v>
      </c>
      <c r="N17" s="21">
        <f>IF(N$4="x",'Symptomen (alle)'!M12,0)</f>
        <v>0</v>
      </c>
      <c r="O17" s="21">
        <f>IF(O$4="x",'Symptomen (alle)'!N12,0)</f>
        <v>0</v>
      </c>
      <c r="P17" s="21">
        <f>IF(P$4="x",'Symptomen (alle)'!O12,0)</f>
        <v>0</v>
      </c>
      <c r="Q17" s="21">
        <f>IF(Q$4="x",'Symptomen (alle)'!P12,0)</f>
        <v>0</v>
      </c>
      <c r="R17" s="21">
        <f>IF(R$4="x",'Symptomen (alle)'!Q12,0)</f>
        <v>0</v>
      </c>
      <c r="S17" s="21">
        <f>IF(S$4="x",'Symptomen (alle)'!R12,0)</f>
        <v>0</v>
      </c>
      <c r="T17" s="21">
        <f>IF(T$4="x",'Symptomen (alle)'!S12,0)</f>
        <v>0</v>
      </c>
      <c r="U17" s="21">
        <f>IF(U$4="x",'Symptomen (alle)'!T12,0)</f>
        <v>0</v>
      </c>
      <c r="V17" s="21">
        <f>IF(V$4="x",'Symptomen (alle)'!U12,0)</f>
        <v>0</v>
      </c>
      <c r="W17" s="21">
        <f>IF(W$4="x",'Symptomen (alle)'!V12,0)</f>
        <v>0</v>
      </c>
      <c r="X17" s="21">
        <f>IF(X$4="x",'Symptomen (alle)'!W12,0)</f>
        <v>0</v>
      </c>
      <c r="Y17" s="21">
        <f>IF(Y$4="x",'Symptomen (alle)'!X12,0)</f>
        <v>0</v>
      </c>
      <c r="Z17" s="21">
        <f>IF(Z$4="x",'Symptomen (alle)'!Y12,0)</f>
        <v>0</v>
      </c>
      <c r="AA17" s="21">
        <f>IF(AA$4="x",'Symptomen (alle)'!Z12,0)</f>
        <v>0</v>
      </c>
      <c r="AB17" s="21">
        <f>IF(AB$4="x",'Symptomen (alle)'!AA12,0)</f>
        <v>0</v>
      </c>
      <c r="AC17" s="21">
        <f>IF(AC$4="x",'Symptomen (alle)'!AB12,0)</f>
        <v>2</v>
      </c>
      <c r="AD17" s="21">
        <f>IF(AD$4="x",'Symptomen (alle)'!AC12,0)</f>
        <v>1</v>
      </c>
      <c r="AE17" s="21">
        <f t="shared" si="0"/>
        <v>5</v>
      </c>
      <c r="AF17" s="21">
        <f>HLOOKUP($B$4,ZiekteFam!$B$1:$T$32,AG17,FALSE)</f>
        <v>3</v>
      </c>
      <c r="AG17" s="32">
        <f t="shared" si="1"/>
        <v>12</v>
      </c>
      <c r="AH17" s="32">
        <f>SUM('Symptomen (alle)'!D12:AC12)</f>
        <v>25</v>
      </c>
      <c r="AI17" s="22">
        <f>Tabel423[[#This Row],[Kolom25]]/Tabel423[[#This Row],[Kolom28]]</f>
        <v>0.2</v>
      </c>
      <c r="AJ17" s="36">
        <f t="shared" si="2"/>
        <v>4</v>
      </c>
      <c r="AK17" s="36">
        <f t="shared" si="3"/>
        <v>0</v>
      </c>
      <c r="AL17" s="36">
        <f t="shared" si="4"/>
        <v>0</v>
      </c>
      <c r="AM17" s="36">
        <f t="shared" si="5"/>
        <v>0</v>
      </c>
      <c r="AN17" s="36">
        <f t="shared" si="6"/>
        <v>0</v>
      </c>
      <c r="AO17" s="36">
        <f>COUNTIF(Tabel423[[#This Row],[Kolom3]:[Kolom222]],10)</f>
        <v>0</v>
      </c>
      <c r="AP17" s="36">
        <f>COUNTIF(Tabel423[[#This Row],[Kolom3]:[Kolom222]],5)</f>
        <v>0</v>
      </c>
      <c r="AQ17" s="36">
        <f>COUNTIF(Tabel423[[#This Row],[Kolom3]:[Kolom222]],3)</f>
        <v>0</v>
      </c>
      <c r="AR17" s="36">
        <f>COUNTIF(Tabel423[[#This Row],[Kolom3]:[Kolom222]],2)</f>
        <v>1</v>
      </c>
      <c r="AS17" s="36">
        <f>COUNTIF(Tabel423[[#This Row],[Kolom3]:[Kolom222]],1)</f>
        <v>3</v>
      </c>
      <c r="AT17" s="36">
        <f>COUNTIF('Symptomen (alle)'!$D12:$AC12,10)</f>
        <v>1</v>
      </c>
      <c r="AU17" s="36">
        <f>COUNTIF('Symptomen (alle)'!$D12:$AC12,5)</f>
        <v>1</v>
      </c>
      <c r="AV17" s="36">
        <f>COUNTIF('Symptomen (alle)'!$D12:$AC12,3)</f>
        <v>0</v>
      </c>
      <c r="AW17" s="36">
        <f>COUNTIF('Symptomen (alle)'!$D12:$AC12,2)</f>
        <v>1</v>
      </c>
      <c r="AX17" s="36">
        <f>COUNTIF('Symptomen (alle)'!$D12:$AC12,1)</f>
        <v>8</v>
      </c>
      <c r="AY17" s="22">
        <f>IF(Tabel423[[#This Row],[Kolom300]]=0,0,Tabel423[[#This Row],[Kolom2972]]/Tabel423[[#This Row],[Kolom300]])</f>
        <v>0</v>
      </c>
      <c r="AZ17" s="22">
        <f>IF(Tabel423[[#This Row],[Kolom301]]=0,0,Tabel423[[#This Row],[Kolom2973]]/Tabel423[[#This Row],[Kolom301]])</f>
        <v>0</v>
      </c>
      <c r="BA17" s="22">
        <f>IF(Tabel423[[#This Row],[Kolom294]]=0,0,Tabel423[[#This Row],[Kolom298]]/Tabel423[[#This Row],[Kolom294]])</f>
        <v>0</v>
      </c>
      <c r="BB17" s="22">
        <f>IF(Tabel423[[#This Row],[Kolom295]]=0,0,Tabel423[[#This Row],[Kolom299]]/Tabel423[[#This Row],[Kolom295]])</f>
        <v>0</v>
      </c>
      <c r="BC17" s="22">
        <f>IF(Tabel423[[#This Row],[Kolom2965]]=0,0,Tabel423[[#This Row],[Kolom300]]/Tabel423[[#This Row],[Kolom2965]])</f>
        <v>0</v>
      </c>
      <c r="BD17" s="22">
        <f>IF(Tabel423[[#This Row],[Kolom2966]]=0,0,Tabel423[[#This Row],[Kolom301]]/Tabel423[[#This Row],[Kolom2966]])</f>
        <v>0</v>
      </c>
      <c r="BE17" s="22">
        <f>IF(Tabel423[[#This Row],[Kolom2962]]=0,0,Tabel423[[#This Row],[Kolom294]]/Tabel423[[#This Row],[Kolom2962]])</f>
        <v>0</v>
      </c>
      <c r="BF17" s="22">
        <f>IF(Tabel423[[#This Row],[Kolom29622]]=0,0,Tabel423[[#This Row],[Kolom295]]/Tabel423[[#This Row],[Kolom29622]])</f>
        <v>1</v>
      </c>
      <c r="BG17" s="22">
        <f>IF(Tabel423[[#This Row],[Kolom29623]]=0,0,Tabel423[[#This Row],[Kolom296]]/Tabel423[[#This Row],[Kolom29623]])</f>
        <v>0.375</v>
      </c>
      <c r="BH17" s="22">
        <f>(10*Tabel423[[#This Row],[Kolom296232]]+5*Tabel423[[#This Row],[Kolom296233]]+3*Tabel423[[#This Row],[Kolom29624]]+2*Tabel423[[#This Row],[Kolom2963]]+Tabel423[[#This Row],[Kolom29]])/21</f>
        <v>9.5238095238095247E-3</v>
      </c>
      <c r="BI17" s="22">
        <f>(10*Tabel423[[#This Row],[Kolom296232]]+5*Tabel423[[#This Row],[Kolom296233]]+3*Tabel423[[#This Row],[Kolom29624]]+2*Tabel423[[#This Row],[Kolom2963]])/20</f>
        <v>0</v>
      </c>
      <c r="BJ17" s="22">
        <f>(10*Tabel423[[#This Row],[Kolom29634]]+3*Tabel423[[#This Row],[Kolom29633]]+2*Tabel423[[#This Row],[Kolom29632]]+Tabel423[[#This Row],[Kolom2964]])/16</f>
        <v>0.1484375</v>
      </c>
      <c r="BK17" s="22">
        <f>(10*Tabel423[[#This Row],[Kolom29634]]+5*Tabel423[[#This Row],[Kolom29635]]+3*Tabel423[[#This Row],[Kolom29633]]+2*Tabel423[[#This Row],[Kolom29632]])/20</f>
        <v>0.1</v>
      </c>
      <c r="BL17" s="22">
        <f>Tabel423[[#This Row],[Kolom29]]</f>
        <v>0.2</v>
      </c>
      <c r="BM17" s="36">
        <f>_xlfn.RANK.EQ(Tabel423[[#This Row],[Kolom29]],$AI$7:$AI$37)</f>
        <v>31</v>
      </c>
      <c r="BN17" s="36">
        <f>_xlfn.RANK.EQ(Tabel423[[#This Row],[Kolom293]],BH$7:BH$37)</f>
        <v>31</v>
      </c>
      <c r="BO17" s="36">
        <f>_xlfn.RANK.EQ(Tabel423[[#This Row],[Kolom2933]],BI$7:BI$37)</f>
        <v>22</v>
      </c>
      <c r="BP17" s="36">
        <f>_xlfn.RANK.EQ(Tabel423[[#This Row],[Kolom29332]],BJ$7:BJ$37)</f>
        <v>25</v>
      </c>
      <c r="BQ17" s="36">
        <f>_xlfn.RANK.EQ(Tabel423[[#This Row],[Kolom2934]],BK$7:BK$37)</f>
        <v>24</v>
      </c>
      <c r="BR17" s="23"/>
    </row>
    <row r="18" spans="1:70">
      <c r="B18" s="21" t="str">
        <f>'Symptomen (alle)'!A13</f>
        <v>Chilodonella/(Ichthyobodo/Costia)/Trichodina</v>
      </c>
      <c r="C18" s="77">
        <f>'Symptomen (alle)'!B13</f>
        <v>0</v>
      </c>
      <c r="D18" s="21">
        <f>IF(D$4="x",'Symptomen (alle)'!C13,0)</f>
        <v>0</v>
      </c>
      <c r="E18" s="21">
        <f>IF(E$4="x",'Symptomen (alle)'!D13,0)</f>
        <v>1</v>
      </c>
      <c r="F18" s="21">
        <f>IF(F$4="x",'Symptomen (alle)'!E13,0)</f>
        <v>0</v>
      </c>
      <c r="G18" s="21">
        <f>IF(G$4="x",'Symptomen (alle)'!F13,0)</f>
        <v>0</v>
      </c>
      <c r="H18" s="21">
        <f>IF(H$4="x",'Symptomen (alle)'!G13,0)</f>
        <v>2</v>
      </c>
      <c r="I18" s="21">
        <f>IF(I$4="x",'Symptomen (alle)'!H13,0)</f>
        <v>0</v>
      </c>
      <c r="J18" s="21">
        <f>IF(J$4="x",'Symptomen (alle)'!I13,0)</f>
        <v>2</v>
      </c>
      <c r="K18" s="21">
        <f>IF(K$4="x",'Symptomen (alle)'!J13,0)</f>
        <v>0</v>
      </c>
      <c r="L18" s="21">
        <f>IF(L$4="x",'Symptomen (alle)'!K13,0)</f>
        <v>0</v>
      </c>
      <c r="M18" s="21">
        <f>IF(M$4="x",'Symptomen (alle)'!L13,0)</f>
        <v>0</v>
      </c>
      <c r="N18" s="21">
        <f>IF(N$4="x",'Symptomen (alle)'!M13,0)</f>
        <v>0</v>
      </c>
      <c r="O18" s="21">
        <f>IF(O$4="x",'Symptomen (alle)'!N13,0)</f>
        <v>0</v>
      </c>
      <c r="P18" s="21">
        <f>IF(P$4="x",'Symptomen (alle)'!O13,0)</f>
        <v>0</v>
      </c>
      <c r="Q18" s="21">
        <f>IF(Q$4="x",'Symptomen (alle)'!P13,0)</f>
        <v>0</v>
      </c>
      <c r="R18" s="21">
        <f>IF(R$4="x",'Symptomen (alle)'!Q13,0)</f>
        <v>0</v>
      </c>
      <c r="S18" s="21">
        <f>IF(S$4="x",'Symptomen (alle)'!R13,0)</f>
        <v>0</v>
      </c>
      <c r="T18" s="21">
        <f>IF(T$4="x",'Symptomen (alle)'!S13,0)</f>
        <v>0</v>
      </c>
      <c r="U18" s="21">
        <f>IF(U$4="x",'Symptomen (alle)'!T13,0)</f>
        <v>0</v>
      </c>
      <c r="V18" s="21">
        <f>IF(V$4="x",'Symptomen (alle)'!U13,0)</f>
        <v>0</v>
      </c>
      <c r="W18" s="21">
        <f>IF(W$4="x",'Symptomen (alle)'!V13,0)</f>
        <v>0</v>
      </c>
      <c r="X18" s="21">
        <f>IF(X$4="x",'Symptomen (alle)'!W13,0)</f>
        <v>3</v>
      </c>
      <c r="Y18" s="21">
        <f>IF(Y$4="x",'Symptomen (alle)'!X13,0)</f>
        <v>0</v>
      </c>
      <c r="Z18" s="21">
        <f>IF(Z$4="x",'Symptomen (alle)'!Y13,0)</f>
        <v>0</v>
      </c>
      <c r="AA18" s="21">
        <f>IF(AA$4="x",'Symptomen (alle)'!Z13,0)</f>
        <v>0</v>
      </c>
      <c r="AB18" s="21">
        <f>IF(AB$4="x",'Symptomen (alle)'!AA13,0)</f>
        <v>0</v>
      </c>
      <c r="AC18" s="21">
        <f>IF(AC$4="x",'Symptomen (alle)'!AB13,0)</f>
        <v>1</v>
      </c>
      <c r="AD18" s="21">
        <f>IF(AD$4="x",'Symptomen (alle)'!AC13,0)</f>
        <v>2</v>
      </c>
      <c r="AE18" s="21">
        <f t="shared" si="0"/>
        <v>11</v>
      </c>
      <c r="AF18" s="21">
        <f>HLOOKUP($B$4,ZiekteFam!$B$1:$T$32,AG18,FALSE)</f>
        <v>3</v>
      </c>
      <c r="AG18" s="32">
        <f t="shared" si="1"/>
        <v>13</v>
      </c>
      <c r="AH18" s="32">
        <f>SUM('Symptomen (alle)'!D13:AC13)</f>
        <v>33</v>
      </c>
      <c r="AI18" s="22">
        <f>Tabel423[[#This Row],[Kolom25]]/Tabel423[[#This Row],[Kolom28]]</f>
        <v>0.33333333333333331</v>
      </c>
      <c r="AJ18" s="36">
        <f t="shared" si="2"/>
        <v>4</v>
      </c>
      <c r="AK18" s="36">
        <f t="shared" si="3"/>
        <v>0</v>
      </c>
      <c r="AL18" s="36">
        <f t="shared" si="4"/>
        <v>0</v>
      </c>
      <c r="AM18" s="36">
        <f t="shared" si="5"/>
        <v>0</v>
      </c>
      <c r="AN18" s="36">
        <f t="shared" si="6"/>
        <v>2</v>
      </c>
      <c r="AO18" s="36">
        <f>COUNTIF(Tabel423[[#This Row],[Kolom3]:[Kolom222]],10)</f>
        <v>0</v>
      </c>
      <c r="AP18" s="36">
        <f>COUNTIF(Tabel423[[#This Row],[Kolom3]:[Kolom222]],5)</f>
        <v>0</v>
      </c>
      <c r="AQ18" s="36">
        <f>COUNTIF(Tabel423[[#This Row],[Kolom3]:[Kolom222]],3)</f>
        <v>1</v>
      </c>
      <c r="AR18" s="36">
        <f>COUNTIF(Tabel423[[#This Row],[Kolom3]:[Kolom222]],2)</f>
        <v>3</v>
      </c>
      <c r="AS18" s="36">
        <f>COUNTIF(Tabel423[[#This Row],[Kolom3]:[Kolom222]],1)</f>
        <v>2</v>
      </c>
      <c r="AT18" s="36">
        <f>COUNTIF('Symptomen (alle)'!$D13:$AC13,10)</f>
        <v>0</v>
      </c>
      <c r="AU18" s="36">
        <f>COUNTIF('Symptomen (alle)'!$D13:$AC13,5)</f>
        <v>2</v>
      </c>
      <c r="AV18" s="36">
        <f>COUNTIF('Symptomen (alle)'!$D13:$AC13,3)</f>
        <v>2</v>
      </c>
      <c r="AW18" s="36">
        <f>COUNTIF('Symptomen (alle)'!$D13:$AC13,2)</f>
        <v>6</v>
      </c>
      <c r="AX18" s="36">
        <f>COUNTIF('Symptomen (alle)'!$D13:$AC13,1)</f>
        <v>5</v>
      </c>
      <c r="AY18" s="22">
        <f>IF(Tabel423[[#This Row],[Kolom300]]=0,0,Tabel423[[#This Row],[Kolom2972]]/Tabel423[[#This Row],[Kolom300]])</f>
        <v>0</v>
      </c>
      <c r="AZ18" s="22">
        <f>IF(Tabel423[[#This Row],[Kolom301]]=0,0,Tabel423[[#This Row],[Kolom2973]]/Tabel423[[#This Row],[Kolom301]])</f>
        <v>0</v>
      </c>
      <c r="BA18" s="22">
        <f>IF(Tabel423[[#This Row],[Kolom294]]=0,0,Tabel423[[#This Row],[Kolom298]]/Tabel423[[#This Row],[Kolom294]])</f>
        <v>0</v>
      </c>
      <c r="BB18" s="22">
        <f>IF(Tabel423[[#This Row],[Kolom295]]=0,0,Tabel423[[#This Row],[Kolom299]]/Tabel423[[#This Row],[Kolom295]])</f>
        <v>0.66666666666666663</v>
      </c>
      <c r="BC18" s="22">
        <f>IF(Tabel423[[#This Row],[Kolom2965]]=0,0,Tabel423[[#This Row],[Kolom300]]/Tabel423[[#This Row],[Kolom2965]])</f>
        <v>0</v>
      </c>
      <c r="BD18" s="22">
        <f>IF(Tabel423[[#This Row],[Kolom2966]]=0,0,Tabel423[[#This Row],[Kolom301]]/Tabel423[[#This Row],[Kolom2966]])</f>
        <v>0</v>
      </c>
      <c r="BE18" s="22">
        <f>IF(Tabel423[[#This Row],[Kolom2962]]=0,0,Tabel423[[#This Row],[Kolom294]]/Tabel423[[#This Row],[Kolom2962]])</f>
        <v>0.5</v>
      </c>
      <c r="BF18" s="22">
        <f>IF(Tabel423[[#This Row],[Kolom29622]]=0,0,Tabel423[[#This Row],[Kolom295]]/Tabel423[[#This Row],[Kolom29622]])</f>
        <v>0.5</v>
      </c>
      <c r="BG18" s="22">
        <f>IF(Tabel423[[#This Row],[Kolom29623]]=0,0,Tabel423[[#This Row],[Kolom296]]/Tabel423[[#This Row],[Kolom29623]])</f>
        <v>0.4</v>
      </c>
      <c r="BH18" s="22">
        <f>(10*Tabel423[[#This Row],[Kolom296232]]+5*Tabel423[[#This Row],[Kolom296233]]+3*Tabel423[[#This Row],[Kolom29624]]+2*Tabel423[[#This Row],[Kolom2963]]+Tabel423[[#This Row],[Kolom29]])/21</f>
        <v>7.9365079365079361E-2</v>
      </c>
      <c r="BI18" s="22">
        <f>(10*Tabel423[[#This Row],[Kolom296232]]+5*Tabel423[[#This Row],[Kolom296233]]+3*Tabel423[[#This Row],[Kolom29624]]+2*Tabel423[[#This Row],[Kolom2963]])/20</f>
        <v>6.6666666666666666E-2</v>
      </c>
      <c r="BJ18" s="22">
        <f>(10*Tabel423[[#This Row],[Kolom29634]]+3*Tabel423[[#This Row],[Kolom29633]]+2*Tabel423[[#This Row],[Kolom29632]]+Tabel423[[#This Row],[Kolom2964]])/16</f>
        <v>0.18124999999999999</v>
      </c>
      <c r="BK18" s="22">
        <f>(10*Tabel423[[#This Row],[Kolom29634]]+5*Tabel423[[#This Row],[Kolom29635]]+3*Tabel423[[#This Row],[Kolom29633]]+2*Tabel423[[#This Row],[Kolom29632]])/20</f>
        <v>0.125</v>
      </c>
      <c r="BL18" s="22">
        <f>Tabel423[[#This Row],[Kolom29]]</f>
        <v>0.33333333333333331</v>
      </c>
      <c r="BM18" s="36">
        <f>_xlfn.RANK.EQ(Tabel423[[#This Row],[Kolom29]],$AI$7:$AI$37)</f>
        <v>20</v>
      </c>
      <c r="BN18" s="36">
        <f>_xlfn.RANK.EQ(Tabel423[[#This Row],[Kolom293]],BH$7:BH$37)</f>
        <v>15</v>
      </c>
      <c r="BO18" s="36">
        <f>_xlfn.RANK.EQ(Tabel423[[#This Row],[Kolom2933]],BI$7:BI$37)</f>
        <v>14</v>
      </c>
      <c r="BP18" s="36">
        <f>_xlfn.RANK.EQ(Tabel423[[#This Row],[Kolom29332]],BJ$7:BJ$37)</f>
        <v>20</v>
      </c>
      <c r="BQ18" s="36">
        <f>_xlfn.RANK.EQ(Tabel423[[#This Row],[Kolom2934]],BK$7:BK$37)</f>
        <v>20</v>
      </c>
      <c r="BR18" s="23"/>
    </row>
    <row r="19" spans="1:70">
      <c r="B19" s="21" t="str">
        <f>'Symptomen (alle)'!A14</f>
        <v>Tetrahymena (also called Guppy-killer)</v>
      </c>
      <c r="C19" s="21">
        <f>'Symptomen (alle)'!B14</f>
        <v>0</v>
      </c>
      <c r="D19" s="21">
        <f>IF(D$4="x",'Symptomen (alle)'!C14,0)</f>
        <v>0</v>
      </c>
      <c r="E19" s="21">
        <f>IF(E$4="x",'Symptomen (alle)'!D14,0)</f>
        <v>0</v>
      </c>
      <c r="F19" s="21">
        <f>IF(F$4="x",'Symptomen (alle)'!E14,0)</f>
        <v>1</v>
      </c>
      <c r="G19" s="21">
        <f>IF(G$4="x",'Symptomen (alle)'!F14,0)</f>
        <v>0</v>
      </c>
      <c r="H19" s="21">
        <f>IF(H$4="x",'Symptomen (alle)'!G14,0)</f>
        <v>5</v>
      </c>
      <c r="I19" s="21">
        <f>IF(I$4="x",'Symptomen (alle)'!H14,0)</f>
        <v>0</v>
      </c>
      <c r="J19" s="21">
        <f>IF(J$4="x",'Symptomen (alle)'!I14,0)</f>
        <v>3</v>
      </c>
      <c r="K19" s="21">
        <f>IF(K$4="x",'Symptomen (alle)'!J14,0)</f>
        <v>0</v>
      </c>
      <c r="L19" s="21">
        <f>IF(L$4="x",'Symptomen (alle)'!K14,0)</f>
        <v>0</v>
      </c>
      <c r="M19" s="21">
        <f>IF(M$4="x",'Symptomen (alle)'!L14,0)</f>
        <v>0</v>
      </c>
      <c r="N19" s="21">
        <f>IF(N$4="x",'Symptomen (alle)'!M14,0)</f>
        <v>0</v>
      </c>
      <c r="O19" s="21">
        <f>IF(O$4="x",'Symptomen (alle)'!N14,0)</f>
        <v>0</v>
      </c>
      <c r="P19" s="21">
        <f>IF(P$4="x",'Symptomen (alle)'!O14,0)</f>
        <v>0</v>
      </c>
      <c r="Q19" s="21">
        <f>IF(Q$4="x",'Symptomen (alle)'!P14,0)</f>
        <v>0</v>
      </c>
      <c r="R19" s="21">
        <f>IF(R$4="x",'Symptomen (alle)'!Q14,0)</f>
        <v>0</v>
      </c>
      <c r="S19" s="21">
        <f>IF(S$4="x",'Symptomen (alle)'!R14,0)</f>
        <v>0</v>
      </c>
      <c r="T19" s="21">
        <f>IF(T$4="x",'Symptomen (alle)'!S14,0)</f>
        <v>0</v>
      </c>
      <c r="U19" s="21">
        <f>IF(U$4="x",'Symptomen (alle)'!T14,0)</f>
        <v>0</v>
      </c>
      <c r="V19" s="21">
        <f>IF(V$4="x",'Symptomen (alle)'!U14,0)</f>
        <v>0</v>
      </c>
      <c r="W19" s="21">
        <f>IF(W$4="x",'Symptomen (alle)'!V14,0)</f>
        <v>0</v>
      </c>
      <c r="X19" s="21">
        <f>IF(X$4="x",'Symptomen (alle)'!W14,0)</f>
        <v>1</v>
      </c>
      <c r="Y19" s="21">
        <f>IF(Y$4="x",'Symptomen (alle)'!X14,0)</f>
        <v>0</v>
      </c>
      <c r="Z19" s="21">
        <f>IF(Z$4="x",'Symptomen (alle)'!Y14,0)</f>
        <v>0</v>
      </c>
      <c r="AA19" s="21">
        <f>IF(AA$4="x",'Symptomen (alle)'!Z14,0)</f>
        <v>0</v>
      </c>
      <c r="AB19" s="21">
        <f>IF(AB$4="x",'Symptomen (alle)'!AA14,0)</f>
        <v>0</v>
      </c>
      <c r="AC19" s="21">
        <f>IF(AC$4="x",'Symptomen (alle)'!AB14,0)</f>
        <v>2</v>
      </c>
      <c r="AD19" s="21">
        <f>IF(AD$4="x",'Symptomen (alle)'!AC14,0)</f>
        <v>1</v>
      </c>
      <c r="AE19" s="21">
        <f t="shared" si="0"/>
        <v>13</v>
      </c>
      <c r="AF19" s="21">
        <f>HLOOKUP($B$4,ZiekteFam!$B$1:$T$32,AG19,FALSE)</f>
        <v>0</v>
      </c>
      <c r="AG19" s="32">
        <f t="shared" si="1"/>
        <v>14</v>
      </c>
      <c r="AH19" s="32">
        <f>SUM('Symptomen (alle)'!D14:AC14)</f>
        <v>27</v>
      </c>
      <c r="AI19" s="22">
        <f>Tabel423[[#This Row],[Kolom25]]/Tabel423[[#This Row],[Kolom28]]</f>
        <v>0.48148148148148145</v>
      </c>
      <c r="AJ19" s="36">
        <f t="shared" si="2"/>
        <v>4</v>
      </c>
      <c r="AK19" s="36">
        <f t="shared" si="3"/>
        <v>0</v>
      </c>
      <c r="AL19" s="36">
        <f t="shared" si="4"/>
        <v>1</v>
      </c>
      <c r="AM19" s="36">
        <f t="shared" si="5"/>
        <v>1</v>
      </c>
      <c r="AN19" s="36">
        <f t="shared" si="6"/>
        <v>0</v>
      </c>
      <c r="AO19" s="36">
        <f>COUNTIF(Tabel423[[#This Row],[Kolom3]:[Kolom222]],10)</f>
        <v>0</v>
      </c>
      <c r="AP19" s="36">
        <f>COUNTIF(Tabel423[[#This Row],[Kolom3]:[Kolom222]],5)</f>
        <v>1</v>
      </c>
      <c r="AQ19" s="36">
        <f>COUNTIF(Tabel423[[#This Row],[Kolom3]:[Kolom222]],3)</f>
        <v>1</v>
      </c>
      <c r="AR19" s="36">
        <f>COUNTIF(Tabel423[[#This Row],[Kolom3]:[Kolom222]],2)</f>
        <v>1</v>
      </c>
      <c r="AS19" s="36">
        <f>COUNTIF(Tabel423[[#This Row],[Kolom3]:[Kolom222]],1)</f>
        <v>3</v>
      </c>
      <c r="AT19" s="36">
        <f>COUNTIF('Symptomen (alle)'!$D14:$AC14,10)</f>
        <v>0</v>
      </c>
      <c r="AU19" s="36">
        <f>COUNTIF('Symptomen (alle)'!$D14:$AC14,5)</f>
        <v>1</v>
      </c>
      <c r="AV19" s="36">
        <f>COUNTIF('Symptomen (alle)'!$D14:$AC14,3)</f>
        <v>4</v>
      </c>
      <c r="AW19" s="36">
        <f>COUNTIF('Symptomen (alle)'!$D14:$AC14,2)</f>
        <v>2</v>
      </c>
      <c r="AX19" s="36">
        <f>COUNTIF('Symptomen (alle)'!$D14:$AC14,1)</f>
        <v>6</v>
      </c>
      <c r="AY19" s="22">
        <f>IF(Tabel423[[#This Row],[Kolom300]]=0,0,Tabel423[[#This Row],[Kolom2972]]/Tabel423[[#This Row],[Kolom300]])</f>
        <v>0</v>
      </c>
      <c r="AZ19" s="22">
        <f>IF(Tabel423[[#This Row],[Kolom301]]=0,0,Tabel423[[#This Row],[Kolom2973]]/Tabel423[[#This Row],[Kolom301]])</f>
        <v>1</v>
      </c>
      <c r="BA19" s="22">
        <f>IF(Tabel423[[#This Row],[Kolom294]]=0,0,Tabel423[[#This Row],[Kolom298]]/Tabel423[[#This Row],[Kolom294]])</f>
        <v>1</v>
      </c>
      <c r="BB19" s="22">
        <f>IF(Tabel423[[#This Row],[Kolom295]]=0,0,Tabel423[[#This Row],[Kolom299]]/Tabel423[[#This Row],[Kolom295]])</f>
        <v>0</v>
      </c>
      <c r="BC19" s="22">
        <f>IF(Tabel423[[#This Row],[Kolom2965]]=0,0,Tabel423[[#This Row],[Kolom300]]/Tabel423[[#This Row],[Kolom2965]])</f>
        <v>0</v>
      </c>
      <c r="BD19" s="22">
        <f>IF(Tabel423[[#This Row],[Kolom2966]]=0,0,Tabel423[[#This Row],[Kolom301]]/Tabel423[[#This Row],[Kolom2966]])</f>
        <v>1</v>
      </c>
      <c r="BE19" s="22">
        <f>IF(Tabel423[[#This Row],[Kolom2962]]=0,0,Tabel423[[#This Row],[Kolom294]]/Tabel423[[#This Row],[Kolom2962]])</f>
        <v>0.25</v>
      </c>
      <c r="BF19" s="22">
        <f>IF(Tabel423[[#This Row],[Kolom29622]]=0,0,Tabel423[[#This Row],[Kolom295]]/Tabel423[[#This Row],[Kolom29622]])</f>
        <v>0.5</v>
      </c>
      <c r="BG19" s="22">
        <f>IF(Tabel423[[#This Row],[Kolom29623]]=0,0,Tabel423[[#This Row],[Kolom296]]/Tabel423[[#This Row],[Kolom29623]])</f>
        <v>0.5</v>
      </c>
      <c r="BH19" s="22">
        <f>(10*Tabel423[[#This Row],[Kolom296232]]+5*Tabel423[[#This Row],[Kolom296233]]+3*Tabel423[[#This Row],[Kolom29624]]+2*Tabel423[[#This Row],[Kolom2963]]+Tabel423[[#This Row],[Kolom29]])/21</f>
        <v>0.40388007054673719</v>
      </c>
      <c r="BI19" s="22">
        <f>(10*Tabel423[[#This Row],[Kolom296232]]+5*Tabel423[[#This Row],[Kolom296233]]+3*Tabel423[[#This Row],[Kolom29624]]+2*Tabel423[[#This Row],[Kolom2963]])/20</f>
        <v>0.4</v>
      </c>
      <c r="BJ19" s="22">
        <f>(10*Tabel423[[#This Row],[Kolom29634]]+3*Tabel423[[#This Row],[Kolom29633]]+2*Tabel423[[#This Row],[Kolom29632]]+Tabel423[[#This Row],[Kolom2964]])/16</f>
        <v>0.140625</v>
      </c>
      <c r="BK19" s="22">
        <f>(10*Tabel423[[#This Row],[Kolom29634]]+5*Tabel423[[#This Row],[Kolom29635]]+3*Tabel423[[#This Row],[Kolom29633]]+2*Tabel423[[#This Row],[Kolom29632]])/20</f>
        <v>0.33750000000000002</v>
      </c>
      <c r="BL19" s="22">
        <f>Tabel423[[#This Row],[Kolom29]]</f>
        <v>0.48148148148148145</v>
      </c>
      <c r="BM19" s="36">
        <f>_xlfn.RANK.EQ(Tabel423[[#This Row],[Kolom29]],$AI$7:$AI$37)</f>
        <v>11</v>
      </c>
      <c r="BN19" s="36">
        <f>_xlfn.RANK.EQ(Tabel423[[#This Row],[Kolom293]],BH$7:BH$37)</f>
        <v>6</v>
      </c>
      <c r="BO19" s="36">
        <f>_xlfn.RANK.EQ(Tabel423[[#This Row],[Kolom2933]],BI$7:BI$37)</f>
        <v>6</v>
      </c>
      <c r="BP19" s="36">
        <f>_xlfn.RANK.EQ(Tabel423[[#This Row],[Kolom29332]],BJ$7:BJ$37)</f>
        <v>26</v>
      </c>
      <c r="BQ19" s="36">
        <f>_xlfn.RANK.EQ(Tabel423[[#This Row],[Kolom2934]],BK$7:BK$37)</f>
        <v>10</v>
      </c>
      <c r="BR19" s="23"/>
    </row>
    <row r="20" spans="1:70">
      <c r="B20" s="21" t="str">
        <f>'Symptomen (alle)'!A15</f>
        <v>Hole-in-the-head/HLLS/Head-and-Lateral-Line-Syndrome</v>
      </c>
      <c r="C20" s="21">
        <f>'Symptomen (alle)'!B15</f>
        <v>2</v>
      </c>
      <c r="D20" s="21">
        <f>IF(D$4="x",'Symptomen (alle)'!C15,0)</f>
        <v>0</v>
      </c>
      <c r="E20" s="21">
        <f>IF(E$4="x",'Symptomen (alle)'!D15,0)</f>
        <v>2</v>
      </c>
      <c r="F20" s="21">
        <f>IF(F$4="x",'Symptomen (alle)'!E15,0)</f>
        <v>0</v>
      </c>
      <c r="G20" s="21">
        <f>IF(G$4="x",'Symptomen (alle)'!F15,0)</f>
        <v>0</v>
      </c>
      <c r="H20" s="21">
        <f>IF(H$4="x",'Symptomen (alle)'!G15,0)</f>
        <v>0</v>
      </c>
      <c r="I20" s="21">
        <f>IF(I$4="x",'Symptomen (alle)'!H15,0)</f>
        <v>0</v>
      </c>
      <c r="J20" s="21">
        <f>IF(J$4="x",'Symptomen (alle)'!I15,0)</f>
        <v>10</v>
      </c>
      <c r="K20" s="21">
        <f>IF(K$4="x",'Symptomen (alle)'!J15,0)</f>
        <v>0</v>
      </c>
      <c r="L20" s="21">
        <f>IF(L$4="x",'Symptomen (alle)'!K15,0)</f>
        <v>0</v>
      </c>
      <c r="M20" s="21">
        <f>IF(M$4="x",'Symptomen (alle)'!L15,0)</f>
        <v>0</v>
      </c>
      <c r="N20" s="21">
        <f>IF(N$4="x",'Symptomen (alle)'!M15,0)</f>
        <v>0</v>
      </c>
      <c r="O20" s="21">
        <f>IF(O$4="x",'Symptomen (alle)'!N15,0)</f>
        <v>0</v>
      </c>
      <c r="P20" s="21">
        <f>IF(P$4="x",'Symptomen (alle)'!O15,0)</f>
        <v>0</v>
      </c>
      <c r="Q20" s="21">
        <f>IF(Q$4="x",'Symptomen (alle)'!P15,0)</f>
        <v>0</v>
      </c>
      <c r="R20" s="21">
        <f>IF(R$4="x",'Symptomen (alle)'!Q15,0)</f>
        <v>0</v>
      </c>
      <c r="S20" s="21">
        <f>IF(S$4="x",'Symptomen (alle)'!R15,0)</f>
        <v>0</v>
      </c>
      <c r="T20" s="21">
        <f>IF(T$4="x",'Symptomen (alle)'!S15,0)</f>
        <v>0</v>
      </c>
      <c r="U20" s="21">
        <f>IF(U$4="x",'Symptomen (alle)'!T15,0)</f>
        <v>0</v>
      </c>
      <c r="V20" s="21">
        <f>IF(V$4="x",'Symptomen (alle)'!U15,0)</f>
        <v>0</v>
      </c>
      <c r="W20" s="21">
        <f>IF(W$4="x",'Symptomen (alle)'!V15,0)</f>
        <v>0</v>
      </c>
      <c r="X20" s="21">
        <f>IF(X$4="x",'Symptomen (alle)'!W15,0)</f>
        <v>1</v>
      </c>
      <c r="Y20" s="21">
        <f>IF(Y$4="x",'Symptomen (alle)'!X15,0)</f>
        <v>0</v>
      </c>
      <c r="Z20" s="21">
        <f>IF(Z$4="x",'Symptomen (alle)'!Y15,0)</f>
        <v>0</v>
      </c>
      <c r="AA20" s="21">
        <f>IF(AA$4="x",'Symptomen (alle)'!Z15,0)</f>
        <v>0</v>
      </c>
      <c r="AB20" s="21">
        <f>IF(AB$4="x",'Symptomen (alle)'!AA15,0)</f>
        <v>0</v>
      </c>
      <c r="AC20" s="21">
        <f>IF(AC$4="x",'Symptomen (alle)'!AB15,0)</f>
        <v>2</v>
      </c>
      <c r="AD20" s="21">
        <f>IF(AD$4="x",'Symptomen (alle)'!AC15,0)</f>
        <v>1</v>
      </c>
      <c r="AE20" s="21">
        <f t="shared" si="0"/>
        <v>16</v>
      </c>
      <c r="AF20" s="21">
        <f>HLOOKUP($B$4,ZiekteFam!$B$1:$T$32,AG20,FALSE)</f>
        <v>3</v>
      </c>
      <c r="AG20" s="32">
        <f t="shared" si="1"/>
        <v>15</v>
      </c>
      <c r="AH20" s="32">
        <f>SUM('Symptomen (alle)'!D15:AC15)</f>
        <v>26</v>
      </c>
      <c r="AI20" s="22">
        <f>Tabel423[[#This Row],[Kolom25]]/Tabel423[[#This Row],[Kolom28]]</f>
        <v>0.61538461538461542</v>
      </c>
      <c r="AJ20" s="36">
        <f t="shared" si="2"/>
        <v>4</v>
      </c>
      <c r="AK20" s="36">
        <f t="shared" si="3"/>
        <v>1</v>
      </c>
      <c r="AL20" s="36">
        <f t="shared" si="4"/>
        <v>0</v>
      </c>
      <c r="AM20" s="36">
        <f t="shared" si="5"/>
        <v>0</v>
      </c>
      <c r="AN20" s="36">
        <f t="shared" si="6"/>
        <v>0</v>
      </c>
      <c r="AO20" s="36">
        <f>COUNTIF(Tabel423[[#This Row],[Kolom3]:[Kolom222]],10)</f>
        <v>1</v>
      </c>
      <c r="AP20" s="36">
        <f>COUNTIF(Tabel423[[#This Row],[Kolom3]:[Kolom222]],5)</f>
        <v>0</v>
      </c>
      <c r="AQ20" s="36">
        <f>COUNTIF(Tabel423[[#This Row],[Kolom3]:[Kolom222]],3)</f>
        <v>0</v>
      </c>
      <c r="AR20" s="36">
        <f>COUNTIF(Tabel423[[#This Row],[Kolom3]:[Kolom222]],2)</f>
        <v>2</v>
      </c>
      <c r="AS20" s="36">
        <f>COUNTIF(Tabel423[[#This Row],[Kolom3]:[Kolom222]],1)</f>
        <v>2</v>
      </c>
      <c r="AT20" s="36">
        <f>COUNTIF('Symptomen (alle)'!$D15:$AC15,10)</f>
        <v>1</v>
      </c>
      <c r="AU20" s="36">
        <f>COUNTIF('Symptomen (alle)'!$D15:$AC15,5)</f>
        <v>0</v>
      </c>
      <c r="AV20" s="36">
        <f>COUNTIF('Symptomen (alle)'!$D15:$AC15,3)</f>
        <v>2</v>
      </c>
      <c r="AW20" s="36">
        <f>COUNTIF('Symptomen (alle)'!$D15:$AC15,2)</f>
        <v>3</v>
      </c>
      <c r="AX20" s="36">
        <f>COUNTIF('Symptomen (alle)'!$D15:$AC15,1)</f>
        <v>4</v>
      </c>
      <c r="AY20" s="22">
        <f>IF(Tabel423[[#This Row],[Kolom300]]=0,0,Tabel423[[#This Row],[Kolom2972]]/Tabel423[[#This Row],[Kolom300]])</f>
        <v>1</v>
      </c>
      <c r="AZ20" s="22">
        <f>IF(Tabel423[[#This Row],[Kolom301]]=0,0,Tabel423[[#This Row],[Kolom2973]]/Tabel423[[#This Row],[Kolom301]])</f>
        <v>0</v>
      </c>
      <c r="BA20" s="22">
        <f>IF(Tabel423[[#This Row],[Kolom294]]=0,0,Tabel423[[#This Row],[Kolom298]]/Tabel423[[#This Row],[Kolom294]])</f>
        <v>0</v>
      </c>
      <c r="BB20" s="22">
        <f>IF(Tabel423[[#This Row],[Kolom295]]=0,0,Tabel423[[#This Row],[Kolom299]]/Tabel423[[#This Row],[Kolom295]])</f>
        <v>0</v>
      </c>
      <c r="BC20" s="22">
        <f>IF(Tabel423[[#This Row],[Kolom2965]]=0,0,Tabel423[[#This Row],[Kolom300]]/Tabel423[[#This Row],[Kolom2965]])</f>
        <v>1</v>
      </c>
      <c r="BD20" s="22">
        <f>IF(Tabel423[[#This Row],[Kolom2966]]=0,0,Tabel423[[#This Row],[Kolom301]]/Tabel423[[#This Row],[Kolom2966]])</f>
        <v>0</v>
      </c>
      <c r="BE20" s="22">
        <f>IF(Tabel423[[#This Row],[Kolom2962]]=0,0,Tabel423[[#This Row],[Kolom294]]/Tabel423[[#This Row],[Kolom2962]])</f>
        <v>0</v>
      </c>
      <c r="BF20" s="22">
        <f>IF(Tabel423[[#This Row],[Kolom29622]]=0,0,Tabel423[[#This Row],[Kolom295]]/Tabel423[[#This Row],[Kolom29622]])</f>
        <v>0.66666666666666663</v>
      </c>
      <c r="BG20" s="22">
        <f>IF(Tabel423[[#This Row],[Kolom29623]]=0,0,Tabel423[[#This Row],[Kolom296]]/Tabel423[[#This Row],[Kolom29623]])</f>
        <v>0.5</v>
      </c>
      <c r="BH20" s="22">
        <f>(10*Tabel423[[#This Row],[Kolom296232]]+5*Tabel423[[#This Row],[Kolom296233]]+3*Tabel423[[#This Row],[Kolom29624]]+2*Tabel423[[#This Row],[Kolom2963]]+Tabel423[[#This Row],[Kolom29]])/21</f>
        <v>0.50549450549450547</v>
      </c>
      <c r="BI20" s="22">
        <f>(10*Tabel423[[#This Row],[Kolom296232]]+5*Tabel423[[#This Row],[Kolom296233]]+3*Tabel423[[#This Row],[Kolom29624]]+2*Tabel423[[#This Row],[Kolom2963]])/20</f>
        <v>0.5</v>
      </c>
      <c r="BJ20" s="22">
        <f>(10*Tabel423[[#This Row],[Kolom29634]]+3*Tabel423[[#This Row],[Kolom29633]]+2*Tabel423[[#This Row],[Kolom29632]]+Tabel423[[#This Row],[Kolom2964]])/16</f>
        <v>0.73958333333333337</v>
      </c>
      <c r="BK20" s="22">
        <f>(10*Tabel423[[#This Row],[Kolom29634]]+5*Tabel423[[#This Row],[Kolom29635]]+3*Tabel423[[#This Row],[Kolom29633]]+2*Tabel423[[#This Row],[Kolom29632]])/20</f>
        <v>0.56666666666666665</v>
      </c>
      <c r="BL20" s="22">
        <f>Tabel423[[#This Row],[Kolom29]]</f>
        <v>0.61538461538461542</v>
      </c>
      <c r="BM20" s="36">
        <f>_xlfn.RANK.EQ(Tabel423[[#This Row],[Kolom29]],$AI$7:$AI$37)</f>
        <v>4</v>
      </c>
      <c r="BN20" s="36">
        <f>_xlfn.RANK.EQ(Tabel423[[#This Row],[Kolom293]],BH$7:BH$37)</f>
        <v>4</v>
      </c>
      <c r="BO20" s="36">
        <f>_xlfn.RANK.EQ(Tabel423[[#This Row],[Kolom2933]],BI$7:BI$37)</f>
        <v>3</v>
      </c>
      <c r="BP20" s="36">
        <f>_xlfn.RANK.EQ(Tabel423[[#This Row],[Kolom29332]],BJ$7:BJ$37)</f>
        <v>4</v>
      </c>
      <c r="BQ20" s="36">
        <f>_xlfn.RANK.EQ(Tabel423[[#This Row],[Kolom2934]],BK$7:BK$37)</f>
        <v>5</v>
      </c>
      <c r="BR20" s="23"/>
    </row>
    <row r="21" spans="1:70">
      <c r="B21" s="21" t="str">
        <f>'Symptomen (alle)'!A16</f>
        <v>Spironucleus/Hexamita</v>
      </c>
      <c r="C21" s="21">
        <f>'Symptomen (alle)'!B16</f>
        <v>2</v>
      </c>
      <c r="D21" s="21">
        <f>IF(D$4="x",'Symptomen (alle)'!C16,0)</f>
        <v>0</v>
      </c>
      <c r="E21" s="21">
        <f>IF(E$4="x",'Symptomen (alle)'!D16,0)</f>
        <v>3</v>
      </c>
      <c r="F21" s="21">
        <f>IF(F$4="x",'Symptomen (alle)'!E16,0)</f>
        <v>0</v>
      </c>
      <c r="G21" s="21">
        <f>IF(G$4="x",'Symptomen (alle)'!F16,0)</f>
        <v>0</v>
      </c>
      <c r="H21" s="21">
        <f>IF(H$4="x",'Symptomen (alle)'!G16,0)</f>
        <v>0</v>
      </c>
      <c r="I21" s="21">
        <f>IF(I$4="x",'Symptomen (alle)'!H16,0)</f>
        <v>0</v>
      </c>
      <c r="J21" s="21">
        <f>IF(J$4="x",'Symptomen (alle)'!I16,0)</f>
        <v>0</v>
      </c>
      <c r="K21" s="21">
        <f>IF(K$4="x",'Symptomen (alle)'!J16,0)</f>
        <v>0</v>
      </c>
      <c r="L21" s="21">
        <f>IF(L$4="x",'Symptomen (alle)'!K16,0)</f>
        <v>0</v>
      </c>
      <c r="M21" s="21">
        <f>IF(M$4="x",'Symptomen (alle)'!L16,0)</f>
        <v>0</v>
      </c>
      <c r="N21" s="21">
        <f>IF(N$4="x",'Symptomen (alle)'!M16,0)</f>
        <v>0</v>
      </c>
      <c r="O21" s="21">
        <f>IF(O$4="x",'Symptomen (alle)'!N16,0)</f>
        <v>0</v>
      </c>
      <c r="P21" s="21">
        <f>IF(P$4="x",'Symptomen (alle)'!O16,0)</f>
        <v>0</v>
      </c>
      <c r="Q21" s="21">
        <f>IF(Q$4="x",'Symptomen (alle)'!P16,0)</f>
        <v>0</v>
      </c>
      <c r="R21" s="21">
        <f>IF(R$4="x",'Symptomen (alle)'!Q16,0)</f>
        <v>0</v>
      </c>
      <c r="S21" s="21">
        <f>IF(S$4="x",'Symptomen (alle)'!R16,0)</f>
        <v>0</v>
      </c>
      <c r="T21" s="21">
        <f>IF(T$4="x",'Symptomen (alle)'!S16,0)</f>
        <v>0</v>
      </c>
      <c r="U21" s="21">
        <f>IF(U$4="x",'Symptomen (alle)'!T16,0)</f>
        <v>0</v>
      </c>
      <c r="V21" s="21">
        <f>IF(V$4="x",'Symptomen (alle)'!U16,0)</f>
        <v>0</v>
      </c>
      <c r="W21" s="21">
        <f>IF(W$4="x",'Symptomen (alle)'!V16,0)</f>
        <v>0</v>
      </c>
      <c r="X21" s="21">
        <f>IF(X$4="x",'Symptomen (alle)'!W16,0)</f>
        <v>0</v>
      </c>
      <c r="Y21" s="21">
        <f>IF(Y$4="x",'Symptomen (alle)'!X16,0)</f>
        <v>0</v>
      </c>
      <c r="Z21" s="21">
        <f>IF(Z$4="x",'Symptomen (alle)'!Y16,0)</f>
        <v>0</v>
      </c>
      <c r="AA21" s="21">
        <f>IF(AA$4="x",'Symptomen (alle)'!Z16,0)</f>
        <v>0</v>
      </c>
      <c r="AB21" s="21">
        <f>IF(AB$4="x",'Symptomen (alle)'!AA16,0)</f>
        <v>0</v>
      </c>
      <c r="AC21" s="21">
        <f>IF(AC$4="x",'Symptomen (alle)'!AB16,0)</f>
        <v>3</v>
      </c>
      <c r="AD21" s="21">
        <f>IF(AD$4="x",'Symptomen (alle)'!AC16,0)</f>
        <v>3</v>
      </c>
      <c r="AE21" s="21">
        <f t="shared" si="0"/>
        <v>9</v>
      </c>
      <c r="AF21" s="21">
        <f>HLOOKUP($B$4,ZiekteFam!$B$1:$T$32,AG21,FALSE)</f>
        <v>0</v>
      </c>
      <c r="AG21" s="32">
        <f t="shared" si="1"/>
        <v>16</v>
      </c>
      <c r="AH21" s="32">
        <f>SUM('Symptomen (alle)'!D16:AC16)</f>
        <v>26</v>
      </c>
      <c r="AI21" s="22">
        <f>Tabel423[[#This Row],[Kolom25]]/Tabel423[[#This Row],[Kolom28]]</f>
        <v>0.34615384615384615</v>
      </c>
      <c r="AJ21" s="36">
        <f t="shared" si="2"/>
        <v>4</v>
      </c>
      <c r="AK21" s="36">
        <f t="shared" si="3"/>
        <v>0</v>
      </c>
      <c r="AL21" s="36">
        <f t="shared" si="4"/>
        <v>0</v>
      </c>
      <c r="AM21" s="36">
        <f t="shared" si="5"/>
        <v>0</v>
      </c>
      <c r="AN21" s="36">
        <f t="shared" si="6"/>
        <v>0</v>
      </c>
      <c r="AO21" s="36">
        <f>COUNTIF(Tabel423[[#This Row],[Kolom3]:[Kolom222]],10)</f>
        <v>0</v>
      </c>
      <c r="AP21" s="36">
        <f>COUNTIF(Tabel423[[#This Row],[Kolom3]:[Kolom222]],5)</f>
        <v>0</v>
      </c>
      <c r="AQ21" s="36">
        <f>COUNTIF(Tabel423[[#This Row],[Kolom3]:[Kolom222]],3)</f>
        <v>3</v>
      </c>
      <c r="AR21" s="36">
        <f>COUNTIF(Tabel423[[#This Row],[Kolom3]:[Kolom222]],2)</f>
        <v>0</v>
      </c>
      <c r="AS21" s="36">
        <f>COUNTIF(Tabel423[[#This Row],[Kolom3]:[Kolom222]],1)</f>
        <v>0</v>
      </c>
      <c r="AT21" s="36">
        <f>COUNTIF('Symptomen (alle)'!$D16:$AC16,10)</f>
        <v>1</v>
      </c>
      <c r="AU21" s="36">
        <f>COUNTIF('Symptomen (alle)'!$D16:$AC16,5)</f>
        <v>0</v>
      </c>
      <c r="AV21" s="36">
        <f>COUNTIF('Symptomen (alle)'!$D16:$AC16,3)</f>
        <v>3</v>
      </c>
      <c r="AW21" s="36">
        <f>COUNTIF('Symptomen (alle)'!$D16:$AC16,2)</f>
        <v>3</v>
      </c>
      <c r="AX21" s="36">
        <f>COUNTIF('Symptomen (alle)'!$D16:$AC16,1)</f>
        <v>1</v>
      </c>
      <c r="AY21" s="22">
        <f>IF(Tabel423[[#This Row],[Kolom300]]=0,0,Tabel423[[#This Row],[Kolom2972]]/Tabel423[[#This Row],[Kolom300]])</f>
        <v>0</v>
      </c>
      <c r="AZ21" s="22">
        <f>IF(Tabel423[[#This Row],[Kolom301]]=0,0,Tabel423[[#This Row],[Kolom2973]]/Tabel423[[#This Row],[Kolom301]])</f>
        <v>0</v>
      </c>
      <c r="BA21" s="22">
        <f>IF(Tabel423[[#This Row],[Kolom294]]=0,0,Tabel423[[#This Row],[Kolom298]]/Tabel423[[#This Row],[Kolom294]])</f>
        <v>0</v>
      </c>
      <c r="BB21" s="22">
        <f>IF(Tabel423[[#This Row],[Kolom295]]=0,0,Tabel423[[#This Row],[Kolom299]]/Tabel423[[#This Row],[Kolom295]])</f>
        <v>0</v>
      </c>
      <c r="BC21" s="22">
        <f>IF(Tabel423[[#This Row],[Kolom2965]]=0,0,Tabel423[[#This Row],[Kolom300]]/Tabel423[[#This Row],[Kolom2965]])</f>
        <v>0</v>
      </c>
      <c r="BD21" s="22">
        <f>IF(Tabel423[[#This Row],[Kolom2966]]=0,0,Tabel423[[#This Row],[Kolom301]]/Tabel423[[#This Row],[Kolom2966]])</f>
        <v>0</v>
      </c>
      <c r="BE21" s="22">
        <f>IF(Tabel423[[#This Row],[Kolom2962]]=0,0,Tabel423[[#This Row],[Kolom294]]/Tabel423[[#This Row],[Kolom2962]])</f>
        <v>1</v>
      </c>
      <c r="BF21" s="22">
        <f>IF(Tabel423[[#This Row],[Kolom29622]]=0,0,Tabel423[[#This Row],[Kolom295]]/Tabel423[[#This Row],[Kolom29622]])</f>
        <v>0</v>
      </c>
      <c r="BG21" s="22">
        <f>IF(Tabel423[[#This Row],[Kolom29623]]=0,0,Tabel423[[#This Row],[Kolom296]]/Tabel423[[#This Row],[Kolom29623]])</f>
        <v>0</v>
      </c>
      <c r="BH21" s="22">
        <f>(10*Tabel423[[#This Row],[Kolom296232]]+5*Tabel423[[#This Row],[Kolom296233]]+3*Tabel423[[#This Row],[Kolom29624]]+2*Tabel423[[#This Row],[Kolom2963]]+Tabel423[[#This Row],[Kolom29]])/21</f>
        <v>1.6483516483516484E-2</v>
      </c>
      <c r="BI21" s="22">
        <f>(10*Tabel423[[#This Row],[Kolom296232]]+5*Tabel423[[#This Row],[Kolom296233]]+3*Tabel423[[#This Row],[Kolom29624]]+2*Tabel423[[#This Row],[Kolom2963]])/20</f>
        <v>0</v>
      </c>
      <c r="BJ21" s="22">
        <f>(10*Tabel423[[#This Row],[Kolom29634]]+3*Tabel423[[#This Row],[Kolom29633]]+2*Tabel423[[#This Row],[Kolom29632]]+Tabel423[[#This Row],[Kolom2964]])/16</f>
        <v>0.1875</v>
      </c>
      <c r="BK21" s="22">
        <f>(10*Tabel423[[#This Row],[Kolom29634]]+5*Tabel423[[#This Row],[Kolom29635]]+3*Tabel423[[#This Row],[Kolom29633]]+2*Tabel423[[#This Row],[Kolom29632]])/20</f>
        <v>0.15</v>
      </c>
      <c r="BL21" s="22">
        <f>Tabel423[[#This Row],[Kolom29]]</f>
        <v>0.34615384615384615</v>
      </c>
      <c r="BM21" s="36">
        <f>_xlfn.RANK.EQ(Tabel423[[#This Row],[Kolom29]],$AI$7:$AI$37)</f>
        <v>19</v>
      </c>
      <c r="BN21" s="36">
        <f>_xlfn.RANK.EQ(Tabel423[[#This Row],[Kolom293]],BH$7:BH$37)</f>
        <v>26</v>
      </c>
      <c r="BO21" s="36">
        <f>_xlfn.RANK.EQ(Tabel423[[#This Row],[Kolom2933]],BI$7:BI$37)</f>
        <v>22</v>
      </c>
      <c r="BP21" s="36">
        <f>_xlfn.RANK.EQ(Tabel423[[#This Row],[Kolom29332]],BJ$7:BJ$37)</f>
        <v>18</v>
      </c>
      <c r="BQ21" s="36">
        <f>_xlfn.RANK.EQ(Tabel423[[#This Row],[Kolom2934]],BK$7:BK$37)</f>
        <v>18</v>
      </c>
      <c r="BR21" s="23"/>
    </row>
    <row r="22" spans="1:70">
      <c r="B22" s="21" t="str">
        <f>'Symptomen (alle)'!A17</f>
        <v>Fungus (mostly Saprolegnia)</v>
      </c>
      <c r="C22">
        <f>'Symptomen (alle)'!B17</f>
        <v>3</v>
      </c>
      <c r="D22" s="21">
        <f>IF(D$4="x",'Symptomen (alle)'!C17,0)</f>
        <v>0</v>
      </c>
      <c r="E22" s="21">
        <f>IF(E$4="x",'Symptomen (alle)'!D17,0)</f>
        <v>1</v>
      </c>
      <c r="F22" s="21">
        <f>IF(F$4="x",'Symptomen (alle)'!E17,0)</f>
        <v>0</v>
      </c>
      <c r="G22" s="21">
        <f>IF(G$4="x",'Symptomen (alle)'!F17,0)</f>
        <v>0</v>
      </c>
      <c r="H22" s="21">
        <f>IF(H$4="x",'Symptomen (alle)'!G17,0)</f>
        <v>2</v>
      </c>
      <c r="I22" s="21">
        <f>IF(I$4="x",'Symptomen (alle)'!H17,0)</f>
        <v>0</v>
      </c>
      <c r="J22" s="21">
        <f>IF(J$4="x",'Symptomen (alle)'!I17,0)</f>
        <v>2</v>
      </c>
      <c r="K22" s="21">
        <f>IF(K$4="x",'Symptomen (alle)'!J17,0)</f>
        <v>0</v>
      </c>
      <c r="L22" s="21">
        <f>IF(L$4="x",'Symptomen (alle)'!K17,0)</f>
        <v>0</v>
      </c>
      <c r="M22" s="21">
        <f>IF(M$4="x",'Symptomen (alle)'!L17,0)</f>
        <v>0</v>
      </c>
      <c r="N22" s="21">
        <f>IF(N$4="x",'Symptomen (alle)'!M17,0)</f>
        <v>0</v>
      </c>
      <c r="O22" s="21">
        <f>IF(O$4="x",'Symptomen (alle)'!N17,0)</f>
        <v>0</v>
      </c>
      <c r="P22" s="21">
        <f>IF(P$4="x",'Symptomen (alle)'!O17,0)</f>
        <v>0</v>
      </c>
      <c r="Q22" s="21">
        <f>IF(Q$4="x",'Symptomen (alle)'!P17,0)</f>
        <v>0</v>
      </c>
      <c r="R22" s="21">
        <f>IF(R$4="x",'Symptomen (alle)'!Q17,0)</f>
        <v>0</v>
      </c>
      <c r="S22" s="21">
        <f>IF(S$4="x",'Symptomen (alle)'!R17,0)</f>
        <v>0</v>
      </c>
      <c r="T22" s="21">
        <f>IF(T$4="x",'Symptomen (alle)'!S17,0)</f>
        <v>0</v>
      </c>
      <c r="U22" s="21">
        <f>IF(U$4="x",'Symptomen (alle)'!T17,0)</f>
        <v>0</v>
      </c>
      <c r="V22" s="21">
        <f>IF(V$4="x",'Symptomen (alle)'!U17,0)</f>
        <v>0</v>
      </c>
      <c r="W22" s="21">
        <f>IF(W$4="x",'Symptomen (alle)'!V17,0)</f>
        <v>0</v>
      </c>
      <c r="X22" s="21">
        <f>IF(X$4="x",'Symptomen (alle)'!W17,0)</f>
        <v>0</v>
      </c>
      <c r="Y22" s="21">
        <f>IF(Y$4="x",'Symptomen (alle)'!X17,0)</f>
        <v>0</v>
      </c>
      <c r="Z22" s="21">
        <f>IF(Z$4="x",'Symptomen (alle)'!Y17,0)</f>
        <v>0</v>
      </c>
      <c r="AA22" s="21">
        <f>IF(AA$4="x",'Symptomen (alle)'!Z17,0)</f>
        <v>0</v>
      </c>
      <c r="AB22" s="21">
        <f>IF(AB$4="x",'Symptomen (alle)'!AA17,0)</f>
        <v>0</v>
      </c>
      <c r="AC22" s="21">
        <f>IF(AC$4="x",'Symptomen (alle)'!AB17,0)</f>
        <v>2</v>
      </c>
      <c r="AD22" s="21">
        <f>IF(AD$4="x",'Symptomen (alle)'!AC17,0)</f>
        <v>2</v>
      </c>
      <c r="AE22" s="21">
        <f t="shared" si="0"/>
        <v>9</v>
      </c>
      <c r="AF22" s="21">
        <f>HLOOKUP($B$4,ZiekteFam!$B$1:$T$32,AG22,FALSE)</f>
        <v>3</v>
      </c>
      <c r="AG22" s="32">
        <f t="shared" si="1"/>
        <v>17</v>
      </c>
      <c r="AH22" s="32">
        <f>SUM('Symptomen (alle)'!D17:AC17)</f>
        <v>28</v>
      </c>
      <c r="AI22" s="22">
        <f>Tabel423[[#This Row],[Kolom25]]/Tabel423[[#This Row],[Kolom28]]</f>
        <v>0.32142857142857145</v>
      </c>
      <c r="AJ22" s="36">
        <f t="shared" si="2"/>
        <v>4</v>
      </c>
      <c r="AK22" s="36">
        <f t="shared" si="3"/>
        <v>0</v>
      </c>
      <c r="AL22" s="36">
        <f t="shared" si="4"/>
        <v>0</v>
      </c>
      <c r="AM22" s="36">
        <f t="shared" si="5"/>
        <v>0</v>
      </c>
      <c r="AN22" s="36">
        <f t="shared" si="6"/>
        <v>2</v>
      </c>
      <c r="AO22" s="36">
        <f>COUNTIF(Tabel423[[#This Row],[Kolom3]:[Kolom222]],10)</f>
        <v>0</v>
      </c>
      <c r="AP22" s="36">
        <f>COUNTIF(Tabel423[[#This Row],[Kolom3]:[Kolom222]],5)</f>
        <v>0</v>
      </c>
      <c r="AQ22" s="36">
        <f>COUNTIF(Tabel423[[#This Row],[Kolom3]:[Kolom222]],3)</f>
        <v>0</v>
      </c>
      <c r="AR22" s="36">
        <f>COUNTIF(Tabel423[[#This Row],[Kolom3]:[Kolom222]],2)</f>
        <v>4</v>
      </c>
      <c r="AS22" s="36">
        <f>COUNTIF(Tabel423[[#This Row],[Kolom3]:[Kolom222]],1)</f>
        <v>1</v>
      </c>
      <c r="AT22" s="36">
        <f>COUNTIF('Symptomen (alle)'!$D17:$AC17,10)</f>
        <v>1</v>
      </c>
      <c r="AU22" s="36">
        <f>COUNTIF('Symptomen (alle)'!$D17:$AC17,5)</f>
        <v>0</v>
      </c>
      <c r="AV22" s="36">
        <f>COUNTIF('Symptomen (alle)'!$D17:$AC17,3)</f>
        <v>1</v>
      </c>
      <c r="AW22" s="36">
        <f>COUNTIF('Symptomen (alle)'!$D17:$AC17,2)</f>
        <v>6</v>
      </c>
      <c r="AX22" s="36">
        <f>COUNTIF('Symptomen (alle)'!$D17:$AC17,1)</f>
        <v>3</v>
      </c>
      <c r="AY22" s="22">
        <f>IF(Tabel423[[#This Row],[Kolom300]]=0,0,Tabel423[[#This Row],[Kolom2972]]/Tabel423[[#This Row],[Kolom300]])</f>
        <v>0</v>
      </c>
      <c r="AZ22" s="22">
        <f>IF(Tabel423[[#This Row],[Kolom301]]=0,0,Tabel423[[#This Row],[Kolom2973]]/Tabel423[[#This Row],[Kolom301]])</f>
        <v>0</v>
      </c>
      <c r="BA22" s="22">
        <f>IF(Tabel423[[#This Row],[Kolom294]]=0,0,Tabel423[[#This Row],[Kolom298]]/Tabel423[[#This Row],[Kolom294]])</f>
        <v>0</v>
      </c>
      <c r="BB22" s="22">
        <f>IF(Tabel423[[#This Row],[Kolom295]]=0,0,Tabel423[[#This Row],[Kolom299]]/Tabel423[[#This Row],[Kolom295]])</f>
        <v>0.5</v>
      </c>
      <c r="BC22" s="22">
        <f>IF(Tabel423[[#This Row],[Kolom2965]]=0,0,Tabel423[[#This Row],[Kolom300]]/Tabel423[[#This Row],[Kolom2965]])</f>
        <v>0</v>
      </c>
      <c r="BD22" s="22">
        <f>IF(Tabel423[[#This Row],[Kolom2966]]=0,0,Tabel423[[#This Row],[Kolom301]]/Tabel423[[#This Row],[Kolom2966]])</f>
        <v>0</v>
      </c>
      <c r="BE22" s="22">
        <f>IF(Tabel423[[#This Row],[Kolom2962]]=0,0,Tabel423[[#This Row],[Kolom294]]/Tabel423[[#This Row],[Kolom2962]])</f>
        <v>0</v>
      </c>
      <c r="BF22" s="22">
        <f>IF(Tabel423[[#This Row],[Kolom29622]]=0,0,Tabel423[[#This Row],[Kolom295]]/Tabel423[[#This Row],[Kolom29622]])</f>
        <v>0.66666666666666663</v>
      </c>
      <c r="BG22" s="22">
        <f>IF(Tabel423[[#This Row],[Kolom29623]]=0,0,Tabel423[[#This Row],[Kolom296]]/Tabel423[[#This Row],[Kolom29623]])</f>
        <v>0.33333333333333331</v>
      </c>
      <c r="BH22" s="22">
        <f>(10*Tabel423[[#This Row],[Kolom296232]]+5*Tabel423[[#This Row],[Kolom296233]]+3*Tabel423[[#This Row],[Kolom29624]]+2*Tabel423[[#This Row],[Kolom2963]]+Tabel423[[#This Row],[Kolom29]])/21</f>
        <v>6.2925170068027211E-2</v>
      </c>
      <c r="BI22" s="22">
        <f>(10*Tabel423[[#This Row],[Kolom296232]]+5*Tabel423[[#This Row],[Kolom296233]]+3*Tabel423[[#This Row],[Kolom29624]]+2*Tabel423[[#This Row],[Kolom2963]])/20</f>
        <v>0.05</v>
      </c>
      <c r="BJ22" s="22">
        <f>(10*Tabel423[[#This Row],[Kolom29634]]+3*Tabel423[[#This Row],[Kolom29633]]+2*Tabel423[[#This Row],[Kolom29632]]+Tabel423[[#This Row],[Kolom2964]])/16</f>
        <v>0.10416666666666666</v>
      </c>
      <c r="BK22" s="22">
        <f>(10*Tabel423[[#This Row],[Kolom29634]]+5*Tabel423[[#This Row],[Kolom29635]]+3*Tabel423[[#This Row],[Kolom29633]]+2*Tabel423[[#This Row],[Kolom29632]])/20</f>
        <v>6.6666666666666666E-2</v>
      </c>
      <c r="BL22" s="22">
        <f>Tabel423[[#This Row],[Kolom29]]</f>
        <v>0.32142857142857145</v>
      </c>
      <c r="BM22" s="36">
        <f>_xlfn.RANK.EQ(Tabel423[[#This Row],[Kolom29]],$AI$7:$AI$37)</f>
        <v>22</v>
      </c>
      <c r="BN22" s="36">
        <f>_xlfn.RANK.EQ(Tabel423[[#This Row],[Kolom293]],BH$7:BH$37)</f>
        <v>19</v>
      </c>
      <c r="BO22" s="36">
        <f>_xlfn.RANK.EQ(Tabel423[[#This Row],[Kolom2933]],BI$7:BI$37)</f>
        <v>16</v>
      </c>
      <c r="BP22" s="36">
        <f>_xlfn.RANK.EQ(Tabel423[[#This Row],[Kolom29332]],BJ$7:BJ$37)</f>
        <v>29</v>
      </c>
      <c r="BQ22" s="36">
        <f>_xlfn.RANK.EQ(Tabel423[[#This Row],[Kolom2934]],BK$7:BK$37)</f>
        <v>28</v>
      </c>
      <c r="BR22" s="23"/>
    </row>
    <row r="23" spans="1:70">
      <c r="B23" s="21" t="str">
        <f>'Symptomen (alle)'!A18</f>
        <v>False Fungal Parasites (Stalked ciliates)</v>
      </c>
      <c r="C23" s="77">
        <f>'Symptomen (alle)'!B18</f>
        <v>3</v>
      </c>
      <c r="D23" s="21">
        <f>IF(D$4="x",'Symptomen (alle)'!C18,0)</f>
        <v>0</v>
      </c>
      <c r="E23" s="21">
        <f>IF(E$4="x",'Symptomen (alle)'!D18,0)</f>
        <v>1</v>
      </c>
      <c r="F23" s="21">
        <f>IF(F$4="x",'Symptomen (alle)'!E18,0)</f>
        <v>0</v>
      </c>
      <c r="G23" s="21">
        <f>IF(G$4="x",'Symptomen (alle)'!F18,0)</f>
        <v>0</v>
      </c>
      <c r="H23" s="21">
        <f>IF(H$4="x",'Symptomen (alle)'!G18,0)</f>
        <v>2</v>
      </c>
      <c r="I23" s="21">
        <f>IF(I$4="x",'Symptomen (alle)'!H18,0)</f>
        <v>0</v>
      </c>
      <c r="J23" s="21">
        <f>IF(J$4="x",'Symptomen (alle)'!I18,0)</f>
        <v>1</v>
      </c>
      <c r="K23" s="21">
        <f>IF(K$4="x",'Symptomen (alle)'!J18,0)</f>
        <v>0</v>
      </c>
      <c r="L23" s="21">
        <f>IF(L$4="x",'Symptomen (alle)'!K18,0)</f>
        <v>0</v>
      </c>
      <c r="M23" s="21">
        <f>IF(M$4="x",'Symptomen (alle)'!L18,0)</f>
        <v>0</v>
      </c>
      <c r="N23" s="21">
        <f>IF(N$4="x",'Symptomen (alle)'!M18,0)</f>
        <v>0</v>
      </c>
      <c r="O23" s="21">
        <f>IF(O$4="x",'Symptomen (alle)'!N18,0)</f>
        <v>0</v>
      </c>
      <c r="P23" s="21">
        <f>IF(P$4="x",'Symptomen (alle)'!O18,0)</f>
        <v>0</v>
      </c>
      <c r="Q23" s="21">
        <f>IF(Q$4="x",'Symptomen (alle)'!P18,0)</f>
        <v>0</v>
      </c>
      <c r="R23" s="21">
        <f>IF(R$4="x",'Symptomen (alle)'!Q18,0)</f>
        <v>0</v>
      </c>
      <c r="S23" s="21">
        <f>IF(S$4="x",'Symptomen (alle)'!R18,0)</f>
        <v>0</v>
      </c>
      <c r="T23" s="21">
        <f>IF(T$4="x",'Symptomen (alle)'!S18,0)</f>
        <v>0</v>
      </c>
      <c r="U23" s="21">
        <f>IF(U$4="x",'Symptomen (alle)'!T18,0)</f>
        <v>0</v>
      </c>
      <c r="V23" s="21">
        <f>IF(V$4="x",'Symptomen (alle)'!U18,0)</f>
        <v>0</v>
      </c>
      <c r="W23" s="21">
        <f>IF(W$4="x",'Symptomen (alle)'!V18,0)</f>
        <v>0</v>
      </c>
      <c r="X23" s="21">
        <f>IF(X$4="x",'Symptomen (alle)'!W18,0)</f>
        <v>0</v>
      </c>
      <c r="Y23" s="21">
        <f>IF(Y$4="x",'Symptomen (alle)'!X18,0)</f>
        <v>0</v>
      </c>
      <c r="Z23" s="21">
        <f>IF(Z$4="x",'Symptomen (alle)'!Y18,0)</f>
        <v>0</v>
      </c>
      <c r="AA23" s="21">
        <f>IF(AA$4="x",'Symptomen (alle)'!Z18,0)</f>
        <v>0</v>
      </c>
      <c r="AB23" s="21">
        <f>IF(AB$4="x",'Symptomen (alle)'!AA18,0)</f>
        <v>0</v>
      </c>
      <c r="AC23" s="21">
        <f>IF(AC$4="x",'Symptomen (alle)'!AB18,0)</f>
        <v>1</v>
      </c>
      <c r="AD23" s="21">
        <f>IF(AD$4="x",'Symptomen (alle)'!AC18,0)</f>
        <v>3</v>
      </c>
      <c r="AE23" s="21">
        <f t="shared" si="0"/>
        <v>8</v>
      </c>
      <c r="AF23" s="21">
        <f>HLOOKUP($B$4,ZiekteFam!$B$1:$T$32,AG23,FALSE)</f>
        <v>0</v>
      </c>
      <c r="AG23" s="32">
        <f t="shared" si="1"/>
        <v>18</v>
      </c>
      <c r="AH23" s="32">
        <f>SUM('Symptomen (alle)'!D18:AC18)</f>
        <v>28</v>
      </c>
      <c r="AI23" s="22">
        <f>Tabel423[[#This Row],[Kolom25]]/Tabel423[[#This Row],[Kolom28]]</f>
        <v>0.2857142857142857</v>
      </c>
      <c r="AJ23" s="36">
        <f t="shared" si="2"/>
        <v>4</v>
      </c>
      <c r="AK23" s="36">
        <f t="shared" si="3"/>
        <v>0</v>
      </c>
      <c r="AL23" s="36">
        <f t="shared" si="4"/>
        <v>0</v>
      </c>
      <c r="AM23" s="36">
        <f t="shared" si="5"/>
        <v>0</v>
      </c>
      <c r="AN23" s="36">
        <f t="shared" si="6"/>
        <v>1</v>
      </c>
      <c r="AO23" s="36">
        <f>COUNTIF(Tabel423[[#This Row],[Kolom3]:[Kolom222]],10)</f>
        <v>0</v>
      </c>
      <c r="AP23" s="36">
        <f>COUNTIF(Tabel423[[#This Row],[Kolom3]:[Kolom222]],5)</f>
        <v>0</v>
      </c>
      <c r="AQ23" s="36">
        <f>COUNTIF(Tabel423[[#This Row],[Kolom3]:[Kolom222]],3)</f>
        <v>1</v>
      </c>
      <c r="AR23" s="36">
        <f>COUNTIF(Tabel423[[#This Row],[Kolom3]:[Kolom222]],2)</f>
        <v>1</v>
      </c>
      <c r="AS23" s="36">
        <f>COUNTIF(Tabel423[[#This Row],[Kolom3]:[Kolom222]],1)</f>
        <v>3</v>
      </c>
      <c r="AT23" s="36">
        <f>COUNTIF('Symptomen (alle)'!$D18:$AC18,10)</f>
        <v>1</v>
      </c>
      <c r="AU23" s="36">
        <f>COUNTIF('Symptomen (alle)'!$D18:$AC18,5)</f>
        <v>0</v>
      </c>
      <c r="AV23" s="36">
        <f>COUNTIF('Symptomen (alle)'!$D18:$AC18,3)</f>
        <v>2</v>
      </c>
      <c r="AW23" s="36">
        <f>COUNTIF('Symptomen (alle)'!$D18:$AC18,2)</f>
        <v>3</v>
      </c>
      <c r="AX23" s="36">
        <f>COUNTIF('Symptomen (alle)'!$D18:$AC18,1)</f>
        <v>6</v>
      </c>
      <c r="AY23" s="22">
        <f>IF(Tabel423[[#This Row],[Kolom300]]=0,0,Tabel423[[#This Row],[Kolom2972]]/Tabel423[[#This Row],[Kolom300]])</f>
        <v>0</v>
      </c>
      <c r="AZ23" s="22">
        <f>IF(Tabel423[[#This Row],[Kolom301]]=0,0,Tabel423[[#This Row],[Kolom2973]]/Tabel423[[#This Row],[Kolom301]])</f>
        <v>0</v>
      </c>
      <c r="BA23" s="22">
        <f>IF(Tabel423[[#This Row],[Kolom294]]=0,0,Tabel423[[#This Row],[Kolom298]]/Tabel423[[#This Row],[Kolom294]])</f>
        <v>0</v>
      </c>
      <c r="BB23" s="22">
        <f>IF(Tabel423[[#This Row],[Kolom295]]=0,0,Tabel423[[#This Row],[Kolom299]]/Tabel423[[#This Row],[Kolom295]])</f>
        <v>1</v>
      </c>
      <c r="BC23" s="22">
        <f>IF(Tabel423[[#This Row],[Kolom2965]]=0,0,Tabel423[[#This Row],[Kolom300]]/Tabel423[[#This Row],[Kolom2965]])</f>
        <v>0</v>
      </c>
      <c r="BD23" s="22">
        <f>IF(Tabel423[[#This Row],[Kolom2966]]=0,0,Tabel423[[#This Row],[Kolom301]]/Tabel423[[#This Row],[Kolom2966]])</f>
        <v>0</v>
      </c>
      <c r="BE23" s="22">
        <f>IF(Tabel423[[#This Row],[Kolom2962]]=0,0,Tabel423[[#This Row],[Kolom294]]/Tabel423[[#This Row],[Kolom2962]])</f>
        <v>0.5</v>
      </c>
      <c r="BF23" s="22">
        <f>IF(Tabel423[[#This Row],[Kolom29622]]=0,0,Tabel423[[#This Row],[Kolom295]]/Tabel423[[#This Row],[Kolom29622]])</f>
        <v>0.33333333333333331</v>
      </c>
      <c r="BG23" s="22">
        <f>IF(Tabel423[[#This Row],[Kolom29623]]=0,0,Tabel423[[#This Row],[Kolom296]]/Tabel423[[#This Row],[Kolom29623]])</f>
        <v>0.5</v>
      </c>
      <c r="BH23" s="22">
        <f>(10*Tabel423[[#This Row],[Kolom296232]]+5*Tabel423[[#This Row],[Kolom296233]]+3*Tabel423[[#This Row],[Kolom29624]]+2*Tabel423[[#This Row],[Kolom2963]]+Tabel423[[#This Row],[Kolom29]])/21</f>
        <v>0.10884353741496598</v>
      </c>
      <c r="BI23" s="22">
        <f>(10*Tabel423[[#This Row],[Kolom296232]]+5*Tabel423[[#This Row],[Kolom296233]]+3*Tabel423[[#This Row],[Kolom29624]]+2*Tabel423[[#This Row],[Kolom2963]])/20</f>
        <v>0.1</v>
      </c>
      <c r="BJ23" s="22">
        <f>(10*Tabel423[[#This Row],[Kolom29634]]+3*Tabel423[[#This Row],[Kolom29633]]+2*Tabel423[[#This Row],[Kolom29632]]+Tabel423[[#This Row],[Kolom2964]])/16</f>
        <v>0.16666666666666666</v>
      </c>
      <c r="BK23" s="22">
        <f>(10*Tabel423[[#This Row],[Kolom29634]]+5*Tabel423[[#This Row],[Kolom29635]]+3*Tabel423[[#This Row],[Kolom29633]]+2*Tabel423[[#This Row],[Kolom29632]])/20</f>
        <v>0.10833333333333332</v>
      </c>
      <c r="BL23" s="22">
        <f>Tabel423[[#This Row],[Kolom29]]</f>
        <v>0.2857142857142857</v>
      </c>
      <c r="BM23" s="36">
        <f>_xlfn.RANK.EQ(Tabel423[[#This Row],[Kolom29]],$AI$7:$AI$37)</f>
        <v>26</v>
      </c>
      <c r="BN23" s="36">
        <f>_xlfn.RANK.EQ(Tabel423[[#This Row],[Kolom293]],BH$7:BH$37)</f>
        <v>12</v>
      </c>
      <c r="BO23" s="36">
        <f>_xlfn.RANK.EQ(Tabel423[[#This Row],[Kolom2933]],BI$7:BI$37)</f>
        <v>12</v>
      </c>
      <c r="BP23" s="36">
        <f>_xlfn.RANK.EQ(Tabel423[[#This Row],[Kolom29332]],BJ$7:BJ$37)</f>
        <v>22</v>
      </c>
      <c r="BQ23" s="36">
        <f>_xlfn.RANK.EQ(Tabel423[[#This Row],[Kolom2934]],BK$7:BK$37)</f>
        <v>23</v>
      </c>
      <c r="BR23" s="23"/>
    </row>
    <row r="24" spans="1:70">
      <c r="B24" s="21" t="str">
        <f>'Symptomen (alle)'!A19</f>
        <v>Sporozoa parasites</v>
      </c>
      <c r="C24" s="21">
        <f>'Symptomen (alle)'!B19</f>
        <v>4</v>
      </c>
      <c r="D24" s="21">
        <f>IF(D$4="x",'Symptomen (alle)'!C19,0)</f>
        <v>0</v>
      </c>
      <c r="E24" s="21">
        <f>IF(E$4="x",'Symptomen (alle)'!D19,0)</f>
        <v>0</v>
      </c>
      <c r="F24" s="21">
        <f>IF(F$4="x",'Symptomen (alle)'!E19,0)</f>
        <v>1</v>
      </c>
      <c r="G24" s="21">
        <f>IF(G$4="x",'Symptomen (alle)'!F19,0)</f>
        <v>0</v>
      </c>
      <c r="H24" s="21">
        <f>IF(H$4="x",'Symptomen (alle)'!G19,0)</f>
        <v>0</v>
      </c>
      <c r="I24" s="21">
        <f>IF(I$4="x",'Symptomen (alle)'!H19,0)</f>
        <v>0</v>
      </c>
      <c r="J24" s="21">
        <f>IF(J$4="x",'Symptomen (alle)'!I19,0)</f>
        <v>3</v>
      </c>
      <c r="K24" s="21">
        <f>IF(K$4="x",'Symptomen (alle)'!J19,0)</f>
        <v>0</v>
      </c>
      <c r="L24" s="21">
        <f>IF(L$4="x",'Symptomen (alle)'!K19,0)</f>
        <v>0</v>
      </c>
      <c r="M24" s="21">
        <f>IF(M$4="x",'Symptomen (alle)'!L19,0)</f>
        <v>0</v>
      </c>
      <c r="N24" s="21">
        <f>IF(N$4="x",'Symptomen (alle)'!M19,0)</f>
        <v>0</v>
      </c>
      <c r="O24" s="21">
        <f>IF(O$4="x",'Symptomen (alle)'!N19,0)</f>
        <v>0</v>
      </c>
      <c r="P24" s="21">
        <f>IF(P$4="x",'Symptomen (alle)'!O19,0)</f>
        <v>0</v>
      </c>
      <c r="Q24" s="21">
        <f>IF(Q$4="x",'Symptomen (alle)'!P19,0)</f>
        <v>0</v>
      </c>
      <c r="R24" s="21">
        <f>IF(R$4="x",'Symptomen (alle)'!Q19,0)</f>
        <v>0</v>
      </c>
      <c r="S24" s="21">
        <f>IF(S$4="x",'Symptomen (alle)'!R19,0)</f>
        <v>0</v>
      </c>
      <c r="T24" s="21">
        <f>IF(T$4="x",'Symptomen (alle)'!S19,0)</f>
        <v>0</v>
      </c>
      <c r="U24" s="21">
        <f>IF(U$4="x",'Symptomen (alle)'!T19,0)</f>
        <v>0</v>
      </c>
      <c r="V24" s="21">
        <f>IF(V$4="x",'Symptomen (alle)'!U19,0)</f>
        <v>0</v>
      </c>
      <c r="W24" s="21">
        <f>IF(W$4="x",'Symptomen (alle)'!V19,0)</f>
        <v>0</v>
      </c>
      <c r="X24" s="21">
        <f>IF(X$4="x",'Symptomen (alle)'!W19,0)</f>
        <v>0</v>
      </c>
      <c r="Y24" s="21">
        <f>IF(Y$4="x",'Symptomen (alle)'!X19,0)</f>
        <v>0</v>
      </c>
      <c r="Z24" s="21">
        <f>IF(Z$4="x",'Symptomen (alle)'!Y19,0)</f>
        <v>0</v>
      </c>
      <c r="AA24" s="21">
        <f>IF(AA$4="x",'Symptomen (alle)'!Z19,0)</f>
        <v>0</v>
      </c>
      <c r="AB24" s="21">
        <f>IF(AB$4="x",'Symptomen (alle)'!AA19,0)</f>
        <v>0</v>
      </c>
      <c r="AC24" s="21">
        <f>IF(AC$4="x",'Symptomen (alle)'!AB19,0)</f>
        <v>3</v>
      </c>
      <c r="AD24" s="21">
        <f>IF(AD$4="x",'Symptomen (alle)'!AC19,0)</f>
        <v>1</v>
      </c>
      <c r="AE24" s="21">
        <f t="shared" si="0"/>
        <v>8</v>
      </c>
      <c r="AF24" s="21">
        <f>HLOOKUP($B$4,ZiekteFam!$B$1:$T$32,AG24,FALSE)</f>
        <v>10</v>
      </c>
      <c r="AG24" s="32">
        <f t="shared" si="1"/>
        <v>19</v>
      </c>
      <c r="AH24" s="32">
        <f>SUM('Symptomen (alle)'!D19:AC19)</f>
        <v>18</v>
      </c>
      <c r="AI24" s="22">
        <f>Tabel423[[#This Row],[Kolom25]]/Tabel423[[#This Row],[Kolom28]]</f>
        <v>0.44444444444444442</v>
      </c>
      <c r="AJ24" s="36">
        <f t="shared" si="2"/>
        <v>4</v>
      </c>
      <c r="AK24" s="36">
        <f t="shared" si="3"/>
        <v>0</v>
      </c>
      <c r="AL24" s="36">
        <f t="shared" si="4"/>
        <v>0</v>
      </c>
      <c r="AM24" s="36">
        <f t="shared" si="5"/>
        <v>1</v>
      </c>
      <c r="AN24" s="36">
        <f t="shared" si="6"/>
        <v>0</v>
      </c>
      <c r="AO24" s="36">
        <f>COUNTIF(Tabel423[[#This Row],[Kolom3]:[Kolom222]],10)</f>
        <v>0</v>
      </c>
      <c r="AP24" s="36">
        <f>COUNTIF(Tabel423[[#This Row],[Kolom3]:[Kolom222]],5)</f>
        <v>0</v>
      </c>
      <c r="AQ24" s="36">
        <f>COUNTIF(Tabel423[[#This Row],[Kolom3]:[Kolom222]],3)</f>
        <v>2</v>
      </c>
      <c r="AR24" s="36">
        <f>COUNTIF(Tabel423[[#This Row],[Kolom3]:[Kolom222]],2)</f>
        <v>0</v>
      </c>
      <c r="AS24" s="36">
        <f>COUNTIF(Tabel423[[#This Row],[Kolom3]:[Kolom222]],1)</f>
        <v>2</v>
      </c>
      <c r="AT24" s="36">
        <f>COUNTIF('Symptomen (alle)'!$D19:$AC19,10)</f>
        <v>0</v>
      </c>
      <c r="AU24" s="36">
        <f>COUNTIF('Symptomen (alle)'!$D19:$AC19,5)</f>
        <v>0</v>
      </c>
      <c r="AV24" s="36">
        <f>COUNTIF('Symptomen (alle)'!$D19:$AC19,3)</f>
        <v>5</v>
      </c>
      <c r="AW24" s="36">
        <f>COUNTIF('Symptomen (alle)'!$D19:$AC19,2)</f>
        <v>0</v>
      </c>
      <c r="AX24" s="36">
        <f>COUNTIF('Symptomen (alle)'!$D19:$AC19,1)</f>
        <v>3</v>
      </c>
      <c r="AY24" s="22">
        <f>IF(Tabel423[[#This Row],[Kolom300]]=0,0,Tabel423[[#This Row],[Kolom2972]]/Tabel423[[#This Row],[Kolom300]])</f>
        <v>0</v>
      </c>
      <c r="AZ24" s="22">
        <f>IF(Tabel423[[#This Row],[Kolom301]]=0,0,Tabel423[[#This Row],[Kolom2973]]/Tabel423[[#This Row],[Kolom301]])</f>
        <v>0</v>
      </c>
      <c r="BA24" s="22">
        <f>IF(Tabel423[[#This Row],[Kolom294]]=0,0,Tabel423[[#This Row],[Kolom298]]/Tabel423[[#This Row],[Kolom294]])</f>
        <v>0.5</v>
      </c>
      <c r="BB24" s="22">
        <f>IF(Tabel423[[#This Row],[Kolom295]]=0,0,Tabel423[[#This Row],[Kolom299]]/Tabel423[[#This Row],[Kolom295]])</f>
        <v>0</v>
      </c>
      <c r="BC24" s="22">
        <f>IF(Tabel423[[#This Row],[Kolom2965]]=0,0,Tabel423[[#This Row],[Kolom300]]/Tabel423[[#This Row],[Kolom2965]])</f>
        <v>0</v>
      </c>
      <c r="BD24" s="22">
        <f>IF(Tabel423[[#This Row],[Kolom2966]]=0,0,Tabel423[[#This Row],[Kolom301]]/Tabel423[[#This Row],[Kolom2966]])</f>
        <v>0</v>
      </c>
      <c r="BE24" s="22">
        <f>IF(Tabel423[[#This Row],[Kolom2962]]=0,0,Tabel423[[#This Row],[Kolom294]]/Tabel423[[#This Row],[Kolom2962]])</f>
        <v>0.4</v>
      </c>
      <c r="BF24" s="22">
        <f>IF(Tabel423[[#This Row],[Kolom29622]]=0,0,Tabel423[[#This Row],[Kolom295]]/Tabel423[[#This Row],[Kolom29622]])</f>
        <v>0</v>
      </c>
      <c r="BG24" s="22">
        <f>IF(Tabel423[[#This Row],[Kolom29623]]=0,0,Tabel423[[#This Row],[Kolom296]]/Tabel423[[#This Row],[Kolom29623]])</f>
        <v>0.66666666666666663</v>
      </c>
      <c r="BH24" s="22">
        <f>(10*Tabel423[[#This Row],[Kolom296232]]+5*Tabel423[[#This Row],[Kolom296233]]+3*Tabel423[[#This Row],[Kolom29624]]+2*Tabel423[[#This Row],[Kolom2963]]+Tabel423[[#This Row],[Kolom29]])/21</f>
        <v>9.2592592592592587E-2</v>
      </c>
      <c r="BI24" s="22">
        <f>(10*Tabel423[[#This Row],[Kolom296232]]+5*Tabel423[[#This Row],[Kolom296233]]+3*Tabel423[[#This Row],[Kolom29624]]+2*Tabel423[[#This Row],[Kolom2963]])/20</f>
        <v>7.4999999999999997E-2</v>
      </c>
      <c r="BJ24" s="22">
        <f>(10*Tabel423[[#This Row],[Kolom29634]]+3*Tabel423[[#This Row],[Kolom29633]]+2*Tabel423[[#This Row],[Kolom29632]]+Tabel423[[#This Row],[Kolom2964]])/16</f>
        <v>0.11666666666666667</v>
      </c>
      <c r="BK24" s="22">
        <f>(10*Tabel423[[#This Row],[Kolom29634]]+5*Tabel423[[#This Row],[Kolom29635]]+3*Tabel423[[#This Row],[Kolom29633]]+2*Tabel423[[#This Row],[Kolom29632]])/20</f>
        <v>6.0000000000000012E-2</v>
      </c>
      <c r="BL24" s="22">
        <f>Tabel423[[#This Row],[Kolom29]]</f>
        <v>0.44444444444444442</v>
      </c>
      <c r="BM24" s="36">
        <f>_xlfn.RANK.EQ(Tabel423[[#This Row],[Kolom29]],$AI$7:$AI$37)</f>
        <v>12</v>
      </c>
      <c r="BN24" s="36">
        <f>_xlfn.RANK.EQ(Tabel423[[#This Row],[Kolom293]],BH$7:BH$37)</f>
        <v>13</v>
      </c>
      <c r="BO24" s="36">
        <f>_xlfn.RANK.EQ(Tabel423[[#This Row],[Kolom2933]],BI$7:BI$37)</f>
        <v>13</v>
      </c>
      <c r="BP24" s="36">
        <f>_xlfn.RANK.EQ(Tabel423[[#This Row],[Kolom29332]],BJ$7:BJ$37)</f>
        <v>28</v>
      </c>
      <c r="BQ24" s="36">
        <f>_xlfn.RANK.EQ(Tabel423[[#This Row],[Kolom2934]],BK$7:BK$37)</f>
        <v>30</v>
      </c>
      <c r="BR24" s="23"/>
    </row>
    <row r="25" spans="1:70">
      <c r="B25" s="21" t="str">
        <f>'Symptomen (alle)'!A20</f>
        <v>Plistophora (real Neon disease)</v>
      </c>
      <c r="C25" s="21">
        <f>'Symptomen (alle)'!B20</f>
        <v>4</v>
      </c>
      <c r="D25" s="21">
        <f>IF(D$4="x",'Symptomen (alle)'!C20,0)</f>
        <v>0</v>
      </c>
      <c r="E25" s="21">
        <f>IF(E$4="x",'Symptomen (alle)'!D20,0)</f>
        <v>0</v>
      </c>
      <c r="F25" s="21">
        <f>IF(F$4="x",'Symptomen (alle)'!E20,0)</f>
        <v>0</v>
      </c>
      <c r="G25" s="21">
        <f>IF(G$4="x",'Symptomen (alle)'!F20,0)</f>
        <v>0</v>
      </c>
      <c r="H25" s="21">
        <f>IF(H$4="x",'Symptomen (alle)'!G20,0)</f>
        <v>0</v>
      </c>
      <c r="I25" s="21">
        <f>IF(I$4="x",'Symptomen (alle)'!H20,0)</f>
        <v>0</v>
      </c>
      <c r="J25" s="21">
        <f>IF(J$4="x",'Symptomen (alle)'!I20,0)</f>
        <v>10</v>
      </c>
      <c r="K25" s="21">
        <f>IF(K$4="x",'Symptomen (alle)'!J20,0)</f>
        <v>0</v>
      </c>
      <c r="L25" s="21">
        <f>IF(L$4="x",'Symptomen (alle)'!K20,0)</f>
        <v>0</v>
      </c>
      <c r="M25" s="21">
        <f>IF(M$4="x",'Symptomen (alle)'!L20,0)</f>
        <v>0</v>
      </c>
      <c r="N25" s="21">
        <f>IF(N$4="x",'Symptomen (alle)'!M20,0)</f>
        <v>0</v>
      </c>
      <c r="O25" s="21">
        <f>IF(O$4="x",'Symptomen (alle)'!N20,0)</f>
        <v>0</v>
      </c>
      <c r="P25" s="21">
        <f>IF(P$4="x",'Symptomen (alle)'!O20,0)</f>
        <v>0</v>
      </c>
      <c r="Q25" s="21">
        <f>IF(Q$4="x",'Symptomen (alle)'!P20,0)</f>
        <v>0</v>
      </c>
      <c r="R25" s="21">
        <f>IF(R$4="x",'Symptomen (alle)'!Q20,0)</f>
        <v>0</v>
      </c>
      <c r="S25" s="21">
        <f>IF(S$4="x",'Symptomen (alle)'!R20,0)</f>
        <v>0</v>
      </c>
      <c r="T25" s="21">
        <f>IF(T$4="x",'Symptomen (alle)'!S20,0)</f>
        <v>0</v>
      </c>
      <c r="U25" s="21">
        <f>IF(U$4="x",'Symptomen (alle)'!T20,0)</f>
        <v>0</v>
      </c>
      <c r="V25" s="21">
        <f>IF(V$4="x",'Symptomen (alle)'!U20,0)</f>
        <v>0</v>
      </c>
      <c r="W25" s="21">
        <f>IF(W$4="x",'Symptomen (alle)'!V20,0)</f>
        <v>0</v>
      </c>
      <c r="X25" s="21">
        <f>IF(X$4="x",'Symptomen (alle)'!W20,0)</f>
        <v>0</v>
      </c>
      <c r="Y25" s="21">
        <f>IF(Y$4="x",'Symptomen (alle)'!X20,0)</f>
        <v>0</v>
      </c>
      <c r="Z25" s="21">
        <f>IF(Z$4="x",'Symptomen (alle)'!Y20,0)</f>
        <v>0</v>
      </c>
      <c r="AA25" s="21">
        <f>IF(AA$4="x",'Symptomen (alle)'!Z20,0)</f>
        <v>0</v>
      </c>
      <c r="AB25" s="21">
        <f>IF(AB$4="x",'Symptomen (alle)'!AA20,0)</f>
        <v>0</v>
      </c>
      <c r="AC25" s="21">
        <f>IF(AC$4="x",'Symptomen (alle)'!AB20,0)</f>
        <v>3</v>
      </c>
      <c r="AD25" s="21">
        <f>IF(AD$4="x",'Symptomen (alle)'!AC20,0)</f>
        <v>0</v>
      </c>
      <c r="AE25" s="21">
        <f t="shared" si="0"/>
        <v>13</v>
      </c>
      <c r="AF25" s="21">
        <f>HLOOKUP($B$4,ZiekteFam!$B$1:$T$32,AG25,FALSE)</f>
        <v>10</v>
      </c>
      <c r="AG25" s="32">
        <f t="shared" si="1"/>
        <v>20</v>
      </c>
      <c r="AH25" s="32">
        <f>SUM('Symptomen (alle)'!D20:AC20)</f>
        <v>14</v>
      </c>
      <c r="AI25" s="22">
        <f>Tabel423[[#This Row],[Kolom25]]/Tabel423[[#This Row],[Kolom28]]</f>
        <v>0.9285714285714286</v>
      </c>
      <c r="AJ25" s="36">
        <f t="shared" si="2"/>
        <v>4</v>
      </c>
      <c r="AK25" s="36">
        <f t="shared" si="3"/>
        <v>1</v>
      </c>
      <c r="AL25" s="36">
        <f t="shared" si="4"/>
        <v>0</v>
      </c>
      <c r="AM25" s="36">
        <f t="shared" si="5"/>
        <v>0</v>
      </c>
      <c r="AN25" s="36">
        <f t="shared" si="6"/>
        <v>0</v>
      </c>
      <c r="AO25" s="36">
        <f>COUNTIF(Tabel423[[#This Row],[Kolom3]:[Kolom222]],10)</f>
        <v>1</v>
      </c>
      <c r="AP25" s="36">
        <f>COUNTIF(Tabel423[[#This Row],[Kolom3]:[Kolom222]],5)</f>
        <v>0</v>
      </c>
      <c r="AQ25" s="36">
        <f>COUNTIF(Tabel423[[#This Row],[Kolom3]:[Kolom222]],3)</f>
        <v>1</v>
      </c>
      <c r="AR25" s="36">
        <f>COUNTIF(Tabel423[[#This Row],[Kolom3]:[Kolom222]],2)</f>
        <v>0</v>
      </c>
      <c r="AS25" s="36">
        <f>COUNTIF(Tabel423[[#This Row],[Kolom3]:[Kolom222]],1)</f>
        <v>0</v>
      </c>
      <c r="AT25" s="36">
        <f>COUNTIF('Symptomen (alle)'!$D20:$AC20,10)</f>
        <v>1</v>
      </c>
      <c r="AU25" s="36">
        <f>COUNTIF('Symptomen (alle)'!$D20:$AC20,5)</f>
        <v>0</v>
      </c>
      <c r="AV25" s="36">
        <f>COUNTIF('Symptomen (alle)'!$D20:$AC20,3)</f>
        <v>1</v>
      </c>
      <c r="AW25" s="36">
        <f>COUNTIF('Symptomen (alle)'!$D20:$AC20,2)</f>
        <v>0</v>
      </c>
      <c r="AX25" s="36">
        <f>COUNTIF('Symptomen (alle)'!$D20:$AC20,1)</f>
        <v>1</v>
      </c>
      <c r="AY25" s="22">
        <f>IF(Tabel423[[#This Row],[Kolom300]]=0,0,Tabel423[[#This Row],[Kolom2972]]/Tabel423[[#This Row],[Kolom300]])</f>
        <v>1</v>
      </c>
      <c r="AZ25" s="22">
        <f>IF(Tabel423[[#This Row],[Kolom301]]=0,0,Tabel423[[#This Row],[Kolom2973]]/Tabel423[[#This Row],[Kolom301]])</f>
        <v>0</v>
      </c>
      <c r="BA25" s="22">
        <f>IF(Tabel423[[#This Row],[Kolom294]]=0,0,Tabel423[[#This Row],[Kolom298]]/Tabel423[[#This Row],[Kolom294]])</f>
        <v>0</v>
      </c>
      <c r="BB25" s="22">
        <f>IF(Tabel423[[#This Row],[Kolom295]]=0,0,Tabel423[[#This Row],[Kolom299]]/Tabel423[[#This Row],[Kolom295]])</f>
        <v>0</v>
      </c>
      <c r="BC25" s="22">
        <f>IF(Tabel423[[#This Row],[Kolom2965]]=0,0,Tabel423[[#This Row],[Kolom300]]/Tabel423[[#This Row],[Kolom2965]])</f>
        <v>1</v>
      </c>
      <c r="BD25" s="22">
        <f>IF(Tabel423[[#This Row],[Kolom2966]]=0,0,Tabel423[[#This Row],[Kolom301]]/Tabel423[[#This Row],[Kolom2966]])</f>
        <v>0</v>
      </c>
      <c r="BE25" s="22">
        <f>IF(Tabel423[[#This Row],[Kolom2962]]=0,0,Tabel423[[#This Row],[Kolom294]]/Tabel423[[#This Row],[Kolom2962]])</f>
        <v>1</v>
      </c>
      <c r="BF25" s="22">
        <f>IF(Tabel423[[#This Row],[Kolom29622]]=0,0,Tabel423[[#This Row],[Kolom295]]/Tabel423[[#This Row],[Kolom29622]])</f>
        <v>0</v>
      </c>
      <c r="BG25" s="22">
        <f>IF(Tabel423[[#This Row],[Kolom29623]]=0,0,Tabel423[[#This Row],[Kolom296]]/Tabel423[[#This Row],[Kolom29623]])</f>
        <v>0</v>
      </c>
      <c r="BH25" s="22">
        <f>(10*Tabel423[[#This Row],[Kolom296232]]+5*Tabel423[[#This Row],[Kolom296233]]+3*Tabel423[[#This Row],[Kolom29624]]+2*Tabel423[[#This Row],[Kolom2963]]+Tabel423[[#This Row],[Kolom29]])/21</f>
        <v>0.52040816326530615</v>
      </c>
      <c r="BI25" s="22">
        <f>(10*Tabel423[[#This Row],[Kolom296232]]+5*Tabel423[[#This Row],[Kolom296233]]+3*Tabel423[[#This Row],[Kolom29624]]+2*Tabel423[[#This Row],[Kolom2963]])/20</f>
        <v>0.5</v>
      </c>
      <c r="BJ25" s="22">
        <f>(10*Tabel423[[#This Row],[Kolom29634]]+3*Tabel423[[#This Row],[Kolom29633]]+2*Tabel423[[#This Row],[Kolom29632]]+Tabel423[[#This Row],[Kolom2964]])/16</f>
        <v>0.8125</v>
      </c>
      <c r="BK25" s="22">
        <f>(10*Tabel423[[#This Row],[Kolom29634]]+5*Tabel423[[#This Row],[Kolom29635]]+3*Tabel423[[#This Row],[Kolom29633]]+2*Tabel423[[#This Row],[Kolom29632]])/20</f>
        <v>0.65</v>
      </c>
      <c r="BL25" s="22">
        <f>Tabel423[[#This Row],[Kolom29]]</f>
        <v>0.9285714285714286</v>
      </c>
      <c r="BM25" s="36">
        <f>_xlfn.RANK.EQ(Tabel423[[#This Row],[Kolom29]],$AI$7:$AI$37)</f>
        <v>1</v>
      </c>
      <c r="BN25" s="36">
        <f>_xlfn.RANK.EQ(Tabel423[[#This Row],[Kolom293]],BH$7:BH$37)</f>
        <v>3</v>
      </c>
      <c r="BO25" s="36">
        <f>_xlfn.RANK.EQ(Tabel423[[#This Row],[Kolom2933]],BI$7:BI$37)</f>
        <v>3</v>
      </c>
      <c r="BP25" s="36">
        <f>_xlfn.RANK.EQ(Tabel423[[#This Row],[Kolom29332]],BJ$7:BJ$37)</f>
        <v>1</v>
      </c>
      <c r="BQ25" s="36">
        <f>_xlfn.RANK.EQ(Tabel423[[#This Row],[Kolom2934]],BK$7:BK$37)</f>
        <v>3</v>
      </c>
      <c r="BR25" s="23"/>
    </row>
    <row r="26" spans="1:70">
      <c r="B26" s="21" t="str">
        <f>'Symptomen (alle)'!A21</f>
        <v>Columnaris/Flavobacteria (also: false neon disease)</v>
      </c>
      <c r="C26" s="21">
        <f>'Symptomen (alle)'!B21</f>
        <v>4</v>
      </c>
      <c r="D26" s="21">
        <f>IF(D$4="x",'Symptomen (alle)'!C21,0)</f>
        <v>0</v>
      </c>
      <c r="E26" s="21">
        <f>IF(E$4="x",'Symptomen (alle)'!D21,0)</f>
        <v>2</v>
      </c>
      <c r="F26" s="21">
        <f>IF(F$4="x",'Symptomen (alle)'!E21,0)</f>
        <v>1</v>
      </c>
      <c r="G26" s="21">
        <f>IF(G$4="x",'Symptomen (alle)'!F21,0)</f>
        <v>2</v>
      </c>
      <c r="H26" s="21">
        <f>IF(H$4="x",'Symptomen (alle)'!G21,0)</f>
        <v>3</v>
      </c>
      <c r="I26" s="21">
        <f>IF(I$4="x",'Symptomen (alle)'!H21,0)</f>
        <v>0</v>
      </c>
      <c r="J26" s="21">
        <f>IF(J$4="x",'Symptomen (alle)'!I21,0)</f>
        <v>10</v>
      </c>
      <c r="K26" s="21">
        <f>IF(K$4="x",'Symptomen (alle)'!J21,0)</f>
        <v>0</v>
      </c>
      <c r="L26" s="21">
        <f>IF(L$4="x",'Symptomen (alle)'!K21,0)</f>
        <v>0</v>
      </c>
      <c r="M26" s="21">
        <f>IF(M$4="x",'Symptomen (alle)'!L21,0)</f>
        <v>0</v>
      </c>
      <c r="N26" s="21">
        <f>IF(N$4="x",'Symptomen (alle)'!M21,0)</f>
        <v>0</v>
      </c>
      <c r="O26" s="21">
        <f>IF(O$4="x",'Symptomen (alle)'!N21,0)</f>
        <v>0</v>
      </c>
      <c r="P26" s="21">
        <f>IF(P$4="x",'Symptomen (alle)'!O21,0)</f>
        <v>0</v>
      </c>
      <c r="Q26" s="21">
        <f>IF(Q$4="x",'Symptomen (alle)'!P21,0)</f>
        <v>0</v>
      </c>
      <c r="R26" s="21">
        <f>IF(R$4="x",'Symptomen (alle)'!Q21,0)</f>
        <v>0</v>
      </c>
      <c r="S26" s="21">
        <f>IF(S$4="x",'Symptomen (alle)'!R21,0)</f>
        <v>0</v>
      </c>
      <c r="T26" s="21">
        <f>IF(T$4="x",'Symptomen (alle)'!S21,0)</f>
        <v>0</v>
      </c>
      <c r="U26" s="21">
        <f>IF(U$4="x",'Symptomen (alle)'!T21,0)</f>
        <v>0</v>
      </c>
      <c r="V26" s="21">
        <f>IF(V$4="x",'Symptomen (alle)'!U21,0)</f>
        <v>0</v>
      </c>
      <c r="W26" s="21">
        <f>IF(W$4="x",'Symptomen (alle)'!V21,0)</f>
        <v>0</v>
      </c>
      <c r="X26" s="21">
        <f>IF(X$4="x",'Symptomen (alle)'!W21,0)</f>
        <v>2</v>
      </c>
      <c r="Y26" s="21">
        <f>IF(Y$4="x",'Symptomen (alle)'!X21,0)</f>
        <v>0</v>
      </c>
      <c r="Z26" s="21">
        <f>IF(Z$4="x",'Symptomen (alle)'!Y21,0)</f>
        <v>0</v>
      </c>
      <c r="AA26" s="21">
        <f>IF(AA$4="x",'Symptomen (alle)'!Z21,0)</f>
        <v>0</v>
      </c>
      <c r="AB26" s="21">
        <f>IF(AB$4="x",'Symptomen (alle)'!AA21,0)</f>
        <v>0</v>
      </c>
      <c r="AC26" s="21">
        <f>IF(AC$4="x",'Symptomen (alle)'!AB21,0)</f>
        <v>1</v>
      </c>
      <c r="AD26" s="21">
        <f>IF(AD$4="x",'Symptomen (alle)'!AC21,0)</f>
        <v>3</v>
      </c>
      <c r="AE26" s="21">
        <f t="shared" si="0"/>
        <v>24</v>
      </c>
      <c r="AF26" s="21">
        <f>HLOOKUP($B$4,ZiekteFam!$B$1:$T$32,AG26,FALSE)</f>
        <v>10</v>
      </c>
      <c r="AG26" s="32">
        <f t="shared" si="1"/>
        <v>21</v>
      </c>
      <c r="AH26" s="32">
        <f>SUM('Symptomen (alle)'!D21:AC21)</f>
        <v>66</v>
      </c>
      <c r="AI26" s="22">
        <f>Tabel423[[#This Row],[Kolom25]]/Tabel423[[#This Row],[Kolom28]]</f>
        <v>0.36363636363636365</v>
      </c>
      <c r="AJ26" s="36">
        <f t="shared" si="2"/>
        <v>4</v>
      </c>
      <c r="AK26" s="36">
        <f t="shared" si="3"/>
        <v>1</v>
      </c>
      <c r="AL26" s="36">
        <f t="shared" si="4"/>
        <v>0</v>
      </c>
      <c r="AM26" s="36">
        <f t="shared" si="5"/>
        <v>1</v>
      </c>
      <c r="AN26" s="36">
        <f t="shared" si="6"/>
        <v>1</v>
      </c>
      <c r="AO26" s="36">
        <f>COUNTIF(Tabel423[[#This Row],[Kolom3]:[Kolom222]],10)</f>
        <v>1</v>
      </c>
      <c r="AP26" s="36">
        <f>COUNTIF(Tabel423[[#This Row],[Kolom3]:[Kolom222]],5)</f>
        <v>0</v>
      </c>
      <c r="AQ26" s="36">
        <f>COUNTIF(Tabel423[[#This Row],[Kolom3]:[Kolom222]],3)</f>
        <v>2</v>
      </c>
      <c r="AR26" s="36">
        <f>COUNTIF(Tabel423[[#This Row],[Kolom3]:[Kolom222]],2)</f>
        <v>3</v>
      </c>
      <c r="AS26" s="36">
        <f>COUNTIF(Tabel423[[#This Row],[Kolom3]:[Kolom222]],1)</f>
        <v>2</v>
      </c>
      <c r="AT26" s="36">
        <f>COUNTIF('Symptomen (alle)'!$D21:$AC21,10)</f>
        <v>4</v>
      </c>
      <c r="AU26" s="36">
        <f>COUNTIF('Symptomen (alle)'!$D21:$AC21,5)</f>
        <v>0</v>
      </c>
      <c r="AV26" s="36">
        <f>COUNTIF('Symptomen (alle)'!$D21:$AC21,3)</f>
        <v>3</v>
      </c>
      <c r="AW26" s="36">
        <f>COUNTIF('Symptomen (alle)'!$D21:$AC21,2)</f>
        <v>5</v>
      </c>
      <c r="AX26" s="36">
        <f>COUNTIF('Symptomen (alle)'!$D21:$AC21,1)</f>
        <v>7</v>
      </c>
      <c r="AY26" s="22">
        <f>IF(Tabel423[[#This Row],[Kolom300]]=0,0,Tabel423[[#This Row],[Kolom2972]]/Tabel423[[#This Row],[Kolom300]])</f>
        <v>1</v>
      </c>
      <c r="AZ26" s="22">
        <f>IF(Tabel423[[#This Row],[Kolom301]]=0,0,Tabel423[[#This Row],[Kolom2973]]/Tabel423[[#This Row],[Kolom301]])</f>
        <v>0</v>
      </c>
      <c r="BA26" s="22">
        <f>IF(Tabel423[[#This Row],[Kolom294]]=0,0,Tabel423[[#This Row],[Kolom298]]/Tabel423[[#This Row],[Kolom294]])</f>
        <v>0.5</v>
      </c>
      <c r="BB26" s="22">
        <f>IF(Tabel423[[#This Row],[Kolom295]]=0,0,Tabel423[[#This Row],[Kolom299]]/Tabel423[[#This Row],[Kolom295]])</f>
        <v>0.33333333333333331</v>
      </c>
      <c r="BC26" s="22">
        <f>IF(Tabel423[[#This Row],[Kolom2965]]=0,0,Tabel423[[#This Row],[Kolom300]]/Tabel423[[#This Row],[Kolom2965]])</f>
        <v>0.25</v>
      </c>
      <c r="BD26" s="22">
        <f>IF(Tabel423[[#This Row],[Kolom2966]]=0,0,Tabel423[[#This Row],[Kolom301]]/Tabel423[[#This Row],[Kolom2966]])</f>
        <v>0</v>
      </c>
      <c r="BE26" s="22">
        <f>IF(Tabel423[[#This Row],[Kolom2962]]=0,0,Tabel423[[#This Row],[Kolom294]]/Tabel423[[#This Row],[Kolom2962]])</f>
        <v>0.66666666666666663</v>
      </c>
      <c r="BF26" s="22">
        <f>IF(Tabel423[[#This Row],[Kolom29622]]=0,0,Tabel423[[#This Row],[Kolom295]]/Tabel423[[#This Row],[Kolom29622]])</f>
        <v>0.6</v>
      </c>
      <c r="BG26" s="22">
        <f>IF(Tabel423[[#This Row],[Kolom29623]]=0,0,Tabel423[[#This Row],[Kolom296]]/Tabel423[[#This Row],[Kolom29623]])</f>
        <v>0.2857142857142857</v>
      </c>
      <c r="BH26" s="22">
        <f>(10*Tabel423[[#This Row],[Kolom296232]]+5*Tabel423[[#This Row],[Kolom296233]]+3*Tabel423[[#This Row],[Kolom29624]]+2*Tabel423[[#This Row],[Kolom2963]]+Tabel423[[#This Row],[Kolom29]])/21</f>
        <v>0.59668109668109659</v>
      </c>
      <c r="BI26" s="22">
        <f>(10*Tabel423[[#This Row],[Kolom296232]]+5*Tabel423[[#This Row],[Kolom296233]]+3*Tabel423[[#This Row],[Kolom29624]]+2*Tabel423[[#This Row],[Kolom2963]])/20</f>
        <v>0.60833333333333328</v>
      </c>
      <c r="BJ26" s="22">
        <f>(10*Tabel423[[#This Row],[Kolom29634]]+3*Tabel423[[#This Row],[Kolom29633]]+2*Tabel423[[#This Row],[Kolom29632]]+Tabel423[[#This Row],[Kolom2964]])/16</f>
        <v>0.37410714285714286</v>
      </c>
      <c r="BK26" s="22">
        <f>(10*Tabel423[[#This Row],[Kolom29634]]+5*Tabel423[[#This Row],[Kolom29635]]+3*Tabel423[[#This Row],[Kolom29633]]+2*Tabel423[[#This Row],[Kolom29632]])/20</f>
        <v>0.28500000000000003</v>
      </c>
      <c r="BL26" s="22">
        <f>Tabel423[[#This Row],[Kolom29]]</f>
        <v>0.36363636363636365</v>
      </c>
      <c r="BM26" s="36">
        <f>_xlfn.RANK.EQ(Tabel423[[#This Row],[Kolom29]],$AI$7:$AI$37)</f>
        <v>16</v>
      </c>
      <c r="BN26" s="36">
        <f>_xlfn.RANK.EQ(Tabel423[[#This Row],[Kolom293]],BH$7:BH$37)</f>
        <v>2</v>
      </c>
      <c r="BO26" s="36">
        <f>_xlfn.RANK.EQ(Tabel423[[#This Row],[Kolom2933]],BI$7:BI$37)</f>
        <v>2</v>
      </c>
      <c r="BP26" s="36">
        <f>_xlfn.RANK.EQ(Tabel423[[#This Row],[Kolom29332]],BJ$7:BJ$37)</f>
        <v>10</v>
      </c>
      <c r="BQ26" s="36">
        <f>_xlfn.RANK.EQ(Tabel423[[#This Row],[Kolom2934]],BK$7:BK$37)</f>
        <v>11</v>
      </c>
      <c r="BR26" s="23"/>
    </row>
    <row r="27" spans="1:70">
      <c r="B27" s="21" t="str">
        <f>'Symptomen (alle)'!A22</f>
        <v xml:space="preserve">Dropsy/Septicaemia/Ascites </v>
      </c>
      <c r="C27">
        <f>'Symptomen (alle)'!B22</f>
        <v>0</v>
      </c>
      <c r="D27" s="21">
        <f>IF(D$4="x",'Symptomen (alle)'!C22,0)</f>
        <v>0</v>
      </c>
      <c r="E27" s="21">
        <f>IF(E$4="x",'Symptomen (alle)'!D22,0)</f>
        <v>3</v>
      </c>
      <c r="F27" s="21">
        <f>IF(F$4="x",'Symptomen (alle)'!E22,0)</f>
        <v>5</v>
      </c>
      <c r="G27" s="21">
        <f>IF(G$4="x",'Symptomen (alle)'!F22,0)</f>
        <v>10</v>
      </c>
      <c r="H27" s="21">
        <f>IF(H$4="x",'Symptomen (alle)'!G22,0)</f>
        <v>3</v>
      </c>
      <c r="I27" s="21">
        <f>IF(I$4="x",'Symptomen (alle)'!H22,0)</f>
        <v>0</v>
      </c>
      <c r="J27" s="21">
        <f>IF(J$4="x",'Symptomen (alle)'!I22,0)</f>
        <v>1</v>
      </c>
      <c r="K27" s="21">
        <f>IF(K$4="x",'Symptomen (alle)'!J22,0)</f>
        <v>0</v>
      </c>
      <c r="L27" s="21">
        <f>IF(L$4="x",'Symptomen (alle)'!K22,0)</f>
        <v>0</v>
      </c>
      <c r="M27" s="21">
        <f>IF(M$4="x",'Symptomen (alle)'!L22,0)</f>
        <v>0</v>
      </c>
      <c r="N27" s="21">
        <f>IF(N$4="x",'Symptomen (alle)'!M22,0)</f>
        <v>0</v>
      </c>
      <c r="O27" s="21">
        <f>IF(O$4="x",'Symptomen (alle)'!N22,0)</f>
        <v>0</v>
      </c>
      <c r="P27" s="21">
        <f>IF(P$4="x",'Symptomen (alle)'!O22,0)</f>
        <v>0</v>
      </c>
      <c r="Q27" s="21">
        <f>IF(Q$4="x",'Symptomen (alle)'!P22,0)</f>
        <v>0</v>
      </c>
      <c r="R27" s="21">
        <f>IF(R$4="x",'Symptomen (alle)'!Q22,0)</f>
        <v>0</v>
      </c>
      <c r="S27" s="21">
        <f>IF(S$4="x",'Symptomen (alle)'!R22,0)</f>
        <v>0</v>
      </c>
      <c r="T27" s="21">
        <f>IF(T$4="x",'Symptomen (alle)'!S22,0)</f>
        <v>0</v>
      </c>
      <c r="U27" s="21">
        <f>IF(U$4="x",'Symptomen (alle)'!T22,0)</f>
        <v>0</v>
      </c>
      <c r="V27" s="21">
        <f>IF(V$4="x",'Symptomen (alle)'!U22,0)</f>
        <v>0</v>
      </c>
      <c r="W27" s="21">
        <f>IF(W$4="x",'Symptomen (alle)'!V22,0)</f>
        <v>0</v>
      </c>
      <c r="X27" s="21">
        <f>IF(X$4="x",'Symptomen (alle)'!W22,0)</f>
        <v>2</v>
      </c>
      <c r="Y27" s="21">
        <f>IF(Y$4="x",'Symptomen (alle)'!X22,0)</f>
        <v>0</v>
      </c>
      <c r="Z27" s="21">
        <f>IF(Z$4="x",'Symptomen (alle)'!Y22,0)</f>
        <v>0</v>
      </c>
      <c r="AA27" s="21">
        <f>IF(AA$4="x",'Symptomen (alle)'!Z22,0)</f>
        <v>0</v>
      </c>
      <c r="AB27" s="21">
        <f>IF(AB$4="x",'Symptomen (alle)'!AA22,0)</f>
        <v>0</v>
      </c>
      <c r="AC27" s="21">
        <f>IF(AC$4="x",'Symptomen (alle)'!AB22,0)</f>
        <v>1</v>
      </c>
      <c r="AD27" s="21">
        <f>IF(AD$4="x",'Symptomen (alle)'!AC22,0)</f>
        <v>3</v>
      </c>
      <c r="AE27" s="21">
        <f t="shared" si="0"/>
        <v>28</v>
      </c>
      <c r="AF27" s="21">
        <f>HLOOKUP($B$4,ZiekteFam!$B$1:$T$32,AG27,FALSE)</f>
        <v>3</v>
      </c>
      <c r="AG27" s="32">
        <f t="shared" si="1"/>
        <v>22</v>
      </c>
      <c r="AH27" s="32">
        <f>SUM('Symptomen (alle)'!D22:AC22)</f>
        <v>44</v>
      </c>
      <c r="AI27" s="22">
        <f>Tabel423[[#This Row],[Kolom25]]/Tabel423[[#This Row],[Kolom28]]</f>
        <v>0.63636363636363635</v>
      </c>
      <c r="AJ27" s="36">
        <f t="shared" si="2"/>
        <v>4</v>
      </c>
      <c r="AK27" s="36">
        <f t="shared" si="3"/>
        <v>1</v>
      </c>
      <c r="AL27" s="36">
        <f t="shared" si="4"/>
        <v>1</v>
      </c>
      <c r="AM27" s="36">
        <f t="shared" si="5"/>
        <v>1</v>
      </c>
      <c r="AN27" s="36">
        <f t="shared" si="6"/>
        <v>0</v>
      </c>
      <c r="AO27" s="36">
        <f>COUNTIF(Tabel423[[#This Row],[Kolom3]:[Kolom222]],10)</f>
        <v>1</v>
      </c>
      <c r="AP27" s="36">
        <f>COUNTIF(Tabel423[[#This Row],[Kolom3]:[Kolom222]],5)</f>
        <v>1</v>
      </c>
      <c r="AQ27" s="36">
        <f>COUNTIF(Tabel423[[#This Row],[Kolom3]:[Kolom222]],3)</f>
        <v>3</v>
      </c>
      <c r="AR27" s="36">
        <f>COUNTIF(Tabel423[[#This Row],[Kolom3]:[Kolom222]],2)</f>
        <v>1</v>
      </c>
      <c r="AS27" s="36">
        <f>COUNTIF(Tabel423[[#This Row],[Kolom3]:[Kolom222]],1)</f>
        <v>2</v>
      </c>
      <c r="AT27" s="36">
        <f>COUNTIF('Symptomen (alle)'!$D22:$AC22,10)</f>
        <v>2</v>
      </c>
      <c r="AU27" s="36">
        <f>COUNTIF('Symptomen (alle)'!$D22:$AC22,5)</f>
        <v>1</v>
      </c>
      <c r="AV27" s="36">
        <f>COUNTIF('Symptomen (alle)'!$D22:$AC22,3)</f>
        <v>4</v>
      </c>
      <c r="AW27" s="36">
        <f>COUNTIF('Symptomen (alle)'!$D22:$AC22,2)</f>
        <v>2</v>
      </c>
      <c r="AX27" s="36">
        <f>COUNTIF('Symptomen (alle)'!$D22:$AC22,1)</f>
        <v>3</v>
      </c>
      <c r="AY27" s="22">
        <f>IF(Tabel423[[#This Row],[Kolom300]]=0,0,Tabel423[[#This Row],[Kolom2972]]/Tabel423[[#This Row],[Kolom300]])</f>
        <v>1</v>
      </c>
      <c r="AZ27" s="22">
        <f>IF(Tabel423[[#This Row],[Kolom301]]=0,0,Tabel423[[#This Row],[Kolom2973]]/Tabel423[[#This Row],[Kolom301]])</f>
        <v>1</v>
      </c>
      <c r="BA27" s="22">
        <f>IF(Tabel423[[#This Row],[Kolom294]]=0,0,Tabel423[[#This Row],[Kolom298]]/Tabel423[[#This Row],[Kolom294]])</f>
        <v>0.33333333333333331</v>
      </c>
      <c r="BB27" s="22">
        <f>IF(Tabel423[[#This Row],[Kolom295]]=0,0,Tabel423[[#This Row],[Kolom299]]/Tabel423[[#This Row],[Kolom295]])</f>
        <v>0</v>
      </c>
      <c r="BC27" s="22">
        <f>IF(Tabel423[[#This Row],[Kolom2965]]=0,0,Tabel423[[#This Row],[Kolom300]]/Tabel423[[#This Row],[Kolom2965]])</f>
        <v>0.5</v>
      </c>
      <c r="BD27" s="22">
        <f>IF(Tabel423[[#This Row],[Kolom2966]]=0,0,Tabel423[[#This Row],[Kolom301]]/Tabel423[[#This Row],[Kolom2966]])</f>
        <v>1</v>
      </c>
      <c r="BE27" s="22">
        <f>IF(Tabel423[[#This Row],[Kolom2962]]=0,0,Tabel423[[#This Row],[Kolom294]]/Tabel423[[#This Row],[Kolom2962]])</f>
        <v>0.75</v>
      </c>
      <c r="BF27" s="22">
        <f>IF(Tabel423[[#This Row],[Kolom29622]]=0,0,Tabel423[[#This Row],[Kolom295]]/Tabel423[[#This Row],[Kolom29622]])</f>
        <v>0.5</v>
      </c>
      <c r="BG27" s="22">
        <f>IF(Tabel423[[#This Row],[Kolom29623]]=0,0,Tabel423[[#This Row],[Kolom296]]/Tabel423[[#This Row],[Kolom29623]])</f>
        <v>0.66666666666666663</v>
      </c>
      <c r="BH27" s="22">
        <f>(10*Tabel423[[#This Row],[Kolom296232]]+5*Tabel423[[#This Row],[Kolom296233]]+3*Tabel423[[#This Row],[Kolom29624]]+2*Tabel423[[#This Row],[Kolom2963]]+Tabel423[[#This Row],[Kolom29]])/21</f>
        <v>0.79220779220779225</v>
      </c>
      <c r="BI27" s="22">
        <f>(10*Tabel423[[#This Row],[Kolom296232]]+5*Tabel423[[#This Row],[Kolom296233]]+3*Tabel423[[#This Row],[Kolom29624]]+2*Tabel423[[#This Row],[Kolom2963]])/20</f>
        <v>0.8</v>
      </c>
      <c r="BJ27" s="22">
        <f>(10*Tabel423[[#This Row],[Kolom29634]]+3*Tabel423[[#This Row],[Kolom29633]]+2*Tabel423[[#This Row],[Kolom29632]]+Tabel423[[#This Row],[Kolom2964]])/16</f>
        <v>0.55729166666666663</v>
      </c>
      <c r="BK27" s="22">
        <f>(10*Tabel423[[#This Row],[Kolom29634]]+5*Tabel423[[#This Row],[Kolom29635]]+3*Tabel423[[#This Row],[Kolom29633]]+2*Tabel423[[#This Row],[Kolom29632]])/20</f>
        <v>0.66249999999999998</v>
      </c>
      <c r="BL27" s="22">
        <f>Tabel423[[#This Row],[Kolom29]]</f>
        <v>0.63636363636363635</v>
      </c>
      <c r="BM27" s="36">
        <f>_xlfn.RANK.EQ(Tabel423[[#This Row],[Kolom29]],$AI$7:$AI$37)</f>
        <v>3</v>
      </c>
      <c r="BN27" s="36">
        <f>_xlfn.RANK.EQ(Tabel423[[#This Row],[Kolom293]],BH$7:BH$37)</f>
        <v>1</v>
      </c>
      <c r="BO27" s="36">
        <f>_xlfn.RANK.EQ(Tabel423[[#This Row],[Kolom2933]],BI$7:BI$37)</f>
        <v>1</v>
      </c>
      <c r="BP27" s="36">
        <f>_xlfn.RANK.EQ(Tabel423[[#This Row],[Kolom29332]],BJ$7:BJ$37)</f>
        <v>7</v>
      </c>
      <c r="BQ27" s="36">
        <f>_xlfn.RANK.EQ(Tabel423[[#This Row],[Kolom2934]],BK$7:BK$37)</f>
        <v>1</v>
      </c>
      <c r="BR27" s="23"/>
    </row>
    <row r="28" spans="1:70" s="61" customFormat="1">
      <c r="A28" s="86"/>
      <c r="B28" s="59" t="str">
        <f>'Symptomen (alle)'!A23</f>
        <v>Mycobacteria, Fish tuberculosis, TB, FishTB, FishMB</v>
      </c>
      <c r="C28" s="83">
        <f>'Symptomen (alle)'!B23</f>
        <v>0</v>
      </c>
      <c r="D28" s="21">
        <f>IF(D$4="x",'Symptomen (alle)'!C23,0)</f>
        <v>0</v>
      </c>
      <c r="E28" s="21">
        <f>IF(E$4="x",'Symptomen (alle)'!D23,0)</f>
        <v>10</v>
      </c>
      <c r="F28" s="21">
        <f>IF(F$4="x",'Symptomen (alle)'!E23,0)</f>
        <v>3</v>
      </c>
      <c r="G28" s="21">
        <f>IF(G$4="x",'Symptomen (alle)'!F23,0)</f>
        <v>3</v>
      </c>
      <c r="H28" s="21">
        <f>IF(H$4="x",'Symptomen (alle)'!G23,0)</f>
        <v>3</v>
      </c>
      <c r="I28" s="21">
        <f>IF(I$4="x",'Symptomen (alle)'!H23,0)</f>
        <v>0</v>
      </c>
      <c r="J28" s="21">
        <f>IF(J$4="x",'Symptomen (alle)'!I23,0)</f>
        <v>2</v>
      </c>
      <c r="K28" s="21">
        <f>IF(K$4="x",'Symptomen (alle)'!J23,0)</f>
        <v>0</v>
      </c>
      <c r="L28" s="21">
        <f>IF(L$4="x",'Symptomen (alle)'!K23,0)</f>
        <v>0</v>
      </c>
      <c r="M28" s="21">
        <f>IF(M$4="x",'Symptomen (alle)'!L23,0)</f>
        <v>0</v>
      </c>
      <c r="N28" s="21">
        <f>IF(N$4="x",'Symptomen (alle)'!M23,0)</f>
        <v>0</v>
      </c>
      <c r="O28" s="21">
        <f>IF(O$4="x",'Symptomen (alle)'!N23,0)</f>
        <v>0</v>
      </c>
      <c r="P28" s="21">
        <f>IF(P$4="x",'Symptomen (alle)'!O23,0)</f>
        <v>0</v>
      </c>
      <c r="Q28" s="21">
        <f>IF(Q$4="x",'Symptomen (alle)'!P23,0)</f>
        <v>0</v>
      </c>
      <c r="R28" s="21">
        <f>IF(R$4="x",'Symptomen (alle)'!Q23,0)</f>
        <v>0</v>
      </c>
      <c r="S28" s="21">
        <f>IF(S$4="x",'Symptomen (alle)'!R23,0)</f>
        <v>0</v>
      </c>
      <c r="T28" s="21">
        <f>IF(T$4="x",'Symptomen (alle)'!S23,0)</f>
        <v>0</v>
      </c>
      <c r="U28" s="21">
        <f>IF(U$4="x",'Symptomen (alle)'!T23,0)</f>
        <v>0</v>
      </c>
      <c r="V28" s="21">
        <f>IF(V$4="x",'Symptomen (alle)'!U23,0)</f>
        <v>0</v>
      </c>
      <c r="W28" s="21">
        <f>IF(W$4="x",'Symptomen (alle)'!V23,0)</f>
        <v>0</v>
      </c>
      <c r="X28" s="21">
        <f>IF(X$4="x",'Symptomen (alle)'!W23,0)</f>
        <v>1</v>
      </c>
      <c r="Y28" s="21">
        <f>IF(Y$4="x",'Symptomen (alle)'!X23,0)</f>
        <v>0</v>
      </c>
      <c r="Z28" s="21">
        <f>IF(Z$4="x",'Symptomen (alle)'!Y23,0)</f>
        <v>0</v>
      </c>
      <c r="AA28" s="21">
        <f>IF(AA$4="x",'Symptomen (alle)'!Z23,0)</f>
        <v>0</v>
      </c>
      <c r="AB28" s="21">
        <f>IF(AB$4="x",'Symptomen (alle)'!AA23,0)</f>
        <v>0</v>
      </c>
      <c r="AC28" s="21">
        <f>IF(AC$4="x",'Symptomen (alle)'!AB23,0)</f>
        <v>10</v>
      </c>
      <c r="AD28" s="21">
        <f>IF(AD$4="x",'Symptomen (alle)'!AC23,0)</f>
        <v>3</v>
      </c>
      <c r="AE28" s="21">
        <f t="shared" si="0"/>
        <v>35</v>
      </c>
      <c r="AF28" s="21">
        <f>HLOOKUP($B$4,ZiekteFam!$B$1:$T$32,AG28,FALSE)</f>
        <v>3</v>
      </c>
      <c r="AG28" s="84">
        <f t="shared" si="1"/>
        <v>23</v>
      </c>
      <c r="AH28" s="32">
        <f>SUM('Symptomen (alle)'!D23:AC23)</f>
        <v>50</v>
      </c>
      <c r="AI28" s="85">
        <f>Tabel423[[#This Row],[Kolom25]]/Tabel423[[#This Row],[Kolom28]]</f>
        <v>0.7</v>
      </c>
      <c r="AJ28" s="36">
        <f t="shared" si="2"/>
        <v>4</v>
      </c>
      <c r="AK28" s="36">
        <f t="shared" si="3"/>
        <v>0</v>
      </c>
      <c r="AL28" s="36">
        <f t="shared" si="4"/>
        <v>0</v>
      </c>
      <c r="AM28" s="36">
        <f t="shared" si="5"/>
        <v>3</v>
      </c>
      <c r="AN28" s="36">
        <f t="shared" si="6"/>
        <v>1</v>
      </c>
      <c r="AO28" s="36">
        <f>COUNTIF(Tabel423[[#This Row],[Kolom3]:[Kolom222]],10)</f>
        <v>2</v>
      </c>
      <c r="AP28" s="36">
        <f>COUNTIF(Tabel423[[#This Row],[Kolom3]:[Kolom222]],5)</f>
        <v>0</v>
      </c>
      <c r="AQ28" s="83">
        <f>COUNTIF(Tabel423[[#This Row],[Kolom3]:[Kolom222]],3)</f>
        <v>4</v>
      </c>
      <c r="AR28" s="83">
        <f>COUNTIF(Tabel423[[#This Row],[Kolom3]:[Kolom222]],2)</f>
        <v>1</v>
      </c>
      <c r="AS28" s="83">
        <f>COUNTIF(Tabel423[[#This Row],[Kolom3]:[Kolom222]],1)</f>
        <v>1</v>
      </c>
      <c r="AT28" s="36">
        <f>COUNTIF('Symptomen (alle)'!$D23:$AC23,10)</f>
        <v>3</v>
      </c>
      <c r="AU28" s="36">
        <f>COUNTIF('Symptomen (alle)'!$D23:$AC23,5)</f>
        <v>0</v>
      </c>
      <c r="AV28" s="36">
        <f>COUNTIF('Symptomen (alle)'!$D23:$AC23,3)</f>
        <v>4</v>
      </c>
      <c r="AW28" s="36">
        <f>COUNTIF('Symptomen (alle)'!$D23:$AC23,2)</f>
        <v>3</v>
      </c>
      <c r="AX28" s="36">
        <f>COUNTIF('Symptomen (alle)'!$D23:$AC23,1)</f>
        <v>2</v>
      </c>
      <c r="AY28" s="22">
        <f>IF(Tabel423[[#This Row],[Kolom300]]=0,0,Tabel423[[#This Row],[Kolom2972]]/Tabel423[[#This Row],[Kolom300]])</f>
        <v>0</v>
      </c>
      <c r="AZ28" s="22">
        <f>IF(Tabel423[[#This Row],[Kolom301]]=0,0,Tabel423[[#This Row],[Kolom2973]]/Tabel423[[#This Row],[Kolom301]])</f>
        <v>0</v>
      </c>
      <c r="BA28" s="85">
        <f>IF(Tabel423[[#This Row],[Kolom294]]=0,0,Tabel423[[#This Row],[Kolom298]]/Tabel423[[#This Row],[Kolom294]])</f>
        <v>0.75</v>
      </c>
      <c r="BB28" s="85">
        <f>IF(Tabel423[[#This Row],[Kolom295]]=0,0,Tabel423[[#This Row],[Kolom299]]/Tabel423[[#This Row],[Kolom295]])</f>
        <v>1</v>
      </c>
      <c r="BC28" s="85">
        <f>IF(Tabel423[[#This Row],[Kolom2965]]=0,0,Tabel423[[#This Row],[Kolom300]]/Tabel423[[#This Row],[Kolom2965]])</f>
        <v>0.66666666666666663</v>
      </c>
      <c r="BD28" s="85">
        <f>IF(Tabel423[[#This Row],[Kolom2966]]=0,0,Tabel423[[#This Row],[Kolom301]]/Tabel423[[#This Row],[Kolom2966]])</f>
        <v>0</v>
      </c>
      <c r="BE28" s="85">
        <f>IF(Tabel423[[#This Row],[Kolom2962]]=0,0,Tabel423[[#This Row],[Kolom294]]/Tabel423[[#This Row],[Kolom2962]])</f>
        <v>1</v>
      </c>
      <c r="BF28" s="85">
        <f>IF(Tabel423[[#This Row],[Kolom29622]]=0,0,Tabel423[[#This Row],[Kolom295]]/Tabel423[[#This Row],[Kolom29622]])</f>
        <v>0.33333333333333331</v>
      </c>
      <c r="BG28" s="85">
        <f>IF(Tabel423[[#This Row],[Kolom29623]]=0,0,Tabel423[[#This Row],[Kolom296]]/Tabel423[[#This Row],[Kolom29623]])</f>
        <v>0.5</v>
      </c>
      <c r="BH28" s="22">
        <f>(10*Tabel423[[#This Row],[Kolom296232]]+5*Tabel423[[#This Row],[Kolom296233]]+3*Tabel423[[#This Row],[Kolom29624]]+2*Tabel423[[#This Row],[Kolom2963]]+Tabel423[[#This Row],[Kolom29]])/21</f>
        <v>0.23571428571428571</v>
      </c>
      <c r="BI28" s="22">
        <f>(10*Tabel423[[#This Row],[Kolom296232]]+5*Tabel423[[#This Row],[Kolom296233]]+3*Tabel423[[#This Row],[Kolom29624]]+2*Tabel423[[#This Row],[Kolom2963]])/20</f>
        <v>0.21249999999999999</v>
      </c>
      <c r="BJ28" s="85">
        <f>(10*Tabel423[[#This Row],[Kolom29634]]+3*Tabel423[[#This Row],[Kolom29633]]+2*Tabel423[[#This Row],[Kolom29632]]+Tabel423[[#This Row],[Kolom2964]])/16</f>
        <v>0.67708333333333326</v>
      </c>
      <c r="BK28" s="22">
        <f>(10*Tabel423[[#This Row],[Kolom29634]]+5*Tabel423[[#This Row],[Kolom29635]]+3*Tabel423[[#This Row],[Kolom29633]]+2*Tabel423[[#This Row],[Kolom29632]])/20</f>
        <v>0.51666666666666661</v>
      </c>
      <c r="BL28" s="85">
        <f>Tabel423[[#This Row],[Kolom29]]</f>
        <v>0.7</v>
      </c>
      <c r="BM28" s="36">
        <f>_xlfn.RANK.EQ(Tabel423[[#This Row],[Kolom29]],$AI$7:$AI$37)</f>
        <v>2</v>
      </c>
      <c r="BN28" s="36">
        <f>_xlfn.RANK.EQ(Tabel423[[#This Row],[Kolom293]],BH$7:BH$37)</f>
        <v>8</v>
      </c>
      <c r="BO28" s="36">
        <f>_xlfn.RANK.EQ(Tabel423[[#This Row],[Kolom2933]],BI$7:BI$37)</f>
        <v>8</v>
      </c>
      <c r="BP28" s="36">
        <f>_xlfn.RANK.EQ(Tabel423[[#This Row],[Kolom29332]],BJ$7:BJ$37)</f>
        <v>5</v>
      </c>
      <c r="BQ28" s="36">
        <f>_xlfn.RANK.EQ(Tabel423[[#This Row],[Kolom2934]],BK$7:BK$37)</f>
        <v>8</v>
      </c>
      <c r="BR28" s="86"/>
    </row>
    <row r="29" spans="1:70" s="61" customFormat="1">
      <c r="A29" s="86"/>
      <c r="B29" s="59" t="str">
        <f>'Symptomen (alle)'!A24</f>
        <v>Bacterial infection, Other</v>
      </c>
      <c r="C29" s="83">
        <f>'Symptomen (alle)'!B24</f>
        <v>0</v>
      </c>
      <c r="D29" s="21">
        <f>IF(D$4="x",'Symptomen (alle)'!C24,0)</f>
        <v>0</v>
      </c>
      <c r="E29" s="21">
        <f>IF(E$4="x",'Symptomen (alle)'!D24,0)</f>
        <v>2</v>
      </c>
      <c r="F29" s="21">
        <f>IF(F$4="x",'Symptomen (alle)'!E24,0)</f>
        <v>2</v>
      </c>
      <c r="G29" s="21">
        <f>IF(G$4="x",'Symptomen (alle)'!F24,0)</f>
        <v>2</v>
      </c>
      <c r="H29" s="21">
        <f>IF(H$4="x",'Symptomen (alle)'!G24,0)</f>
        <v>3</v>
      </c>
      <c r="I29" s="21">
        <f>IF(I$4="x",'Symptomen (alle)'!H24,0)</f>
        <v>0</v>
      </c>
      <c r="J29" s="21">
        <f>IF(J$4="x",'Symptomen (alle)'!I24,0)</f>
        <v>2</v>
      </c>
      <c r="K29" s="21">
        <f>IF(K$4="x",'Symptomen (alle)'!J24,0)</f>
        <v>0</v>
      </c>
      <c r="L29" s="21">
        <f>IF(L$4="x",'Symptomen (alle)'!K24,0)</f>
        <v>0</v>
      </c>
      <c r="M29" s="21">
        <f>IF(M$4="x",'Symptomen (alle)'!L24,0)</f>
        <v>0</v>
      </c>
      <c r="N29" s="21">
        <f>IF(N$4="x",'Symptomen (alle)'!M24,0)</f>
        <v>0</v>
      </c>
      <c r="O29" s="21">
        <f>IF(O$4="x",'Symptomen (alle)'!N24,0)</f>
        <v>0</v>
      </c>
      <c r="P29" s="21">
        <f>IF(P$4="x",'Symptomen (alle)'!O24,0)</f>
        <v>0</v>
      </c>
      <c r="Q29" s="21">
        <f>IF(Q$4="x",'Symptomen (alle)'!P24,0)</f>
        <v>0</v>
      </c>
      <c r="R29" s="21">
        <f>IF(R$4="x",'Symptomen (alle)'!Q24,0)</f>
        <v>0</v>
      </c>
      <c r="S29" s="21">
        <f>IF(S$4="x",'Symptomen (alle)'!R24,0)</f>
        <v>0</v>
      </c>
      <c r="T29" s="21">
        <f>IF(T$4="x",'Symptomen (alle)'!S24,0)</f>
        <v>0</v>
      </c>
      <c r="U29" s="21">
        <f>IF(U$4="x",'Symptomen (alle)'!T24,0)</f>
        <v>0</v>
      </c>
      <c r="V29" s="21">
        <f>IF(V$4="x",'Symptomen (alle)'!U24,0)</f>
        <v>0</v>
      </c>
      <c r="W29" s="21">
        <f>IF(W$4="x",'Symptomen (alle)'!V24,0)</f>
        <v>0</v>
      </c>
      <c r="X29" s="21">
        <f>IF(X$4="x",'Symptomen (alle)'!W24,0)</f>
        <v>3</v>
      </c>
      <c r="Y29" s="21">
        <f>IF(Y$4="x",'Symptomen (alle)'!X24,0)</f>
        <v>0</v>
      </c>
      <c r="Z29" s="21">
        <f>IF(Z$4="x",'Symptomen (alle)'!Y24,0)</f>
        <v>0</v>
      </c>
      <c r="AA29" s="21">
        <f>IF(AA$4="x",'Symptomen (alle)'!Z24,0)</f>
        <v>0</v>
      </c>
      <c r="AB29" s="21">
        <f>IF(AB$4="x",'Symptomen (alle)'!AA24,0)</f>
        <v>0</v>
      </c>
      <c r="AC29" s="21">
        <f>IF(AC$4="x",'Symptomen (alle)'!AB24,0)</f>
        <v>2</v>
      </c>
      <c r="AD29" s="21">
        <f>IF(AD$4="x",'Symptomen (alle)'!AC24,0)</f>
        <v>2</v>
      </c>
      <c r="AE29" s="21">
        <f t="shared" si="0"/>
        <v>18</v>
      </c>
      <c r="AF29" s="21">
        <f>HLOOKUP($B$4,ZiekteFam!$B$1:$T$32,AG29,FALSE)</f>
        <v>3</v>
      </c>
      <c r="AG29" s="84">
        <f t="shared" si="1"/>
        <v>24</v>
      </c>
      <c r="AH29" s="32">
        <f>SUM('Symptomen (alle)'!D24:AC24)</f>
        <v>34</v>
      </c>
      <c r="AI29" s="85">
        <f>Tabel423[[#This Row],[Kolom25]]/Tabel423[[#This Row],[Kolom28]]</f>
        <v>0.52941176470588236</v>
      </c>
      <c r="AJ29" s="36">
        <f t="shared" si="2"/>
        <v>4</v>
      </c>
      <c r="AK29" s="36">
        <f t="shared" si="3"/>
        <v>0</v>
      </c>
      <c r="AL29" s="36">
        <f t="shared" si="4"/>
        <v>0</v>
      </c>
      <c r="AM29" s="36">
        <f t="shared" si="5"/>
        <v>1</v>
      </c>
      <c r="AN29" s="36">
        <f t="shared" si="6"/>
        <v>3</v>
      </c>
      <c r="AO29" s="36">
        <f>COUNTIF(Tabel423[[#This Row],[Kolom3]:[Kolom222]],10)</f>
        <v>0</v>
      </c>
      <c r="AP29" s="36">
        <f>COUNTIF(Tabel423[[#This Row],[Kolom3]:[Kolom222]],5)</f>
        <v>0</v>
      </c>
      <c r="AQ29" s="83">
        <f>COUNTIF(Tabel423[[#This Row],[Kolom3]:[Kolom222]],3)</f>
        <v>2</v>
      </c>
      <c r="AR29" s="83">
        <f>COUNTIF(Tabel423[[#This Row],[Kolom3]:[Kolom222]],2)</f>
        <v>6</v>
      </c>
      <c r="AS29" s="83">
        <f>COUNTIF(Tabel423[[#This Row],[Kolom3]:[Kolom222]],1)</f>
        <v>0</v>
      </c>
      <c r="AT29" s="36">
        <f>COUNTIF('Symptomen (alle)'!$D24:$AC24,10)</f>
        <v>0</v>
      </c>
      <c r="AU29" s="36">
        <f>COUNTIF('Symptomen (alle)'!$D24:$AC24,5)</f>
        <v>1</v>
      </c>
      <c r="AV29" s="36">
        <f>COUNTIF('Symptomen (alle)'!$D24:$AC24,3)</f>
        <v>4</v>
      </c>
      <c r="AW29" s="36">
        <f>COUNTIF('Symptomen (alle)'!$D24:$AC24,2)</f>
        <v>7</v>
      </c>
      <c r="AX29" s="36">
        <f>COUNTIF('Symptomen (alle)'!$D24:$AC24,1)</f>
        <v>3</v>
      </c>
      <c r="AY29" s="22">
        <f>IF(Tabel423[[#This Row],[Kolom300]]=0,0,Tabel423[[#This Row],[Kolom2972]]/Tabel423[[#This Row],[Kolom300]])</f>
        <v>0</v>
      </c>
      <c r="AZ29" s="22">
        <f>IF(Tabel423[[#This Row],[Kolom301]]=0,0,Tabel423[[#This Row],[Kolom2973]]/Tabel423[[#This Row],[Kolom301]])</f>
        <v>0</v>
      </c>
      <c r="BA29" s="85">
        <f>IF(Tabel423[[#This Row],[Kolom294]]=0,0,Tabel423[[#This Row],[Kolom298]]/Tabel423[[#This Row],[Kolom294]])</f>
        <v>0.5</v>
      </c>
      <c r="BB29" s="85">
        <f>IF(Tabel423[[#This Row],[Kolom295]]=0,0,Tabel423[[#This Row],[Kolom299]]/Tabel423[[#This Row],[Kolom295]])</f>
        <v>0.5</v>
      </c>
      <c r="BC29" s="85">
        <f>IF(Tabel423[[#This Row],[Kolom2965]]=0,0,Tabel423[[#This Row],[Kolom300]]/Tabel423[[#This Row],[Kolom2965]])</f>
        <v>0</v>
      </c>
      <c r="BD29" s="85">
        <f>IF(Tabel423[[#This Row],[Kolom2966]]=0,0,Tabel423[[#This Row],[Kolom301]]/Tabel423[[#This Row],[Kolom2966]])</f>
        <v>0</v>
      </c>
      <c r="BE29" s="85">
        <f>IF(Tabel423[[#This Row],[Kolom2962]]=0,0,Tabel423[[#This Row],[Kolom294]]/Tabel423[[#This Row],[Kolom2962]])</f>
        <v>0.5</v>
      </c>
      <c r="BF29" s="85">
        <f>IF(Tabel423[[#This Row],[Kolom29622]]=0,0,Tabel423[[#This Row],[Kolom295]]/Tabel423[[#This Row],[Kolom29622]])</f>
        <v>0.8571428571428571</v>
      </c>
      <c r="BG29" s="85">
        <f>IF(Tabel423[[#This Row],[Kolom29623]]=0,0,Tabel423[[#This Row],[Kolom296]]/Tabel423[[#This Row],[Kolom29623]])</f>
        <v>0</v>
      </c>
      <c r="BH29" s="22">
        <f>(10*Tabel423[[#This Row],[Kolom296232]]+5*Tabel423[[#This Row],[Kolom296233]]+3*Tabel423[[#This Row],[Kolom29624]]+2*Tabel423[[#This Row],[Kolom2963]]+Tabel423[[#This Row],[Kolom29]])/21</f>
        <v>0.14425770308123248</v>
      </c>
      <c r="BI29" s="22">
        <f>(10*Tabel423[[#This Row],[Kolom296232]]+5*Tabel423[[#This Row],[Kolom296233]]+3*Tabel423[[#This Row],[Kolom29624]]+2*Tabel423[[#This Row],[Kolom2963]])/20</f>
        <v>0.125</v>
      </c>
      <c r="BJ29" s="85">
        <f>(10*Tabel423[[#This Row],[Kolom29634]]+3*Tabel423[[#This Row],[Kolom29633]]+2*Tabel423[[#This Row],[Kolom29632]]+Tabel423[[#This Row],[Kolom2964]])/16</f>
        <v>0.20089285714285715</v>
      </c>
      <c r="BK29" s="22">
        <f>(10*Tabel423[[#This Row],[Kolom29634]]+5*Tabel423[[#This Row],[Kolom29635]]+3*Tabel423[[#This Row],[Kolom29633]]+2*Tabel423[[#This Row],[Kolom29632]])/20</f>
        <v>0.16071428571428573</v>
      </c>
      <c r="BL29" s="85">
        <f>Tabel423[[#This Row],[Kolom29]]</f>
        <v>0.52941176470588236</v>
      </c>
      <c r="BM29" s="36">
        <f>_xlfn.RANK.EQ(Tabel423[[#This Row],[Kolom29]],$AI$7:$AI$37)</f>
        <v>7</v>
      </c>
      <c r="BN29" s="36">
        <f>_xlfn.RANK.EQ(Tabel423[[#This Row],[Kolom293]],BH$7:BH$37)</f>
        <v>11</v>
      </c>
      <c r="BO29" s="36">
        <f>_xlfn.RANK.EQ(Tabel423[[#This Row],[Kolom2933]],BI$7:BI$37)</f>
        <v>11</v>
      </c>
      <c r="BP29" s="36">
        <f>_xlfn.RANK.EQ(Tabel423[[#This Row],[Kolom29332]],BJ$7:BJ$37)</f>
        <v>16</v>
      </c>
      <c r="BQ29" s="36">
        <f>_xlfn.RANK.EQ(Tabel423[[#This Row],[Kolom2934]],BK$7:BK$37)</f>
        <v>17</v>
      </c>
      <c r="BR29" s="86"/>
    </row>
    <row r="30" spans="1:70">
      <c r="B30" s="21" t="str">
        <f>'Symptomen (alle)'!A25</f>
        <v>Lymphocystis/Cauliflower disease</v>
      </c>
      <c r="C30" s="21">
        <f>'Symptomen (alle)'!B25</f>
        <v>1</v>
      </c>
      <c r="D30" s="21">
        <f>IF(D$4="x",'Symptomen (alle)'!C25,0)</f>
        <v>0</v>
      </c>
      <c r="E30" s="21">
        <f>IF(E$4="x",'Symptomen (alle)'!D25,0)</f>
        <v>2</v>
      </c>
      <c r="F30" s="21">
        <f>IF(F$4="x",'Symptomen (alle)'!E25,0)</f>
        <v>1</v>
      </c>
      <c r="G30" s="21">
        <f>IF(G$4="x",'Symptomen (alle)'!F25,0)</f>
        <v>1</v>
      </c>
      <c r="H30" s="21">
        <f>IF(H$4="x",'Symptomen (alle)'!G25,0)</f>
        <v>1</v>
      </c>
      <c r="I30" s="21">
        <f>IF(I$4="x",'Symptomen (alle)'!H25,0)</f>
        <v>0</v>
      </c>
      <c r="J30" s="21">
        <f>IF(J$4="x",'Symptomen (alle)'!I25,0)</f>
        <v>1</v>
      </c>
      <c r="K30" s="21">
        <f>IF(K$4="x",'Symptomen (alle)'!J25,0)</f>
        <v>0</v>
      </c>
      <c r="L30" s="21">
        <f>IF(L$4="x",'Symptomen (alle)'!K25,0)</f>
        <v>0</v>
      </c>
      <c r="M30" s="21">
        <f>IF(M$4="x",'Symptomen (alle)'!L25,0)</f>
        <v>0</v>
      </c>
      <c r="N30" s="21">
        <f>IF(N$4="x",'Symptomen (alle)'!M25,0)</f>
        <v>0</v>
      </c>
      <c r="O30" s="21">
        <f>IF(O$4="x",'Symptomen (alle)'!N25,0)</f>
        <v>0</v>
      </c>
      <c r="P30" s="21">
        <f>IF(P$4="x",'Symptomen (alle)'!O25,0)</f>
        <v>0</v>
      </c>
      <c r="Q30" s="21">
        <f>IF(Q$4="x",'Symptomen (alle)'!P25,0)</f>
        <v>0</v>
      </c>
      <c r="R30" s="21">
        <f>IF(R$4="x",'Symptomen (alle)'!Q25,0)</f>
        <v>0</v>
      </c>
      <c r="S30" s="21">
        <f>IF(S$4="x",'Symptomen (alle)'!R25,0)</f>
        <v>0</v>
      </c>
      <c r="T30" s="21">
        <f>IF(T$4="x",'Symptomen (alle)'!S25,0)</f>
        <v>0</v>
      </c>
      <c r="U30" s="21">
        <f>IF(U$4="x",'Symptomen (alle)'!T25,0)</f>
        <v>0</v>
      </c>
      <c r="V30" s="21">
        <f>IF(V$4="x",'Symptomen (alle)'!U25,0)</f>
        <v>0</v>
      </c>
      <c r="W30" s="21">
        <f>IF(W$4="x",'Symptomen (alle)'!V25,0)</f>
        <v>0</v>
      </c>
      <c r="X30" s="21">
        <f>IF(X$4="x",'Symptomen (alle)'!W25,0)</f>
        <v>0</v>
      </c>
      <c r="Y30" s="21">
        <f>IF(Y$4="x",'Symptomen (alle)'!X25,0)</f>
        <v>0</v>
      </c>
      <c r="Z30" s="21">
        <f>IF(Z$4="x",'Symptomen (alle)'!Y25,0)</f>
        <v>0</v>
      </c>
      <c r="AA30" s="21">
        <f>IF(AA$4="x",'Symptomen (alle)'!Z25,0)</f>
        <v>0</v>
      </c>
      <c r="AB30" s="21">
        <f>IF(AB$4="x",'Symptomen (alle)'!AA25,0)</f>
        <v>0</v>
      </c>
      <c r="AC30" s="21">
        <f>IF(AC$4="x",'Symptomen (alle)'!AB25,0)</f>
        <v>3</v>
      </c>
      <c r="AD30" s="21">
        <f>IF(AD$4="x",'Symptomen (alle)'!AC25,0)</f>
        <v>3</v>
      </c>
      <c r="AE30" s="21">
        <f t="shared" si="0"/>
        <v>12</v>
      </c>
      <c r="AF30" s="21">
        <f>HLOOKUP($B$4,ZiekteFam!$B$1:$T$32,AG30,FALSE)</f>
        <v>0</v>
      </c>
      <c r="AG30" s="32">
        <f t="shared" si="1"/>
        <v>25</v>
      </c>
      <c r="AH30" s="32">
        <f>SUM('Symptomen (alle)'!D25:AC25)</f>
        <v>40</v>
      </c>
      <c r="AI30" s="22">
        <f>Tabel423[[#This Row],[Kolom25]]/Tabel423[[#This Row],[Kolom28]]</f>
        <v>0.3</v>
      </c>
      <c r="AJ30" s="36">
        <f t="shared" si="2"/>
        <v>4</v>
      </c>
      <c r="AK30" s="36">
        <f t="shared" si="3"/>
        <v>0</v>
      </c>
      <c r="AL30" s="36">
        <f t="shared" si="4"/>
        <v>0</v>
      </c>
      <c r="AM30" s="36">
        <f t="shared" si="5"/>
        <v>0</v>
      </c>
      <c r="AN30" s="36">
        <f t="shared" si="6"/>
        <v>0</v>
      </c>
      <c r="AO30" s="36">
        <f>COUNTIF(Tabel423[[#This Row],[Kolom3]:[Kolom222]],10)</f>
        <v>0</v>
      </c>
      <c r="AP30" s="36">
        <f>COUNTIF(Tabel423[[#This Row],[Kolom3]:[Kolom222]],5)</f>
        <v>0</v>
      </c>
      <c r="AQ30" s="36">
        <f>COUNTIF(Tabel423[[#This Row],[Kolom3]:[Kolom222]],3)</f>
        <v>2</v>
      </c>
      <c r="AR30" s="36">
        <f>COUNTIF(Tabel423[[#This Row],[Kolom3]:[Kolom222]],2)</f>
        <v>1</v>
      </c>
      <c r="AS30" s="36">
        <f>COUNTIF(Tabel423[[#This Row],[Kolom3]:[Kolom222]],1)</f>
        <v>4</v>
      </c>
      <c r="AT30" s="36">
        <f>COUNTIF('Symptomen (alle)'!$D25:$AC25,10)</f>
        <v>2</v>
      </c>
      <c r="AU30" s="36">
        <f>COUNTIF('Symptomen (alle)'!$D25:$AC25,5)</f>
        <v>1</v>
      </c>
      <c r="AV30" s="36">
        <f>COUNTIF('Symptomen (alle)'!$D25:$AC25,3)</f>
        <v>2</v>
      </c>
      <c r="AW30" s="36">
        <f>COUNTIF('Symptomen (alle)'!$D25:$AC25,2)</f>
        <v>1</v>
      </c>
      <c r="AX30" s="36">
        <f>COUNTIF('Symptomen (alle)'!$D25:$AC25,1)</f>
        <v>7</v>
      </c>
      <c r="AY30" s="22">
        <f>IF(Tabel423[[#This Row],[Kolom300]]=0,0,Tabel423[[#This Row],[Kolom2972]]/Tabel423[[#This Row],[Kolom300]])</f>
        <v>0</v>
      </c>
      <c r="AZ30" s="22">
        <f>IF(Tabel423[[#This Row],[Kolom301]]=0,0,Tabel423[[#This Row],[Kolom2973]]/Tabel423[[#This Row],[Kolom301]])</f>
        <v>0</v>
      </c>
      <c r="BA30" s="22">
        <f>IF(Tabel423[[#This Row],[Kolom294]]=0,0,Tabel423[[#This Row],[Kolom298]]/Tabel423[[#This Row],[Kolom294]])</f>
        <v>0</v>
      </c>
      <c r="BB30" s="22">
        <f>IF(Tabel423[[#This Row],[Kolom295]]=0,0,Tabel423[[#This Row],[Kolom299]]/Tabel423[[#This Row],[Kolom295]])</f>
        <v>0</v>
      </c>
      <c r="BC30" s="22">
        <f>IF(Tabel423[[#This Row],[Kolom2965]]=0,0,Tabel423[[#This Row],[Kolom300]]/Tabel423[[#This Row],[Kolom2965]])</f>
        <v>0</v>
      </c>
      <c r="BD30" s="22">
        <f>IF(Tabel423[[#This Row],[Kolom2966]]=0,0,Tabel423[[#This Row],[Kolom301]]/Tabel423[[#This Row],[Kolom2966]])</f>
        <v>0</v>
      </c>
      <c r="BE30" s="22">
        <f>IF(Tabel423[[#This Row],[Kolom2962]]=0,0,Tabel423[[#This Row],[Kolom294]]/Tabel423[[#This Row],[Kolom2962]])</f>
        <v>1</v>
      </c>
      <c r="BF30" s="22">
        <f>IF(Tabel423[[#This Row],[Kolom29622]]=0,0,Tabel423[[#This Row],[Kolom295]]/Tabel423[[#This Row],[Kolom29622]])</f>
        <v>1</v>
      </c>
      <c r="BG30" s="22">
        <f>IF(Tabel423[[#This Row],[Kolom29623]]=0,0,Tabel423[[#This Row],[Kolom296]]/Tabel423[[#This Row],[Kolom29623]])</f>
        <v>0.5714285714285714</v>
      </c>
      <c r="BH30" s="22">
        <f>(10*Tabel423[[#This Row],[Kolom296232]]+5*Tabel423[[#This Row],[Kolom296233]]+3*Tabel423[[#This Row],[Kolom29624]]+2*Tabel423[[#This Row],[Kolom2963]]+Tabel423[[#This Row],[Kolom29]])/21</f>
        <v>1.4285714285714285E-2</v>
      </c>
      <c r="BI30" s="22">
        <f>(10*Tabel423[[#This Row],[Kolom296232]]+5*Tabel423[[#This Row],[Kolom296233]]+3*Tabel423[[#This Row],[Kolom29624]]+2*Tabel423[[#This Row],[Kolom2963]])/20</f>
        <v>0</v>
      </c>
      <c r="BJ30" s="22">
        <f>(10*Tabel423[[#This Row],[Kolom29634]]+3*Tabel423[[#This Row],[Kolom29633]]+2*Tabel423[[#This Row],[Kolom29632]]+Tabel423[[#This Row],[Kolom2964]])/16</f>
        <v>0.3482142857142857</v>
      </c>
      <c r="BK30" s="22">
        <f>(10*Tabel423[[#This Row],[Kolom29634]]+5*Tabel423[[#This Row],[Kolom29635]]+3*Tabel423[[#This Row],[Kolom29633]]+2*Tabel423[[#This Row],[Kolom29632]])/20</f>
        <v>0.25</v>
      </c>
      <c r="BL30" s="22">
        <f>Tabel423[[#This Row],[Kolom29]]</f>
        <v>0.3</v>
      </c>
      <c r="BM30" s="36">
        <f>_xlfn.RANK.EQ(Tabel423[[#This Row],[Kolom29]],$AI$7:$AI$37)</f>
        <v>23</v>
      </c>
      <c r="BN30" s="36">
        <f>_xlfn.RANK.EQ(Tabel423[[#This Row],[Kolom293]],BH$7:BH$37)</f>
        <v>28</v>
      </c>
      <c r="BO30" s="36">
        <f>_xlfn.RANK.EQ(Tabel423[[#This Row],[Kolom2933]],BI$7:BI$37)</f>
        <v>22</v>
      </c>
      <c r="BP30" s="36">
        <f>_xlfn.RANK.EQ(Tabel423[[#This Row],[Kolom29332]],BJ$7:BJ$37)</f>
        <v>11</v>
      </c>
      <c r="BQ30" s="36">
        <f>_xlfn.RANK.EQ(Tabel423[[#This Row],[Kolom2934]],BK$7:BK$37)</f>
        <v>12</v>
      </c>
      <c r="BR30" s="23"/>
    </row>
    <row r="31" spans="1:70">
      <c r="B31" s="21" t="str">
        <f>'Symptomen (alle)'!A26</f>
        <v>Discus /Angel fish pest</v>
      </c>
      <c r="C31" s="21">
        <f>'Symptomen (alle)'!B26</f>
        <v>0</v>
      </c>
      <c r="D31" s="21">
        <f>IF(D$4="x",'Symptomen (alle)'!C26,0)</f>
        <v>0</v>
      </c>
      <c r="E31" s="21">
        <f>IF(E$4="x",'Symptomen (alle)'!D26,0)</f>
        <v>3</v>
      </c>
      <c r="F31" s="21">
        <f>IF(F$4="x",'Symptomen (alle)'!E26,0)</f>
        <v>1</v>
      </c>
      <c r="G31" s="21">
        <f>IF(G$4="x",'Symptomen (alle)'!F26,0)</f>
        <v>1</v>
      </c>
      <c r="H31" s="21">
        <f>IF(H$4="x",'Symptomen (alle)'!G26,0)</f>
        <v>1</v>
      </c>
      <c r="I31" s="21">
        <f>IF(I$4="x",'Symptomen (alle)'!H26,0)</f>
        <v>0</v>
      </c>
      <c r="J31" s="21">
        <f>IF(J$4="x",'Symptomen (alle)'!I26,0)</f>
        <v>2</v>
      </c>
      <c r="K31" s="21">
        <f>IF(K$4="x",'Symptomen (alle)'!J26,0)</f>
        <v>0</v>
      </c>
      <c r="L31" s="21">
        <f>IF(L$4="x",'Symptomen (alle)'!K26,0)</f>
        <v>0</v>
      </c>
      <c r="M31" s="21">
        <f>IF(M$4="x",'Symptomen (alle)'!L26,0)</f>
        <v>0</v>
      </c>
      <c r="N31" s="21">
        <f>IF(N$4="x",'Symptomen (alle)'!M26,0)</f>
        <v>0</v>
      </c>
      <c r="O31" s="21">
        <f>IF(O$4="x",'Symptomen (alle)'!N26,0)</f>
        <v>0</v>
      </c>
      <c r="P31" s="21">
        <f>IF(P$4="x",'Symptomen (alle)'!O26,0)</f>
        <v>0</v>
      </c>
      <c r="Q31" s="21">
        <f>IF(Q$4="x",'Symptomen (alle)'!P26,0)</f>
        <v>0</v>
      </c>
      <c r="R31" s="21">
        <f>IF(R$4="x",'Symptomen (alle)'!Q26,0)</f>
        <v>0</v>
      </c>
      <c r="S31" s="21">
        <f>IF(S$4="x",'Symptomen (alle)'!R26,0)</f>
        <v>0</v>
      </c>
      <c r="T31" s="21">
        <f>IF(T$4="x",'Symptomen (alle)'!S26,0)</f>
        <v>0</v>
      </c>
      <c r="U31" s="21">
        <f>IF(U$4="x",'Symptomen (alle)'!T26,0)</f>
        <v>0</v>
      </c>
      <c r="V31" s="21">
        <f>IF(V$4="x",'Symptomen (alle)'!U26,0)</f>
        <v>0</v>
      </c>
      <c r="W31" s="21">
        <f>IF(W$4="x",'Symptomen (alle)'!V26,0)</f>
        <v>0</v>
      </c>
      <c r="X31" s="21">
        <f>IF(X$4="x",'Symptomen (alle)'!W26,0)</f>
        <v>3</v>
      </c>
      <c r="Y31" s="21">
        <f>IF(Y$4="x",'Symptomen (alle)'!X26,0)</f>
        <v>0</v>
      </c>
      <c r="Z31" s="21">
        <f>IF(Z$4="x",'Symptomen (alle)'!Y26,0)</f>
        <v>0</v>
      </c>
      <c r="AA31" s="21">
        <f>IF(AA$4="x",'Symptomen (alle)'!Z26,0)</f>
        <v>0</v>
      </c>
      <c r="AB31" s="21">
        <f>IF(AB$4="x",'Symptomen (alle)'!AA26,0)</f>
        <v>0</v>
      </c>
      <c r="AC31" s="21">
        <f>IF(AC$4="x",'Symptomen (alle)'!AB26,0)</f>
        <v>3</v>
      </c>
      <c r="AD31" s="21">
        <f>IF(AD$4="x",'Symptomen (alle)'!AC26,0)</f>
        <v>2</v>
      </c>
      <c r="AE31" s="21">
        <f t="shared" si="0"/>
        <v>16</v>
      </c>
      <c r="AF31" s="21">
        <f>HLOOKUP($B$4,ZiekteFam!$B$1:$T$32,AG31,FALSE)</f>
        <v>0</v>
      </c>
      <c r="AG31" s="32">
        <f t="shared" si="1"/>
        <v>26</v>
      </c>
      <c r="AH31" s="32">
        <f>SUM('Symptomen (alle)'!D26:AC26)</f>
        <v>38</v>
      </c>
      <c r="AI31" s="22">
        <f>Tabel423[[#This Row],[Kolom25]]/Tabel423[[#This Row],[Kolom28]]</f>
        <v>0.42105263157894735</v>
      </c>
      <c r="AJ31" s="36">
        <f t="shared" si="2"/>
        <v>4</v>
      </c>
      <c r="AK31" s="36">
        <f t="shared" si="3"/>
        <v>0</v>
      </c>
      <c r="AL31" s="36">
        <f t="shared" si="4"/>
        <v>0</v>
      </c>
      <c r="AM31" s="36">
        <f t="shared" si="5"/>
        <v>0</v>
      </c>
      <c r="AN31" s="36">
        <f t="shared" si="6"/>
        <v>1</v>
      </c>
      <c r="AO31" s="36">
        <f>COUNTIF(Tabel423[[#This Row],[Kolom3]:[Kolom222]],10)</f>
        <v>0</v>
      </c>
      <c r="AP31" s="36">
        <f>COUNTIF(Tabel423[[#This Row],[Kolom3]:[Kolom222]],5)</f>
        <v>0</v>
      </c>
      <c r="AQ31" s="36">
        <f>COUNTIF(Tabel423[[#This Row],[Kolom3]:[Kolom222]],3)</f>
        <v>3</v>
      </c>
      <c r="AR31" s="36">
        <f>COUNTIF(Tabel423[[#This Row],[Kolom3]:[Kolom222]],2)</f>
        <v>2</v>
      </c>
      <c r="AS31" s="36">
        <f>COUNTIF(Tabel423[[#This Row],[Kolom3]:[Kolom222]],1)</f>
        <v>3</v>
      </c>
      <c r="AT31" s="36">
        <f>COUNTIF('Symptomen (alle)'!$D26:$AC26,10)</f>
        <v>1</v>
      </c>
      <c r="AU31" s="36">
        <f>COUNTIF('Symptomen (alle)'!$D26:$AC26,5)</f>
        <v>0</v>
      </c>
      <c r="AV31" s="36">
        <f>COUNTIF('Symptomen (alle)'!$D26:$AC26,3)</f>
        <v>3</v>
      </c>
      <c r="AW31" s="36">
        <f>COUNTIF('Symptomen (alle)'!$D26:$AC26,2)</f>
        <v>7</v>
      </c>
      <c r="AX31" s="36">
        <f>COUNTIF('Symptomen (alle)'!$D26:$AC26,1)</f>
        <v>5</v>
      </c>
      <c r="AY31" s="22">
        <f>IF(Tabel423[[#This Row],[Kolom300]]=0,0,Tabel423[[#This Row],[Kolom2972]]/Tabel423[[#This Row],[Kolom300]])</f>
        <v>0</v>
      </c>
      <c r="AZ31" s="22">
        <f>IF(Tabel423[[#This Row],[Kolom301]]=0,0,Tabel423[[#This Row],[Kolom2973]]/Tabel423[[#This Row],[Kolom301]])</f>
        <v>0</v>
      </c>
      <c r="BA31" s="22">
        <f>IF(Tabel423[[#This Row],[Kolom294]]=0,0,Tabel423[[#This Row],[Kolom298]]/Tabel423[[#This Row],[Kolom294]])</f>
        <v>0</v>
      </c>
      <c r="BB31" s="22">
        <f>IF(Tabel423[[#This Row],[Kolom295]]=0,0,Tabel423[[#This Row],[Kolom299]]/Tabel423[[#This Row],[Kolom295]])</f>
        <v>0.5</v>
      </c>
      <c r="BC31" s="22">
        <f>IF(Tabel423[[#This Row],[Kolom2965]]=0,0,Tabel423[[#This Row],[Kolom300]]/Tabel423[[#This Row],[Kolom2965]])</f>
        <v>0</v>
      </c>
      <c r="BD31" s="22">
        <f>IF(Tabel423[[#This Row],[Kolom2966]]=0,0,Tabel423[[#This Row],[Kolom301]]/Tabel423[[#This Row],[Kolom2966]])</f>
        <v>0</v>
      </c>
      <c r="BE31" s="22">
        <f>IF(Tabel423[[#This Row],[Kolom2962]]=0,0,Tabel423[[#This Row],[Kolom294]]/Tabel423[[#This Row],[Kolom2962]])</f>
        <v>1</v>
      </c>
      <c r="BF31" s="22">
        <f>IF(Tabel423[[#This Row],[Kolom29622]]=0,0,Tabel423[[#This Row],[Kolom295]]/Tabel423[[#This Row],[Kolom29622]])</f>
        <v>0.2857142857142857</v>
      </c>
      <c r="BG31" s="22">
        <f>IF(Tabel423[[#This Row],[Kolom29623]]=0,0,Tabel423[[#This Row],[Kolom296]]/Tabel423[[#This Row],[Kolom29623]])</f>
        <v>0.6</v>
      </c>
      <c r="BH31" s="22">
        <f>(10*Tabel423[[#This Row],[Kolom296232]]+5*Tabel423[[#This Row],[Kolom296233]]+3*Tabel423[[#This Row],[Kolom29624]]+2*Tabel423[[#This Row],[Kolom2963]]+Tabel423[[#This Row],[Kolom29]])/21</f>
        <v>6.7669172932330823E-2</v>
      </c>
      <c r="BI31" s="22">
        <f>(10*Tabel423[[#This Row],[Kolom296232]]+5*Tabel423[[#This Row],[Kolom296233]]+3*Tabel423[[#This Row],[Kolom29624]]+2*Tabel423[[#This Row],[Kolom2963]])/20</f>
        <v>0.05</v>
      </c>
      <c r="BJ31" s="22">
        <f>(10*Tabel423[[#This Row],[Kolom29634]]+3*Tabel423[[#This Row],[Kolom29633]]+2*Tabel423[[#This Row],[Kolom29632]]+Tabel423[[#This Row],[Kolom2964]])/16</f>
        <v>0.26071428571428568</v>
      </c>
      <c r="BK31" s="22">
        <f>(10*Tabel423[[#This Row],[Kolom29634]]+5*Tabel423[[#This Row],[Kolom29635]]+3*Tabel423[[#This Row],[Kolom29633]]+2*Tabel423[[#This Row],[Kolom29632]])/20</f>
        <v>0.17857142857142855</v>
      </c>
      <c r="BL31" s="22">
        <f>Tabel423[[#This Row],[Kolom29]]</f>
        <v>0.42105263157894735</v>
      </c>
      <c r="BM31" s="36">
        <f>_xlfn.RANK.EQ(Tabel423[[#This Row],[Kolom29]],$AI$7:$AI$37)</f>
        <v>13</v>
      </c>
      <c r="BN31" s="36">
        <f>_xlfn.RANK.EQ(Tabel423[[#This Row],[Kolom293]],BH$7:BH$37)</f>
        <v>17</v>
      </c>
      <c r="BO31" s="36">
        <f>_xlfn.RANK.EQ(Tabel423[[#This Row],[Kolom2933]],BI$7:BI$37)</f>
        <v>16</v>
      </c>
      <c r="BP31" s="36">
        <f>_xlfn.RANK.EQ(Tabel423[[#This Row],[Kolom29332]],BJ$7:BJ$37)</f>
        <v>15</v>
      </c>
      <c r="BQ31" s="36">
        <f>_xlfn.RANK.EQ(Tabel423[[#This Row],[Kolom2934]],BK$7:BK$37)</f>
        <v>16</v>
      </c>
      <c r="BR31" s="23"/>
    </row>
    <row r="32" spans="1:70">
      <c r="B32" s="21" t="str">
        <f>'Symptomen (alle)'!A27</f>
        <v>KHV (Kou Herpes Virus)=coldwater</v>
      </c>
      <c r="C32">
        <f>'Symptomen (alle)'!B27</f>
        <v>0</v>
      </c>
      <c r="D32" s="21">
        <f>IF(D$4="x",'Symptomen (alle)'!C27,0)</f>
        <v>0</v>
      </c>
      <c r="E32" s="21">
        <f>IF(E$4="x",'Symptomen (alle)'!D27,0)</f>
        <v>2</v>
      </c>
      <c r="F32" s="21">
        <f>IF(F$4="x",'Symptomen (alle)'!E27,0)</f>
        <v>0</v>
      </c>
      <c r="G32" s="21">
        <f>IF(G$4="x",'Symptomen (alle)'!F27,0)</f>
        <v>0</v>
      </c>
      <c r="H32" s="21">
        <f>IF(H$4="x",'Symptomen (alle)'!G27,0)</f>
        <v>3</v>
      </c>
      <c r="I32" s="21">
        <f>IF(I$4="x",'Symptomen (alle)'!H27,0)</f>
        <v>0</v>
      </c>
      <c r="J32" s="21">
        <f>IF(J$4="x",'Symptomen (alle)'!I27,0)</f>
        <v>0</v>
      </c>
      <c r="K32" s="21">
        <f>IF(K$4="x",'Symptomen (alle)'!J27,0)</f>
        <v>0</v>
      </c>
      <c r="L32" s="21">
        <f>IF(L$4="x",'Symptomen (alle)'!K27,0)</f>
        <v>0</v>
      </c>
      <c r="M32" s="21">
        <f>IF(M$4="x",'Symptomen (alle)'!L27,0)</f>
        <v>0</v>
      </c>
      <c r="N32" s="21">
        <f>IF(N$4="x",'Symptomen (alle)'!M27,0)</f>
        <v>0</v>
      </c>
      <c r="O32" s="21">
        <f>IF(O$4="x",'Symptomen (alle)'!N27,0)</f>
        <v>0</v>
      </c>
      <c r="P32" s="21">
        <f>IF(P$4="x",'Symptomen (alle)'!O27,0)</f>
        <v>0</v>
      </c>
      <c r="Q32" s="21">
        <f>IF(Q$4="x",'Symptomen (alle)'!P27,0)</f>
        <v>0</v>
      </c>
      <c r="R32" s="21">
        <f>IF(R$4="x",'Symptomen (alle)'!Q27,0)</f>
        <v>0</v>
      </c>
      <c r="S32" s="21">
        <f>IF(S$4="x",'Symptomen (alle)'!R27,0)</f>
        <v>0</v>
      </c>
      <c r="T32" s="21">
        <f>IF(T$4="x",'Symptomen (alle)'!S27,0)</f>
        <v>0</v>
      </c>
      <c r="U32" s="21">
        <f>IF(U$4="x",'Symptomen (alle)'!T27,0)</f>
        <v>0</v>
      </c>
      <c r="V32" s="21">
        <f>IF(V$4="x",'Symptomen (alle)'!U27,0)</f>
        <v>0</v>
      </c>
      <c r="W32" s="21">
        <f>IF(W$4="x",'Symptomen (alle)'!V27,0)</f>
        <v>0</v>
      </c>
      <c r="X32" s="21">
        <f>IF(X$4="x",'Symptomen (alle)'!W27,0)</f>
        <v>3</v>
      </c>
      <c r="Y32" s="21">
        <f>IF(Y$4="x",'Symptomen (alle)'!X27,0)</f>
        <v>0</v>
      </c>
      <c r="Z32" s="21">
        <f>IF(Z$4="x",'Symptomen (alle)'!Y27,0)</f>
        <v>0</v>
      </c>
      <c r="AA32" s="21">
        <f>IF(AA$4="x",'Symptomen (alle)'!Z27,0)</f>
        <v>0</v>
      </c>
      <c r="AB32" s="21">
        <f>IF(AB$4="x",'Symptomen (alle)'!AA27,0)</f>
        <v>0</v>
      </c>
      <c r="AC32" s="21">
        <f>IF(AC$4="x",'Symptomen (alle)'!AB27,0)</f>
        <v>10</v>
      </c>
      <c r="AD32" s="21">
        <f>IF(AD$4="x",'Symptomen (alle)'!AC27,0)</f>
        <v>3</v>
      </c>
      <c r="AE32" s="21">
        <f t="shared" si="0"/>
        <v>21</v>
      </c>
      <c r="AF32" s="21">
        <f>HLOOKUP($B$4,ZiekteFam!$B$1:$T$32,AG32,FALSE)</f>
        <v>0</v>
      </c>
      <c r="AG32" s="32">
        <f t="shared" si="1"/>
        <v>27</v>
      </c>
      <c r="AH32" s="32">
        <f>SUM('Symptomen (alle)'!D27:AC27)</f>
        <v>53</v>
      </c>
      <c r="AI32" s="22">
        <f>Tabel423[[#This Row],[Kolom25]]/Tabel423[[#This Row],[Kolom28]]</f>
        <v>0.39622641509433965</v>
      </c>
      <c r="AJ32" s="36">
        <f t="shared" si="2"/>
        <v>4</v>
      </c>
      <c r="AK32" s="36">
        <f t="shared" si="3"/>
        <v>0</v>
      </c>
      <c r="AL32" s="36">
        <f t="shared" si="4"/>
        <v>0</v>
      </c>
      <c r="AM32" s="36">
        <f t="shared" si="5"/>
        <v>1</v>
      </c>
      <c r="AN32" s="36">
        <f t="shared" si="6"/>
        <v>0</v>
      </c>
      <c r="AO32" s="36">
        <f>COUNTIF(Tabel423[[#This Row],[Kolom3]:[Kolom222]],10)</f>
        <v>1</v>
      </c>
      <c r="AP32" s="36">
        <f>COUNTIF(Tabel423[[#This Row],[Kolom3]:[Kolom222]],5)</f>
        <v>0</v>
      </c>
      <c r="AQ32" s="36">
        <f>COUNTIF(Tabel423[[#This Row],[Kolom3]:[Kolom222]],3)</f>
        <v>3</v>
      </c>
      <c r="AR32" s="36">
        <f>COUNTIF(Tabel423[[#This Row],[Kolom3]:[Kolom222]],2)</f>
        <v>1</v>
      </c>
      <c r="AS32" s="36">
        <f>COUNTIF(Tabel423[[#This Row],[Kolom3]:[Kolom222]],1)</f>
        <v>0</v>
      </c>
      <c r="AT32" s="36">
        <f>COUNTIF('Symptomen (alle)'!$D27:$AC27,10)</f>
        <v>3</v>
      </c>
      <c r="AU32" s="36">
        <f>COUNTIF('Symptomen (alle)'!$D27:$AC27,5)</f>
        <v>2</v>
      </c>
      <c r="AV32" s="36">
        <f>COUNTIF('Symptomen (alle)'!$D27:$AC27,3)</f>
        <v>3</v>
      </c>
      <c r="AW32" s="36">
        <f>COUNTIF('Symptomen (alle)'!$D27:$AC27,2)</f>
        <v>1</v>
      </c>
      <c r="AX32" s="36">
        <f>COUNTIF('Symptomen (alle)'!$D27:$AC27,1)</f>
        <v>2</v>
      </c>
      <c r="AY32" s="22">
        <f>IF(Tabel423[[#This Row],[Kolom300]]=0,0,Tabel423[[#This Row],[Kolom2972]]/Tabel423[[#This Row],[Kolom300]])</f>
        <v>0</v>
      </c>
      <c r="AZ32" s="22">
        <f>IF(Tabel423[[#This Row],[Kolom301]]=0,0,Tabel423[[#This Row],[Kolom2973]]/Tabel423[[#This Row],[Kolom301]])</f>
        <v>0</v>
      </c>
      <c r="BA32" s="22">
        <f>IF(Tabel423[[#This Row],[Kolom294]]=0,0,Tabel423[[#This Row],[Kolom298]]/Tabel423[[#This Row],[Kolom294]])</f>
        <v>0.33333333333333331</v>
      </c>
      <c r="BB32" s="22">
        <f>IF(Tabel423[[#This Row],[Kolom295]]=0,0,Tabel423[[#This Row],[Kolom299]]/Tabel423[[#This Row],[Kolom295]])</f>
        <v>0</v>
      </c>
      <c r="BC32" s="22">
        <f>IF(Tabel423[[#This Row],[Kolom2965]]=0,0,Tabel423[[#This Row],[Kolom300]]/Tabel423[[#This Row],[Kolom2965]])</f>
        <v>0.33333333333333331</v>
      </c>
      <c r="BD32" s="22">
        <f>IF(Tabel423[[#This Row],[Kolom2966]]=0,0,Tabel423[[#This Row],[Kolom301]]/Tabel423[[#This Row],[Kolom2966]])</f>
        <v>0</v>
      </c>
      <c r="BE32" s="22">
        <f>IF(Tabel423[[#This Row],[Kolom2962]]=0,0,Tabel423[[#This Row],[Kolom294]]/Tabel423[[#This Row],[Kolom2962]])</f>
        <v>1</v>
      </c>
      <c r="BF32" s="22">
        <f>IF(Tabel423[[#This Row],[Kolom29622]]=0,0,Tabel423[[#This Row],[Kolom295]]/Tabel423[[#This Row],[Kolom29622]])</f>
        <v>1</v>
      </c>
      <c r="BG32" s="22">
        <f>IF(Tabel423[[#This Row],[Kolom29623]]=0,0,Tabel423[[#This Row],[Kolom296]]/Tabel423[[#This Row],[Kolom29623]])</f>
        <v>0</v>
      </c>
      <c r="BH32" s="22">
        <f>(10*Tabel423[[#This Row],[Kolom296232]]+5*Tabel423[[#This Row],[Kolom296233]]+3*Tabel423[[#This Row],[Kolom29624]]+2*Tabel423[[#This Row],[Kolom2963]]+Tabel423[[#This Row],[Kolom29]])/21</f>
        <v>6.6486972147349513E-2</v>
      </c>
      <c r="BI32" s="22">
        <f>(10*Tabel423[[#This Row],[Kolom296232]]+5*Tabel423[[#This Row],[Kolom296233]]+3*Tabel423[[#This Row],[Kolom29624]]+2*Tabel423[[#This Row],[Kolom2963]])/20</f>
        <v>0.05</v>
      </c>
      <c r="BJ32" s="22">
        <f>(10*Tabel423[[#This Row],[Kolom29634]]+3*Tabel423[[#This Row],[Kolom29633]]+2*Tabel423[[#This Row],[Kolom29632]]+Tabel423[[#This Row],[Kolom2964]])/16</f>
        <v>0.52083333333333326</v>
      </c>
      <c r="BK32" s="22">
        <f>(10*Tabel423[[#This Row],[Kolom29634]]+5*Tabel423[[#This Row],[Kolom29635]]+3*Tabel423[[#This Row],[Kolom29633]]+2*Tabel423[[#This Row],[Kolom29632]])/20</f>
        <v>0.41666666666666663</v>
      </c>
      <c r="BL32" s="22">
        <f>Tabel423[[#This Row],[Kolom29]]</f>
        <v>0.39622641509433965</v>
      </c>
      <c r="BM32" s="36">
        <f>_xlfn.RANK.EQ(Tabel423[[#This Row],[Kolom29]],$AI$7:$AI$37)</f>
        <v>14</v>
      </c>
      <c r="BN32" s="36">
        <f>_xlfn.RANK.EQ(Tabel423[[#This Row],[Kolom293]],BH$7:BH$37)</f>
        <v>18</v>
      </c>
      <c r="BO32" s="36">
        <f>_xlfn.RANK.EQ(Tabel423[[#This Row],[Kolom2933]],BI$7:BI$37)</f>
        <v>16</v>
      </c>
      <c r="BP32" s="36">
        <f>_xlfn.RANK.EQ(Tabel423[[#This Row],[Kolom29332]],BJ$7:BJ$37)</f>
        <v>8</v>
      </c>
      <c r="BQ32" s="36">
        <f>_xlfn.RANK.EQ(Tabel423[[#This Row],[Kolom2934]],BK$7:BK$37)</f>
        <v>9</v>
      </c>
      <c r="BR32" s="23"/>
    </row>
    <row r="33" spans="2:70">
      <c r="B33" s="21" t="str">
        <f>'Symptomen (alle)'!A28</f>
        <v>Goldfish Herpes Virus=coldwater</v>
      </c>
      <c r="C33" s="77">
        <f>'Symptomen (alle)'!B28</f>
        <v>0</v>
      </c>
      <c r="D33" s="21">
        <f>IF(D$4="x",'Symptomen (alle)'!C28,0)</f>
        <v>0</v>
      </c>
      <c r="E33" s="21">
        <f>IF(E$4="x",'Symptomen (alle)'!D28,0)</f>
        <v>1</v>
      </c>
      <c r="F33" s="21">
        <f>IF(F$4="x",'Symptomen (alle)'!E28,0)</f>
        <v>0</v>
      </c>
      <c r="G33" s="21">
        <f>IF(G$4="x",'Symptomen (alle)'!F28,0)</f>
        <v>1</v>
      </c>
      <c r="H33" s="21">
        <f>IF(H$4="x",'Symptomen (alle)'!G28,0)</f>
        <v>0</v>
      </c>
      <c r="I33" s="21">
        <f>IF(I$4="x",'Symptomen (alle)'!H28,0)</f>
        <v>0</v>
      </c>
      <c r="J33" s="21">
        <f>IF(J$4="x",'Symptomen (alle)'!I28,0)</f>
        <v>0</v>
      </c>
      <c r="K33" s="21">
        <f>IF(K$4="x",'Symptomen (alle)'!J28,0)</f>
        <v>0</v>
      </c>
      <c r="L33" s="21">
        <f>IF(L$4="x",'Symptomen (alle)'!K28,0)</f>
        <v>0</v>
      </c>
      <c r="M33" s="21">
        <f>IF(M$4="x",'Symptomen (alle)'!L28,0)</f>
        <v>0</v>
      </c>
      <c r="N33" s="21">
        <f>IF(N$4="x",'Symptomen (alle)'!M28,0)</f>
        <v>0</v>
      </c>
      <c r="O33" s="21">
        <f>IF(O$4="x",'Symptomen (alle)'!N28,0)</f>
        <v>0</v>
      </c>
      <c r="P33" s="21">
        <f>IF(P$4="x",'Symptomen (alle)'!O28,0)</f>
        <v>0</v>
      </c>
      <c r="Q33" s="21">
        <f>IF(Q$4="x",'Symptomen (alle)'!P28,0)</f>
        <v>0</v>
      </c>
      <c r="R33" s="21">
        <f>IF(R$4="x",'Symptomen (alle)'!Q28,0)</f>
        <v>0</v>
      </c>
      <c r="S33" s="21">
        <f>IF(S$4="x",'Symptomen (alle)'!R28,0)</f>
        <v>0</v>
      </c>
      <c r="T33" s="21">
        <f>IF(T$4="x",'Symptomen (alle)'!S28,0)</f>
        <v>0</v>
      </c>
      <c r="U33" s="21">
        <f>IF(U$4="x",'Symptomen (alle)'!T28,0)</f>
        <v>0</v>
      </c>
      <c r="V33" s="21">
        <f>IF(V$4="x",'Symptomen (alle)'!U28,0)</f>
        <v>0</v>
      </c>
      <c r="W33" s="21">
        <f>IF(W$4="x",'Symptomen (alle)'!V28,0)</f>
        <v>0</v>
      </c>
      <c r="X33" s="21">
        <f>IF(X$4="x",'Symptomen (alle)'!W28,0)</f>
        <v>3</v>
      </c>
      <c r="Y33" s="21">
        <f>IF(Y$4="x",'Symptomen (alle)'!X28,0)</f>
        <v>0</v>
      </c>
      <c r="Z33" s="21">
        <f>IF(Z$4="x",'Symptomen (alle)'!Y28,0)</f>
        <v>0</v>
      </c>
      <c r="AA33" s="21">
        <f>IF(AA$4="x",'Symptomen (alle)'!Z28,0)</f>
        <v>0</v>
      </c>
      <c r="AB33" s="21">
        <f>IF(AB$4="x",'Symptomen (alle)'!AA28,0)</f>
        <v>0</v>
      </c>
      <c r="AC33" s="21">
        <f>IF(AC$4="x",'Symptomen (alle)'!AB28,0)</f>
        <v>10</v>
      </c>
      <c r="AD33" s="21">
        <f>IF(AD$4="x",'Symptomen (alle)'!AC28,0)</f>
        <v>3</v>
      </c>
      <c r="AE33" s="21">
        <f t="shared" si="0"/>
        <v>18</v>
      </c>
      <c r="AF33" s="21">
        <f>HLOOKUP($B$4,ZiekteFam!$B$1:$T$32,AG33,FALSE)</f>
        <v>0</v>
      </c>
      <c r="AG33" s="32">
        <f t="shared" si="1"/>
        <v>28</v>
      </c>
      <c r="AH33" s="32">
        <f>SUM('Symptomen (alle)'!D28:AC28)</f>
        <v>34</v>
      </c>
      <c r="AI33" s="22">
        <f>Tabel423[[#This Row],[Kolom25]]/Tabel423[[#This Row],[Kolom28]]</f>
        <v>0.52941176470588236</v>
      </c>
      <c r="AJ33" s="36">
        <f t="shared" si="2"/>
        <v>4</v>
      </c>
      <c r="AK33" s="36">
        <f t="shared" si="3"/>
        <v>0</v>
      </c>
      <c r="AL33" s="36">
        <f t="shared" si="4"/>
        <v>0</v>
      </c>
      <c r="AM33" s="36">
        <f t="shared" si="5"/>
        <v>0</v>
      </c>
      <c r="AN33" s="36">
        <f t="shared" si="6"/>
        <v>0</v>
      </c>
      <c r="AO33" s="36">
        <f>COUNTIF(Tabel423[[#This Row],[Kolom3]:[Kolom222]],10)</f>
        <v>1</v>
      </c>
      <c r="AP33" s="36">
        <f>COUNTIF(Tabel423[[#This Row],[Kolom3]:[Kolom222]],5)</f>
        <v>0</v>
      </c>
      <c r="AQ33" s="36">
        <f>COUNTIF(Tabel423[[#This Row],[Kolom3]:[Kolom222]],3)</f>
        <v>2</v>
      </c>
      <c r="AR33" s="36">
        <f>COUNTIF(Tabel423[[#This Row],[Kolom3]:[Kolom222]],2)</f>
        <v>0</v>
      </c>
      <c r="AS33" s="36">
        <f>COUNTIF(Tabel423[[#This Row],[Kolom3]:[Kolom222]],1)</f>
        <v>2</v>
      </c>
      <c r="AT33" s="36">
        <f>COUNTIF('Symptomen (alle)'!$D28:$AC28,10)</f>
        <v>1</v>
      </c>
      <c r="AU33" s="36">
        <f>COUNTIF('Symptomen (alle)'!$D28:$AC28,5)</f>
        <v>2</v>
      </c>
      <c r="AV33" s="36">
        <f>COUNTIF('Symptomen (alle)'!$D28:$AC28,3)</f>
        <v>3</v>
      </c>
      <c r="AW33" s="36">
        <f>COUNTIF('Symptomen (alle)'!$D28:$AC28,2)</f>
        <v>1</v>
      </c>
      <c r="AX33" s="36">
        <f>COUNTIF('Symptomen (alle)'!$D28:$AC28,1)</f>
        <v>3</v>
      </c>
      <c r="AY33" s="22">
        <f>IF(Tabel423[[#This Row],[Kolom300]]=0,0,Tabel423[[#This Row],[Kolom2972]]/Tabel423[[#This Row],[Kolom300]])</f>
        <v>0</v>
      </c>
      <c r="AZ33" s="22">
        <f>IF(Tabel423[[#This Row],[Kolom301]]=0,0,Tabel423[[#This Row],[Kolom2973]]/Tabel423[[#This Row],[Kolom301]])</f>
        <v>0</v>
      </c>
      <c r="BA33" s="22">
        <f>IF(Tabel423[[#This Row],[Kolom294]]=0,0,Tabel423[[#This Row],[Kolom298]]/Tabel423[[#This Row],[Kolom294]])</f>
        <v>0</v>
      </c>
      <c r="BB33" s="22">
        <f>IF(Tabel423[[#This Row],[Kolom295]]=0,0,Tabel423[[#This Row],[Kolom299]]/Tabel423[[#This Row],[Kolom295]])</f>
        <v>0</v>
      </c>
      <c r="BC33" s="22">
        <f>IF(Tabel423[[#This Row],[Kolom2965]]=0,0,Tabel423[[#This Row],[Kolom300]]/Tabel423[[#This Row],[Kolom2965]])</f>
        <v>1</v>
      </c>
      <c r="BD33" s="22">
        <f>IF(Tabel423[[#This Row],[Kolom2966]]=0,0,Tabel423[[#This Row],[Kolom301]]/Tabel423[[#This Row],[Kolom2966]])</f>
        <v>0</v>
      </c>
      <c r="BE33" s="22">
        <f>IF(Tabel423[[#This Row],[Kolom2962]]=0,0,Tabel423[[#This Row],[Kolom294]]/Tabel423[[#This Row],[Kolom2962]])</f>
        <v>0.66666666666666663</v>
      </c>
      <c r="BF33" s="22">
        <f>IF(Tabel423[[#This Row],[Kolom29622]]=0,0,Tabel423[[#This Row],[Kolom295]]/Tabel423[[#This Row],[Kolom29622]])</f>
        <v>0</v>
      </c>
      <c r="BG33" s="22">
        <f>IF(Tabel423[[#This Row],[Kolom29623]]=0,0,Tabel423[[#This Row],[Kolom296]]/Tabel423[[#This Row],[Kolom29623]])</f>
        <v>0.66666666666666663</v>
      </c>
      <c r="BH33" s="22">
        <f>(10*Tabel423[[#This Row],[Kolom296232]]+5*Tabel423[[#This Row],[Kolom296233]]+3*Tabel423[[#This Row],[Kolom29624]]+2*Tabel423[[#This Row],[Kolom2963]]+Tabel423[[#This Row],[Kolom29]])/21</f>
        <v>2.5210084033613446E-2</v>
      </c>
      <c r="BI33" s="22">
        <f>(10*Tabel423[[#This Row],[Kolom296232]]+5*Tabel423[[#This Row],[Kolom296233]]+3*Tabel423[[#This Row],[Kolom29624]]+2*Tabel423[[#This Row],[Kolom2963]])/20</f>
        <v>0</v>
      </c>
      <c r="BJ33" s="22">
        <f>(10*Tabel423[[#This Row],[Kolom29634]]+3*Tabel423[[#This Row],[Kolom29633]]+2*Tabel423[[#This Row],[Kolom29632]]+Tabel423[[#This Row],[Kolom2964]])/16</f>
        <v>0.79166666666666663</v>
      </c>
      <c r="BK33" s="22">
        <f>(10*Tabel423[[#This Row],[Kolom29634]]+5*Tabel423[[#This Row],[Kolom29635]]+3*Tabel423[[#This Row],[Kolom29633]]+2*Tabel423[[#This Row],[Kolom29632]])/20</f>
        <v>0.6</v>
      </c>
      <c r="BL33" s="22">
        <f>Tabel423[[#This Row],[Kolom29]]</f>
        <v>0.52941176470588236</v>
      </c>
      <c r="BM33" s="36">
        <f>_xlfn.RANK.EQ(Tabel423[[#This Row],[Kolom29]],$AI$7:$AI$37)</f>
        <v>7</v>
      </c>
      <c r="BN33" s="36">
        <f>_xlfn.RANK.EQ(Tabel423[[#This Row],[Kolom293]],BH$7:BH$37)</f>
        <v>22</v>
      </c>
      <c r="BO33" s="36">
        <f>_xlfn.RANK.EQ(Tabel423[[#This Row],[Kolom2933]],BI$7:BI$37)</f>
        <v>22</v>
      </c>
      <c r="BP33" s="36">
        <f>_xlfn.RANK.EQ(Tabel423[[#This Row],[Kolom29332]],BJ$7:BJ$37)</f>
        <v>2</v>
      </c>
      <c r="BQ33" s="36">
        <f>_xlfn.RANK.EQ(Tabel423[[#This Row],[Kolom2934]],BK$7:BK$37)</f>
        <v>4</v>
      </c>
      <c r="BR33" s="23"/>
    </row>
    <row r="34" spans="2:70">
      <c r="B34" s="21" t="str">
        <f>'Symptomen (alle)'!A29</f>
        <v>Carp Pox Virus (Carp Herpes)= coldwater</v>
      </c>
      <c r="C34" s="77">
        <f>'Symptomen (alle)'!B29</f>
        <v>0</v>
      </c>
      <c r="D34" s="21">
        <f>IF(D$4="x",'Symptomen (alle)'!C29,0)</f>
        <v>0</v>
      </c>
      <c r="E34" s="21">
        <f>IF(E$4="x",'Symptomen (alle)'!D29,0)</f>
        <v>0</v>
      </c>
      <c r="F34" s="21">
        <f>IF(F$4="x",'Symptomen (alle)'!E29,0)</f>
        <v>0</v>
      </c>
      <c r="G34" s="21">
        <f>IF(G$4="x",'Symptomen (alle)'!F29,0)</f>
        <v>0</v>
      </c>
      <c r="H34" s="21">
        <f>IF(H$4="x",'Symptomen (alle)'!G29,0)</f>
        <v>0</v>
      </c>
      <c r="I34" s="21">
        <f>IF(I$4="x",'Symptomen (alle)'!H29,0)</f>
        <v>0</v>
      </c>
      <c r="J34" s="21">
        <f>IF(J$4="x",'Symptomen (alle)'!I29,0)</f>
        <v>10</v>
      </c>
      <c r="K34" s="21">
        <f>IF(K$4="x",'Symptomen (alle)'!J29,0)</f>
        <v>0</v>
      </c>
      <c r="L34" s="21">
        <f>IF(L$4="x",'Symptomen (alle)'!K29,0)</f>
        <v>0</v>
      </c>
      <c r="M34" s="21">
        <f>IF(M$4="x",'Symptomen (alle)'!L29,0)</f>
        <v>0</v>
      </c>
      <c r="N34" s="21">
        <f>IF(N$4="x",'Symptomen (alle)'!M29,0)</f>
        <v>0</v>
      </c>
      <c r="O34" s="21">
        <f>IF(O$4="x",'Symptomen (alle)'!N29,0)</f>
        <v>0</v>
      </c>
      <c r="P34" s="21">
        <f>IF(P$4="x",'Symptomen (alle)'!O29,0)</f>
        <v>0</v>
      </c>
      <c r="Q34" s="21">
        <f>IF(Q$4="x",'Symptomen (alle)'!P29,0)</f>
        <v>0</v>
      </c>
      <c r="R34" s="21">
        <f>IF(R$4="x",'Symptomen (alle)'!Q29,0)</f>
        <v>0</v>
      </c>
      <c r="S34" s="21">
        <f>IF(S$4="x",'Symptomen (alle)'!R29,0)</f>
        <v>0</v>
      </c>
      <c r="T34" s="21">
        <f>IF(T$4="x",'Symptomen (alle)'!S29,0)</f>
        <v>0</v>
      </c>
      <c r="U34" s="21">
        <f>IF(U$4="x",'Symptomen (alle)'!T29,0)</f>
        <v>0</v>
      </c>
      <c r="V34" s="21">
        <f>IF(V$4="x",'Symptomen (alle)'!U29,0)</f>
        <v>0</v>
      </c>
      <c r="W34" s="21">
        <f>IF(W$4="x",'Symptomen (alle)'!V29,0)</f>
        <v>0</v>
      </c>
      <c r="X34" s="21">
        <f>IF(X$4="x",'Symptomen (alle)'!W29,0)</f>
        <v>0</v>
      </c>
      <c r="Y34" s="21">
        <f>IF(Y$4="x",'Symptomen (alle)'!X29,0)</f>
        <v>0</v>
      </c>
      <c r="Z34" s="21">
        <f>IF(Z$4="x",'Symptomen (alle)'!Y29,0)</f>
        <v>0</v>
      </c>
      <c r="AA34" s="21">
        <f>IF(AA$4="x",'Symptomen (alle)'!Z29,0)</f>
        <v>0</v>
      </c>
      <c r="AB34" s="21">
        <f>IF(AB$4="x",'Symptomen (alle)'!AA29,0)</f>
        <v>0</v>
      </c>
      <c r="AC34" s="21">
        <f>IF(AC$4="x",'Symptomen (alle)'!AB29,0)</f>
        <v>5</v>
      </c>
      <c r="AD34" s="21">
        <f>IF(AD$4="x",'Symptomen (alle)'!AC29,0)</f>
        <v>3</v>
      </c>
      <c r="AE34" s="21">
        <f t="shared" ref="AE34" si="7">SUM(E34:AD34)</f>
        <v>18</v>
      </c>
      <c r="AF34" s="21">
        <f>HLOOKUP($B$4,ZiekteFam!$B$1:$T$32,AG34,FALSE)</f>
        <v>0</v>
      </c>
      <c r="AG34" s="32">
        <f t="shared" ref="AG34" si="8">ROW(AF34)-5</f>
        <v>29</v>
      </c>
      <c r="AH34" s="32">
        <f>SUM('Symptomen (alle)'!D29:AC29)</f>
        <v>34</v>
      </c>
      <c r="AI34" s="22">
        <f>Tabel423[[#This Row],[Kolom25]]/Tabel423[[#This Row],[Kolom28]]</f>
        <v>0.52941176470588236</v>
      </c>
      <c r="AJ34" s="36">
        <f t="shared" si="2"/>
        <v>4</v>
      </c>
      <c r="AK34" s="36">
        <f t="shared" si="3"/>
        <v>1</v>
      </c>
      <c r="AL34" s="36">
        <f t="shared" si="4"/>
        <v>0</v>
      </c>
      <c r="AM34" s="36">
        <f t="shared" si="5"/>
        <v>0</v>
      </c>
      <c r="AN34" s="36">
        <f t="shared" si="6"/>
        <v>0</v>
      </c>
      <c r="AO34" s="36">
        <f>COUNTIF(Tabel423[[#This Row],[Kolom3]:[Kolom222]],10)</f>
        <v>1</v>
      </c>
      <c r="AP34" s="36">
        <f>COUNTIF(Tabel423[[#This Row],[Kolom3]:[Kolom222]],5)</f>
        <v>1</v>
      </c>
      <c r="AQ34" s="36">
        <f>COUNTIF(Tabel423[[#This Row],[Kolom3]:[Kolom222]],3)</f>
        <v>1</v>
      </c>
      <c r="AR34" s="36">
        <f>COUNTIF(Tabel423[[#This Row],[Kolom3]:[Kolom222]],2)</f>
        <v>0</v>
      </c>
      <c r="AS34" s="36">
        <f>COUNTIF(Tabel423[[#This Row],[Kolom3]:[Kolom222]],1)</f>
        <v>0</v>
      </c>
      <c r="AT34" s="36">
        <f>COUNTIF('Symptomen (alle)'!$D29:$AC29,10)</f>
        <v>1</v>
      </c>
      <c r="AU34" s="36">
        <f>COUNTIF('Symptomen (alle)'!$D29:$AC29,5)</f>
        <v>2</v>
      </c>
      <c r="AV34" s="36">
        <f>COUNTIF('Symptomen (alle)'!$D29:$AC29,3)</f>
        <v>4</v>
      </c>
      <c r="AW34" s="36">
        <f>COUNTIF('Symptomen (alle)'!$D29:$AC29,2)</f>
        <v>1</v>
      </c>
      <c r="AX34" s="36">
        <f>COUNTIF('Symptomen (alle)'!$D29:$AC29,1)</f>
        <v>0</v>
      </c>
      <c r="AY34" s="22">
        <f>IF(Tabel423[[#This Row],[Kolom300]]=0,0,Tabel423[[#This Row],[Kolom2972]]/Tabel423[[#This Row],[Kolom300]])</f>
        <v>1</v>
      </c>
      <c r="AZ34" s="22">
        <f>IF(Tabel423[[#This Row],[Kolom301]]=0,0,Tabel423[[#This Row],[Kolom2973]]/Tabel423[[#This Row],[Kolom301]])</f>
        <v>0</v>
      </c>
      <c r="BA34" s="22">
        <f>IF(Tabel423[[#This Row],[Kolom294]]=0,0,Tabel423[[#This Row],[Kolom298]]/Tabel423[[#This Row],[Kolom294]])</f>
        <v>0</v>
      </c>
      <c r="BB34" s="22">
        <f>IF(Tabel423[[#This Row],[Kolom295]]=0,0,Tabel423[[#This Row],[Kolom299]]/Tabel423[[#This Row],[Kolom295]])</f>
        <v>0</v>
      </c>
      <c r="BC34" s="22">
        <f>IF(Tabel423[[#This Row],[Kolom2965]]=0,0,Tabel423[[#This Row],[Kolom300]]/Tabel423[[#This Row],[Kolom2965]])</f>
        <v>1</v>
      </c>
      <c r="BD34" s="22">
        <f>IF(Tabel423[[#This Row],[Kolom2966]]=0,0,Tabel423[[#This Row],[Kolom301]]/Tabel423[[#This Row],[Kolom2966]])</f>
        <v>0.5</v>
      </c>
      <c r="BE34" s="22">
        <f>IF(Tabel423[[#This Row],[Kolom2962]]=0,0,Tabel423[[#This Row],[Kolom294]]/Tabel423[[#This Row],[Kolom2962]])</f>
        <v>0.25</v>
      </c>
      <c r="BF34" s="22">
        <f>IF(Tabel423[[#This Row],[Kolom29622]]=0,0,Tabel423[[#This Row],[Kolom295]]/Tabel423[[#This Row],[Kolom29622]])</f>
        <v>0</v>
      </c>
      <c r="BG34" s="22">
        <f>IF(Tabel423[[#This Row],[Kolom29623]]=0,0,Tabel423[[#This Row],[Kolom296]]/Tabel423[[#This Row],[Kolom29623]])</f>
        <v>0</v>
      </c>
      <c r="BH34" s="22">
        <f>(10*Tabel423[[#This Row],[Kolom296232]]+5*Tabel423[[#This Row],[Kolom296233]]+3*Tabel423[[#This Row],[Kolom29624]]+2*Tabel423[[#This Row],[Kolom2963]]+Tabel423[[#This Row],[Kolom29]])/21</f>
        <v>0.50140056022408963</v>
      </c>
      <c r="BI34" s="22">
        <f>(10*Tabel423[[#This Row],[Kolom296232]]+5*Tabel423[[#This Row],[Kolom296233]]+3*Tabel423[[#This Row],[Kolom29624]]+2*Tabel423[[#This Row],[Kolom2963]])/20</f>
        <v>0.5</v>
      </c>
      <c r="BJ34" s="22">
        <f>(10*Tabel423[[#This Row],[Kolom29634]]+3*Tabel423[[#This Row],[Kolom29633]]+2*Tabel423[[#This Row],[Kolom29632]]+Tabel423[[#This Row],[Kolom2964]])/16</f>
        <v>0.671875</v>
      </c>
      <c r="BK34" s="22">
        <f>(10*Tabel423[[#This Row],[Kolom29634]]+5*Tabel423[[#This Row],[Kolom29635]]+3*Tabel423[[#This Row],[Kolom29633]]+2*Tabel423[[#This Row],[Kolom29632]])/20</f>
        <v>0.66249999999999998</v>
      </c>
      <c r="BL34" s="22">
        <f>Tabel423[[#This Row],[Kolom29]]</f>
        <v>0.52941176470588236</v>
      </c>
      <c r="BM34" s="36">
        <f>_xlfn.RANK.EQ(Tabel423[[#This Row],[Kolom29]],$AI$7:$AI$37)</f>
        <v>7</v>
      </c>
      <c r="BN34" s="36">
        <f>_xlfn.RANK.EQ(Tabel423[[#This Row],[Kolom293]],BH$7:BH$37)</f>
        <v>5</v>
      </c>
      <c r="BO34" s="36">
        <f>_xlfn.RANK.EQ(Tabel423[[#This Row],[Kolom2933]],BI$7:BI$37)</f>
        <v>3</v>
      </c>
      <c r="BP34" s="36">
        <f>_xlfn.RANK.EQ(Tabel423[[#This Row],[Kolom29332]],BJ$7:BJ$37)</f>
        <v>6</v>
      </c>
      <c r="BQ34" s="36">
        <f>_xlfn.RANK.EQ(Tabel423[[#This Row],[Kolom2934]],BK$7:BK$37)</f>
        <v>1</v>
      </c>
      <c r="BR34" s="23"/>
    </row>
    <row r="35" spans="2:70">
      <c r="B35" s="21" t="str">
        <f>'Symptomen (alle)'!A30</f>
        <v>Aggression</v>
      </c>
      <c r="C35" s="21">
        <f>'Symptomen (alle)'!B30</f>
        <v>0</v>
      </c>
      <c r="D35" s="21">
        <f>IF(D$4="x",'Symptomen (alle)'!C30,0)</f>
        <v>0</v>
      </c>
      <c r="E35" s="21">
        <f>IF(E$4="x",'Symptomen (alle)'!D30,0)</f>
        <v>1</v>
      </c>
      <c r="F35" s="21">
        <f>IF(F$4="x",'Symptomen (alle)'!E30,0)</f>
        <v>0</v>
      </c>
      <c r="G35" s="21">
        <f>IF(G$4="x",'Symptomen (alle)'!F30,0)</f>
        <v>0</v>
      </c>
      <c r="H35" s="21">
        <f>IF(H$4="x",'Symptomen (alle)'!G30,0)</f>
        <v>1</v>
      </c>
      <c r="I35" s="21">
        <f>IF(I$4="x",'Symptomen (alle)'!H30,0)</f>
        <v>0</v>
      </c>
      <c r="J35" s="21">
        <f>IF(J$4="x",'Symptomen (alle)'!I30,0)</f>
        <v>2</v>
      </c>
      <c r="K35" s="21">
        <f>IF(K$4="x",'Symptomen (alle)'!J30,0)</f>
        <v>0</v>
      </c>
      <c r="L35" s="21">
        <f>IF(L$4="x",'Symptomen (alle)'!K30,0)</f>
        <v>0</v>
      </c>
      <c r="M35" s="21">
        <f>IF(M$4="x",'Symptomen (alle)'!L30,0)</f>
        <v>0</v>
      </c>
      <c r="N35" s="21">
        <f>IF(N$4="x",'Symptomen (alle)'!M30,0)</f>
        <v>0</v>
      </c>
      <c r="O35" s="21">
        <f>IF(O$4="x",'Symptomen (alle)'!N30,0)</f>
        <v>0</v>
      </c>
      <c r="P35" s="21">
        <f>IF(P$4="x",'Symptomen (alle)'!O30,0)</f>
        <v>0</v>
      </c>
      <c r="Q35" s="21">
        <f>IF(Q$4="x",'Symptomen (alle)'!P30,0)</f>
        <v>0</v>
      </c>
      <c r="R35" s="21">
        <f>IF(R$4="x",'Symptomen (alle)'!Q30,0)</f>
        <v>0</v>
      </c>
      <c r="S35" s="21">
        <f>IF(S$4="x",'Symptomen (alle)'!R30,0)</f>
        <v>0</v>
      </c>
      <c r="T35" s="21">
        <f>IF(T$4="x",'Symptomen (alle)'!S30,0)</f>
        <v>0</v>
      </c>
      <c r="U35" s="21">
        <f>IF(U$4="x",'Symptomen (alle)'!T30,0)</f>
        <v>0</v>
      </c>
      <c r="V35" s="21">
        <f>IF(V$4="x",'Symptomen (alle)'!U30,0)</f>
        <v>0</v>
      </c>
      <c r="W35" s="21">
        <f>IF(W$4="x",'Symptomen (alle)'!V30,0)</f>
        <v>0</v>
      </c>
      <c r="X35" s="21">
        <f>IF(X$4="x",'Symptomen (alle)'!W30,0)</f>
        <v>1</v>
      </c>
      <c r="Y35" s="21">
        <f>IF(Y$4="x",'Symptomen (alle)'!X30,0)</f>
        <v>0</v>
      </c>
      <c r="Z35" s="21">
        <f>IF(Z$4="x",'Symptomen (alle)'!Y30,0)</f>
        <v>0</v>
      </c>
      <c r="AA35" s="21">
        <f>IF(AA$4="x",'Symptomen (alle)'!Z30,0)</f>
        <v>0</v>
      </c>
      <c r="AB35" s="21">
        <f>IF(AB$4="x",'Symptomen (alle)'!AA30,0)</f>
        <v>0</v>
      </c>
      <c r="AC35" s="21">
        <f>IF(AC$4="x",'Symptomen (alle)'!AB30,0)</f>
        <v>2</v>
      </c>
      <c r="AD35" s="21">
        <f>IF(AD$4="x",'Symptomen (alle)'!AC30,0)</f>
        <v>1</v>
      </c>
      <c r="AE35" s="21">
        <f t="shared" si="0"/>
        <v>8</v>
      </c>
      <c r="AF35" s="21">
        <f>HLOOKUP($B$4,ZiekteFam!$B$1:$T$32,AG35,FALSE)</f>
        <v>3</v>
      </c>
      <c r="AG35" s="32">
        <f t="shared" si="1"/>
        <v>30</v>
      </c>
      <c r="AH35" s="32">
        <f>SUM('Symptomen (alle)'!D30:AC30)</f>
        <v>30</v>
      </c>
      <c r="AI35" s="22">
        <f>Tabel423[[#This Row],[Kolom25]]/Tabel423[[#This Row],[Kolom28]]</f>
        <v>0.26666666666666666</v>
      </c>
      <c r="AJ35" s="36">
        <f t="shared" si="2"/>
        <v>4</v>
      </c>
      <c r="AK35" s="36">
        <f t="shared" si="3"/>
        <v>0</v>
      </c>
      <c r="AL35" s="36">
        <f t="shared" si="4"/>
        <v>0</v>
      </c>
      <c r="AM35" s="36">
        <f t="shared" si="5"/>
        <v>0</v>
      </c>
      <c r="AN35" s="36">
        <f t="shared" si="6"/>
        <v>1</v>
      </c>
      <c r="AO35" s="36">
        <f>COUNTIF(Tabel423[[#This Row],[Kolom3]:[Kolom222]],10)</f>
        <v>0</v>
      </c>
      <c r="AP35" s="36">
        <f>COUNTIF(Tabel423[[#This Row],[Kolom3]:[Kolom222]],5)</f>
        <v>0</v>
      </c>
      <c r="AQ35" s="36">
        <f>COUNTIF(Tabel423[[#This Row],[Kolom3]:[Kolom222]],3)</f>
        <v>0</v>
      </c>
      <c r="AR35" s="36">
        <f>COUNTIF(Tabel423[[#This Row],[Kolom3]:[Kolom222]],2)</f>
        <v>2</v>
      </c>
      <c r="AS35" s="36">
        <f>COUNTIF(Tabel423[[#This Row],[Kolom3]:[Kolom222]],1)</f>
        <v>4</v>
      </c>
      <c r="AT35" s="36">
        <f>COUNTIF('Symptomen (alle)'!$D30:$AC30,10)</f>
        <v>1</v>
      </c>
      <c r="AU35" s="36">
        <f>COUNTIF('Symptomen (alle)'!$D30:$AC30,5)</f>
        <v>0</v>
      </c>
      <c r="AV35" s="36">
        <f>COUNTIF('Symptomen (alle)'!$D30:$AC30,3)</f>
        <v>1</v>
      </c>
      <c r="AW35" s="36">
        <f>COUNTIF('Symptomen (alle)'!$D30:$AC30,2)</f>
        <v>5</v>
      </c>
      <c r="AX35" s="36">
        <f>COUNTIF('Symptomen (alle)'!$D30:$AC30,1)</f>
        <v>7</v>
      </c>
      <c r="AY35" s="22">
        <f>IF(Tabel423[[#This Row],[Kolom300]]=0,0,Tabel423[[#This Row],[Kolom2972]]/Tabel423[[#This Row],[Kolom300]])</f>
        <v>0</v>
      </c>
      <c r="AZ35" s="22">
        <f>IF(Tabel423[[#This Row],[Kolom301]]=0,0,Tabel423[[#This Row],[Kolom2973]]/Tabel423[[#This Row],[Kolom301]])</f>
        <v>0</v>
      </c>
      <c r="BA35" s="22">
        <f>IF(Tabel423[[#This Row],[Kolom294]]=0,0,Tabel423[[#This Row],[Kolom298]]/Tabel423[[#This Row],[Kolom294]])</f>
        <v>0</v>
      </c>
      <c r="BB35" s="22">
        <f>IF(Tabel423[[#This Row],[Kolom295]]=0,0,Tabel423[[#This Row],[Kolom299]]/Tabel423[[#This Row],[Kolom295]])</f>
        <v>0.5</v>
      </c>
      <c r="BC35" s="22">
        <f>IF(Tabel423[[#This Row],[Kolom2965]]=0,0,Tabel423[[#This Row],[Kolom300]]/Tabel423[[#This Row],[Kolom2965]])</f>
        <v>0</v>
      </c>
      <c r="BD35" s="22">
        <f>IF(Tabel423[[#This Row],[Kolom2966]]=0,0,Tabel423[[#This Row],[Kolom301]]/Tabel423[[#This Row],[Kolom2966]])</f>
        <v>0</v>
      </c>
      <c r="BE35" s="22">
        <f>IF(Tabel423[[#This Row],[Kolom2962]]=0,0,Tabel423[[#This Row],[Kolom294]]/Tabel423[[#This Row],[Kolom2962]])</f>
        <v>0</v>
      </c>
      <c r="BF35" s="22">
        <f>IF(Tabel423[[#This Row],[Kolom29622]]=0,0,Tabel423[[#This Row],[Kolom295]]/Tabel423[[#This Row],[Kolom29622]])</f>
        <v>0.4</v>
      </c>
      <c r="BG35" s="22">
        <f>IF(Tabel423[[#This Row],[Kolom29623]]=0,0,Tabel423[[#This Row],[Kolom296]]/Tabel423[[#This Row],[Kolom29623]])</f>
        <v>0.5714285714285714</v>
      </c>
      <c r="BH35" s="22">
        <f>(10*Tabel423[[#This Row],[Kolom296232]]+5*Tabel423[[#This Row],[Kolom296233]]+3*Tabel423[[#This Row],[Kolom29624]]+2*Tabel423[[#This Row],[Kolom2963]]+Tabel423[[#This Row],[Kolom29]])/21</f>
        <v>6.0317460317460311E-2</v>
      </c>
      <c r="BI35" s="22">
        <f>(10*Tabel423[[#This Row],[Kolom296232]]+5*Tabel423[[#This Row],[Kolom296233]]+3*Tabel423[[#This Row],[Kolom29624]]+2*Tabel423[[#This Row],[Kolom2963]])/20</f>
        <v>0.05</v>
      </c>
      <c r="BJ35" s="22">
        <f>(10*Tabel423[[#This Row],[Kolom29634]]+3*Tabel423[[#This Row],[Kolom29633]]+2*Tabel423[[#This Row],[Kolom29632]]+Tabel423[[#This Row],[Kolom2964]])/16</f>
        <v>8.5714285714285715E-2</v>
      </c>
      <c r="BK35" s="22">
        <f>(10*Tabel423[[#This Row],[Kolom29634]]+5*Tabel423[[#This Row],[Kolom29635]]+3*Tabel423[[#This Row],[Kolom29633]]+2*Tabel423[[#This Row],[Kolom29632]])/20</f>
        <v>0.04</v>
      </c>
      <c r="BL35" s="22">
        <f>Tabel423[[#This Row],[Kolom29]]</f>
        <v>0.26666666666666666</v>
      </c>
      <c r="BM35" s="36">
        <f>_xlfn.RANK.EQ(Tabel423[[#This Row],[Kolom29]],$AI$7:$AI$37)</f>
        <v>29</v>
      </c>
      <c r="BN35" s="36">
        <f>_xlfn.RANK.EQ(Tabel423[[#This Row],[Kolom293]],BH$7:BH$37)</f>
        <v>21</v>
      </c>
      <c r="BO35" s="36">
        <f>_xlfn.RANK.EQ(Tabel423[[#This Row],[Kolom2933]],BI$7:BI$37)</f>
        <v>16</v>
      </c>
      <c r="BP35" s="36">
        <f>_xlfn.RANK.EQ(Tabel423[[#This Row],[Kolom29332]],BJ$7:BJ$37)</f>
        <v>30</v>
      </c>
      <c r="BQ35" s="36">
        <f>_xlfn.RANK.EQ(Tabel423[[#This Row],[Kolom2934]],BK$7:BK$37)</f>
        <v>31</v>
      </c>
      <c r="BR35" s="23"/>
    </row>
    <row r="36" spans="2:70">
      <c r="B36" s="21" t="str">
        <f>'Symptomen (alle)'!A31</f>
        <v>Poor Water Quality= verwijderen???= beter bij analyse:water waardes</v>
      </c>
      <c r="C36" s="21">
        <f>'Symptomen (alle)'!B31</f>
        <v>0</v>
      </c>
      <c r="D36" s="21">
        <f>IF(D$4="x",'Symptomen (alle)'!C31,0)</f>
        <v>0</v>
      </c>
      <c r="E36" s="21">
        <f>IF(E$4="x",'Symptomen (alle)'!D31,0)</f>
        <v>1</v>
      </c>
      <c r="F36" s="21">
        <f>IF(F$4="x",'Symptomen (alle)'!E31,0)</f>
        <v>0</v>
      </c>
      <c r="G36" s="21">
        <f>IF(G$4="x",'Symptomen (alle)'!F31,0)</f>
        <v>0</v>
      </c>
      <c r="H36" s="21">
        <f>IF(H$4="x",'Symptomen (alle)'!G31,0)</f>
        <v>1</v>
      </c>
      <c r="I36" s="21">
        <f>IF(I$4="x",'Symptomen (alle)'!H31,0)</f>
        <v>0</v>
      </c>
      <c r="J36" s="21">
        <f>IF(J$4="x",'Symptomen (alle)'!I31,0)</f>
        <v>1</v>
      </c>
      <c r="K36" s="21">
        <f>IF(K$4="x",'Symptomen (alle)'!J31,0)</f>
        <v>0</v>
      </c>
      <c r="L36" s="21">
        <f>IF(L$4="x",'Symptomen (alle)'!K31,0)</f>
        <v>0</v>
      </c>
      <c r="M36" s="21">
        <f>IF(M$4="x",'Symptomen (alle)'!L31,0)</f>
        <v>0</v>
      </c>
      <c r="N36" s="21">
        <f>IF(N$4="x",'Symptomen (alle)'!M31,0)</f>
        <v>0</v>
      </c>
      <c r="O36" s="21">
        <f>IF(O$4="x",'Symptomen (alle)'!N31,0)</f>
        <v>0</v>
      </c>
      <c r="P36" s="21">
        <f>IF(P$4="x",'Symptomen (alle)'!O31,0)</f>
        <v>0</v>
      </c>
      <c r="Q36" s="21">
        <f>IF(Q$4="x",'Symptomen (alle)'!P31,0)</f>
        <v>0</v>
      </c>
      <c r="R36" s="21">
        <f>IF(R$4="x",'Symptomen (alle)'!Q31,0)</f>
        <v>0</v>
      </c>
      <c r="S36" s="21">
        <f>IF(S$4="x",'Symptomen (alle)'!R31,0)</f>
        <v>0</v>
      </c>
      <c r="T36" s="21">
        <f>IF(T$4="x",'Symptomen (alle)'!S31,0)</f>
        <v>0</v>
      </c>
      <c r="U36" s="21">
        <f>IF(U$4="x",'Symptomen (alle)'!T31,0)</f>
        <v>0</v>
      </c>
      <c r="V36" s="21">
        <f>IF(V$4="x",'Symptomen (alle)'!U31,0)</f>
        <v>0</v>
      </c>
      <c r="W36" s="21">
        <f>IF(W$4="x",'Symptomen (alle)'!V31,0)</f>
        <v>0</v>
      </c>
      <c r="X36" s="21">
        <f>IF(X$4="x",'Symptomen (alle)'!W31,0)</f>
        <v>3</v>
      </c>
      <c r="Y36" s="21">
        <f>IF(Y$4="x",'Symptomen (alle)'!X31,0)</f>
        <v>0</v>
      </c>
      <c r="Z36" s="21">
        <f>IF(Z$4="x",'Symptomen (alle)'!Y31,0)</f>
        <v>0</v>
      </c>
      <c r="AA36" s="21">
        <f>IF(AA$4="x",'Symptomen (alle)'!Z31,0)</f>
        <v>0</v>
      </c>
      <c r="AB36" s="21">
        <f>IF(AB$4="x",'Symptomen (alle)'!AA31,0)</f>
        <v>0</v>
      </c>
      <c r="AC36" s="21">
        <f>IF(AC$4="x",'Symptomen (alle)'!AB31,0)</f>
        <v>10</v>
      </c>
      <c r="AD36" s="21">
        <f>IF(AD$4="x",'Symptomen (alle)'!AC31,0)</f>
        <v>2</v>
      </c>
      <c r="AE36" s="21">
        <f t="shared" si="0"/>
        <v>18</v>
      </c>
      <c r="AF36" s="21">
        <f>HLOOKUP($B$4,ZiekteFam!$B$1:$T$32,AG36,FALSE)</f>
        <v>0</v>
      </c>
      <c r="AG36" s="32">
        <f t="shared" si="1"/>
        <v>31</v>
      </c>
      <c r="AH36" s="32">
        <f>SUM('Symptomen (alle)'!D31:AC31)</f>
        <v>35</v>
      </c>
      <c r="AI36" s="22">
        <f>Tabel423[[#This Row],[Kolom25]]/Tabel423[[#This Row],[Kolom28]]</f>
        <v>0.51428571428571423</v>
      </c>
      <c r="AJ36" s="36">
        <f t="shared" si="2"/>
        <v>4</v>
      </c>
      <c r="AK36" s="36">
        <f t="shared" si="3"/>
        <v>0</v>
      </c>
      <c r="AL36" s="36">
        <f t="shared" si="4"/>
        <v>0</v>
      </c>
      <c r="AM36" s="36">
        <f t="shared" si="5"/>
        <v>0</v>
      </c>
      <c r="AN36" s="36">
        <f t="shared" si="6"/>
        <v>0</v>
      </c>
      <c r="AO36" s="36">
        <f>COUNTIF(Tabel423[[#This Row],[Kolom3]:[Kolom222]],10)</f>
        <v>1</v>
      </c>
      <c r="AP36" s="36">
        <f>COUNTIF(Tabel423[[#This Row],[Kolom3]:[Kolom222]],5)</f>
        <v>0</v>
      </c>
      <c r="AQ36" s="36">
        <f>COUNTIF(Tabel423[[#This Row],[Kolom3]:[Kolom222]],3)</f>
        <v>1</v>
      </c>
      <c r="AR36" s="36">
        <f>COUNTIF(Tabel423[[#This Row],[Kolom3]:[Kolom222]],2)</f>
        <v>1</v>
      </c>
      <c r="AS36" s="36">
        <f>COUNTIF(Tabel423[[#This Row],[Kolom3]:[Kolom222]],1)</f>
        <v>3</v>
      </c>
      <c r="AT36" s="36">
        <f>COUNTIF('Symptomen (alle)'!$D31:$AC31,10)</f>
        <v>1</v>
      </c>
      <c r="AU36" s="36">
        <f>COUNTIF('Symptomen (alle)'!$D31:$AC31,5)</f>
        <v>0</v>
      </c>
      <c r="AV36" s="36">
        <f>COUNTIF('Symptomen (alle)'!$D31:$AC31,3)</f>
        <v>4</v>
      </c>
      <c r="AW36" s="36">
        <f>COUNTIF('Symptomen (alle)'!$D31:$AC31,2)</f>
        <v>4</v>
      </c>
      <c r="AX36" s="36">
        <f>COUNTIF('Symptomen (alle)'!$D31:$AC31,1)</f>
        <v>5</v>
      </c>
      <c r="AY36" s="22">
        <f>IF(Tabel423[[#This Row],[Kolom300]]=0,0,Tabel423[[#This Row],[Kolom2972]]/Tabel423[[#This Row],[Kolom300]])</f>
        <v>0</v>
      </c>
      <c r="AZ36" s="22">
        <f>IF(Tabel423[[#This Row],[Kolom301]]=0,0,Tabel423[[#This Row],[Kolom2973]]/Tabel423[[#This Row],[Kolom301]])</f>
        <v>0</v>
      </c>
      <c r="BA36" s="22">
        <f>IF(Tabel423[[#This Row],[Kolom294]]=0,0,Tabel423[[#This Row],[Kolom298]]/Tabel423[[#This Row],[Kolom294]])</f>
        <v>0</v>
      </c>
      <c r="BB36" s="22">
        <f>IF(Tabel423[[#This Row],[Kolom295]]=0,0,Tabel423[[#This Row],[Kolom299]]/Tabel423[[#This Row],[Kolom295]])</f>
        <v>0</v>
      </c>
      <c r="BC36" s="22">
        <f>IF(Tabel423[[#This Row],[Kolom2965]]=0,0,Tabel423[[#This Row],[Kolom300]]/Tabel423[[#This Row],[Kolom2965]])</f>
        <v>1</v>
      </c>
      <c r="BD36" s="22">
        <f>IF(Tabel423[[#This Row],[Kolom2966]]=0,0,Tabel423[[#This Row],[Kolom301]]/Tabel423[[#This Row],[Kolom2966]])</f>
        <v>0</v>
      </c>
      <c r="BE36" s="22">
        <f>IF(Tabel423[[#This Row],[Kolom2962]]=0,0,Tabel423[[#This Row],[Kolom294]]/Tabel423[[#This Row],[Kolom2962]])</f>
        <v>0.25</v>
      </c>
      <c r="BF36" s="22">
        <f>IF(Tabel423[[#This Row],[Kolom29622]]=0,0,Tabel423[[#This Row],[Kolom295]]/Tabel423[[#This Row],[Kolom29622]])</f>
        <v>0.25</v>
      </c>
      <c r="BG36" s="22">
        <f>IF(Tabel423[[#This Row],[Kolom29623]]=0,0,Tabel423[[#This Row],[Kolom296]]/Tabel423[[#This Row],[Kolom29623]])</f>
        <v>0.6</v>
      </c>
      <c r="BH36" s="22">
        <f>(10*Tabel423[[#This Row],[Kolom296232]]+5*Tabel423[[#This Row],[Kolom296233]]+3*Tabel423[[#This Row],[Kolom29624]]+2*Tabel423[[#This Row],[Kolom2963]]+Tabel423[[#This Row],[Kolom29]])/21</f>
        <v>2.4489795918367346E-2</v>
      </c>
      <c r="BI36" s="22">
        <f>(10*Tabel423[[#This Row],[Kolom296232]]+5*Tabel423[[#This Row],[Kolom296233]]+3*Tabel423[[#This Row],[Kolom29624]]+2*Tabel423[[#This Row],[Kolom2963]])/20</f>
        <v>0</v>
      </c>
      <c r="BJ36" s="22">
        <f>(10*Tabel423[[#This Row],[Kolom29634]]+3*Tabel423[[#This Row],[Kolom29633]]+2*Tabel423[[#This Row],[Kolom29632]]+Tabel423[[#This Row],[Kolom2964]])/16</f>
        <v>0.74062499999999998</v>
      </c>
      <c r="BK36" s="22">
        <f>(10*Tabel423[[#This Row],[Kolom29634]]+5*Tabel423[[#This Row],[Kolom29635]]+3*Tabel423[[#This Row],[Kolom29633]]+2*Tabel423[[#This Row],[Kolom29632]])/20</f>
        <v>0.5625</v>
      </c>
      <c r="BL36" s="22">
        <f>Tabel423[[#This Row],[Kolom29]]</f>
        <v>0.51428571428571423</v>
      </c>
      <c r="BM36" s="36">
        <f>_xlfn.RANK.EQ(Tabel423[[#This Row],[Kolom29]],$AI$7:$AI$37)</f>
        <v>10</v>
      </c>
      <c r="BN36" s="36">
        <f>_xlfn.RANK.EQ(Tabel423[[#This Row],[Kolom293]],BH$7:BH$37)</f>
        <v>23</v>
      </c>
      <c r="BO36" s="36">
        <f>_xlfn.RANK.EQ(Tabel423[[#This Row],[Kolom2933]],BI$7:BI$37)</f>
        <v>22</v>
      </c>
      <c r="BP36" s="36">
        <f>_xlfn.RANK.EQ(Tabel423[[#This Row],[Kolom29332]],BJ$7:BJ$37)</f>
        <v>3</v>
      </c>
      <c r="BQ36" s="36">
        <f>_xlfn.RANK.EQ(Tabel423[[#This Row],[Kolom2934]],BK$7:BK$37)</f>
        <v>6</v>
      </c>
      <c r="BR36" s="23"/>
    </row>
    <row r="37" spans="2:70">
      <c r="B37" s="21" t="str">
        <f>'Symptomen (alle)'!A32</f>
        <v>Nutritional deficiency/lack of (good) food</v>
      </c>
      <c r="C37" s="21">
        <f>'Symptomen (alle)'!B32</f>
        <v>0</v>
      </c>
      <c r="D37" s="21">
        <f>IF(D$4="x",'Symptomen (alle)'!C32,0)</f>
        <v>0</v>
      </c>
      <c r="E37" s="21">
        <f>IF(E$4="x",'Symptomen (alle)'!D32,0)</f>
        <v>2</v>
      </c>
      <c r="F37" s="21">
        <f>IF(F$4="x",'Symptomen (alle)'!E32,0)</f>
        <v>2</v>
      </c>
      <c r="G37" s="21">
        <f>IF(G$4="x",'Symptomen (alle)'!F32,0)</f>
        <v>5</v>
      </c>
      <c r="H37" s="21">
        <f>IF(H$4="x",'Symptomen (alle)'!G32,0)</f>
        <v>0</v>
      </c>
      <c r="I37" s="21">
        <f>IF(I$4="x",'Symptomen (alle)'!H32,0)</f>
        <v>0</v>
      </c>
      <c r="J37" s="21">
        <f>IF(J$4="x",'Symptomen (alle)'!I32,0)</f>
        <v>0</v>
      </c>
      <c r="K37" s="21">
        <f>IF(K$4="x",'Symptomen (alle)'!J32,0)</f>
        <v>0</v>
      </c>
      <c r="L37" s="21">
        <f>IF(L$4="x",'Symptomen (alle)'!K32,0)</f>
        <v>0</v>
      </c>
      <c r="M37" s="21">
        <f>IF(M$4="x",'Symptomen (alle)'!L32,0)</f>
        <v>0</v>
      </c>
      <c r="N37" s="21">
        <f>IF(N$4="x",'Symptomen (alle)'!M32,0)</f>
        <v>0</v>
      </c>
      <c r="O37" s="21">
        <f>IF(O$4="x",'Symptomen (alle)'!N32,0)</f>
        <v>0</v>
      </c>
      <c r="P37" s="21">
        <f>IF(P$4="x",'Symptomen (alle)'!O32,0)</f>
        <v>0</v>
      </c>
      <c r="Q37" s="21">
        <f>IF(Q$4="x",'Symptomen (alle)'!P32,0)</f>
        <v>0</v>
      </c>
      <c r="R37" s="21">
        <f>IF(R$4="x",'Symptomen (alle)'!Q32,0)</f>
        <v>0</v>
      </c>
      <c r="S37" s="21">
        <f>IF(S$4="x",'Symptomen (alle)'!R32,0)</f>
        <v>0</v>
      </c>
      <c r="T37" s="21">
        <f>IF(T$4="x",'Symptomen (alle)'!S32,0)</f>
        <v>0</v>
      </c>
      <c r="U37" s="21">
        <f>IF(U$4="x",'Symptomen (alle)'!T32,0)</f>
        <v>0</v>
      </c>
      <c r="V37" s="21">
        <f>IF(V$4="x",'Symptomen (alle)'!U32,0)</f>
        <v>0</v>
      </c>
      <c r="W37" s="21">
        <f>IF(W$4="x",'Symptomen (alle)'!V32,0)</f>
        <v>0</v>
      </c>
      <c r="X37" s="21">
        <f>IF(X$4="x",'Symptomen (alle)'!W32,0)</f>
        <v>0</v>
      </c>
      <c r="Y37" s="21">
        <f>IF(Y$4="x",'Symptomen (alle)'!X32,0)</f>
        <v>0</v>
      </c>
      <c r="Z37" s="21">
        <f>IF(Z$4="x",'Symptomen (alle)'!Y32,0)</f>
        <v>0</v>
      </c>
      <c r="AA37" s="21">
        <f>IF(AA$4="x",'Symptomen (alle)'!Z32,0)</f>
        <v>0</v>
      </c>
      <c r="AB37" s="21">
        <f>IF(AB$4="x",'Symptomen (alle)'!AA32,0)</f>
        <v>0</v>
      </c>
      <c r="AC37" s="21">
        <f>IF(AC$4="x",'Symptomen (alle)'!AB32,0)</f>
        <v>10</v>
      </c>
      <c r="AD37" s="21">
        <f>IF(AD$4="x",'Symptomen (alle)'!AC32,0)</f>
        <v>2</v>
      </c>
      <c r="AE37" s="21">
        <f t="shared" si="0"/>
        <v>21</v>
      </c>
      <c r="AF37" s="21">
        <f>HLOOKUP($B$4,ZiekteFam!$B$1:$T$32,AG37,FALSE)</f>
        <v>0</v>
      </c>
      <c r="AG37" s="32">
        <f t="shared" si="1"/>
        <v>32</v>
      </c>
      <c r="AH37" s="32">
        <f>SUM('Symptomen (alle)'!D32:AC32)</f>
        <v>39</v>
      </c>
      <c r="AI37" s="22">
        <f>Tabel423[[#This Row],[Kolom25]]/Tabel423[[#This Row],[Kolom28]]</f>
        <v>0.53846153846153844</v>
      </c>
      <c r="AJ37" s="36">
        <f t="shared" si="2"/>
        <v>4</v>
      </c>
      <c r="AK37" s="36">
        <f t="shared" si="3"/>
        <v>0</v>
      </c>
      <c r="AL37" s="36">
        <f t="shared" si="4"/>
        <v>1</v>
      </c>
      <c r="AM37" s="36">
        <f t="shared" si="5"/>
        <v>0</v>
      </c>
      <c r="AN37" s="36">
        <f t="shared" si="6"/>
        <v>1</v>
      </c>
      <c r="AO37" s="36">
        <f>COUNTIF(Tabel423[[#This Row],[Kolom3]:[Kolom222]],10)</f>
        <v>1</v>
      </c>
      <c r="AP37" s="36">
        <f>COUNTIF(Tabel423[[#This Row],[Kolom3]:[Kolom222]],5)</f>
        <v>1</v>
      </c>
      <c r="AQ37" s="36">
        <f>COUNTIF(Tabel423[[#This Row],[Kolom3]:[Kolom222]],3)</f>
        <v>0</v>
      </c>
      <c r="AR37" s="36">
        <f>COUNTIF(Tabel423[[#This Row],[Kolom3]:[Kolom222]],2)</f>
        <v>3</v>
      </c>
      <c r="AS37" s="36">
        <f>COUNTIF(Tabel423[[#This Row],[Kolom3]:[Kolom222]],1)</f>
        <v>0</v>
      </c>
      <c r="AT37" s="36">
        <f>COUNTIF('Symptomen (alle)'!$D32:$AC32,10)</f>
        <v>2</v>
      </c>
      <c r="AU37" s="36">
        <f>COUNTIF('Symptomen (alle)'!$D32:$AC32,5)</f>
        <v>1</v>
      </c>
      <c r="AV37" s="36">
        <f>COUNTIF('Symptomen (alle)'!$D32:$AC32,3)</f>
        <v>1</v>
      </c>
      <c r="AW37" s="36">
        <f>COUNTIF('Symptomen (alle)'!$D32:$AC32,2)</f>
        <v>5</v>
      </c>
      <c r="AX37" s="36">
        <f>COUNTIF('Symptomen (alle)'!$D32:$AC32,1)</f>
        <v>1</v>
      </c>
      <c r="AY37" s="22">
        <f>IF(Tabel423[[#This Row],[Kolom300]]=0,0,Tabel423[[#This Row],[Kolom2972]]/Tabel423[[#This Row],[Kolom300]])</f>
        <v>0</v>
      </c>
      <c r="AZ37" s="22">
        <f>IF(Tabel423[[#This Row],[Kolom301]]=0,0,Tabel423[[#This Row],[Kolom2973]]/Tabel423[[#This Row],[Kolom301]])</f>
        <v>1</v>
      </c>
      <c r="BA37" s="22">
        <f>IF(Tabel423[[#This Row],[Kolom294]]=0,0,Tabel423[[#This Row],[Kolom298]]/Tabel423[[#This Row],[Kolom294]])</f>
        <v>0</v>
      </c>
      <c r="BB37" s="22">
        <f>IF(Tabel423[[#This Row],[Kolom295]]=0,0,Tabel423[[#This Row],[Kolom299]]/Tabel423[[#This Row],[Kolom295]])</f>
        <v>0.33333333333333331</v>
      </c>
      <c r="BC37" s="22">
        <f>IF(Tabel423[[#This Row],[Kolom2965]]=0,0,Tabel423[[#This Row],[Kolom300]]/Tabel423[[#This Row],[Kolom2965]])</f>
        <v>0.5</v>
      </c>
      <c r="BD37" s="22">
        <f>IF(Tabel423[[#This Row],[Kolom2966]]=0,0,Tabel423[[#This Row],[Kolom301]]/Tabel423[[#This Row],[Kolom2966]])</f>
        <v>1</v>
      </c>
      <c r="BE37" s="22">
        <f>IF(Tabel423[[#This Row],[Kolom2962]]=0,0,Tabel423[[#This Row],[Kolom294]]/Tabel423[[#This Row],[Kolom2962]])</f>
        <v>0</v>
      </c>
      <c r="BF37" s="22">
        <f>IF(Tabel423[[#This Row],[Kolom29622]]=0,0,Tabel423[[#This Row],[Kolom295]]/Tabel423[[#This Row],[Kolom29622]])</f>
        <v>0.6</v>
      </c>
      <c r="BG37" s="22">
        <f>IF(Tabel423[[#This Row],[Kolom29623]]=0,0,Tabel423[[#This Row],[Kolom296]]/Tabel423[[#This Row],[Kolom29623]])</f>
        <v>0</v>
      </c>
      <c r="BH37" s="22">
        <f>(10*Tabel423[[#This Row],[Kolom296232]]+5*Tabel423[[#This Row],[Kolom296233]]+3*Tabel423[[#This Row],[Kolom29624]]+2*Tabel423[[#This Row],[Kolom2963]]+Tabel423[[#This Row],[Kolom29]])/21</f>
        <v>0.29548229548229549</v>
      </c>
      <c r="BI37" s="22">
        <f>(10*Tabel423[[#This Row],[Kolom296232]]+5*Tabel423[[#This Row],[Kolom296233]]+3*Tabel423[[#This Row],[Kolom29624]]+2*Tabel423[[#This Row],[Kolom2963]])/20</f>
        <v>0.28333333333333333</v>
      </c>
      <c r="BJ37" s="22">
        <f>(10*Tabel423[[#This Row],[Kolom29634]]+3*Tabel423[[#This Row],[Kolom29633]]+2*Tabel423[[#This Row],[Kolom29632]]+Tabel423[[#This Row],[Kolom2964]])/16</f>
        <v>0.38750000000000001</v>
      </c>
      <c r="BK37" s="22">
        <f>(10*Tabel423[[#This Row],[Kolom29634]]+5*Tabel423[[#This Row],[Kolom29635]]+3*Tabel423[[#This Row],[Kolom29633]]+2*Tabel423[[#This Row],[Kolom29632]])/20</f>
        <v>0.55999999999999994</v>
      </c>
      <c r="BL37" s="22">
        <f>Tabel423[[#This Row],[Kolom29]]</f>
        <v>0.53846153846153844</v>
      </c>
      <c r="BM37" s="36">
        <f>_xlfn.RANK.EQ(Tabel423[[#This Row],[Kolom29]],$AI$7:$AI$37)</f>
        <v>5</v>
      </c>
      <c r="BN37" s="36">
        <f>_xlfn.RANK.EQ(Tabel423[[#This Row],[Kolom293]],BH$7:BH$37)</f>
        <v>7</v>
      </c>
      <c r="BO37" s="36">
        <f>_xlfn.RANK.EQ(Tabel423[[#This Row],[Kolom2933]],BI$7:BI$37)</f>
        <v>7</v>
      </c>
      <c r="BP37" s="36">
        <f>_xlfn.RANK.EQ(Tabel423[[#This Row],[Kolom29332]],BJ$7:BJ$37)</f>
        <v>9</v>
      </c>
      <c r="BQ37" s="36">
        <f>_xlfn.RANK.EQ(Tabel423[[#This Row],[Kolom2934]],BK$7:BK$37)</f>
        <v>7</v>
      </c>
      <c r="BR37" s="23"/>
    </row>
    <row r="41" spans="2:70">
      <c r="B41" t="s">
        <v>88</v>
      </c>
    </row>
    <row r="43" spans="2:70">
      <c r="B43" t="s">
        <v>82</v>
      </c>
    </row>
    <row r="44" spans="2:70">
      <c r="B44" t="s">
        <v>83</v>
      </c>
    </row>
    <row r="45" spans="2:70">
      <c r="B45" t="s">
        <v>84</v>
      </c>
    </row>
    <row r="46" spans="2:70">
      <c r="B46" t="s">
        <v>85</v>
      </c>
    </row>
    <row r="47" spans="2:70">
      <c r="B47" t="s">
        <v>86</v>
      </c>
    </row>
    <row r="48" spans="2:70">
      <c r="B48" t="s">
        <v>87</v>
      </c>
    </row>
    <row r="50" spans="2:2">
      <c r="B50" t="s">
        <v>89</v>
      </c>
    </row>
  </sheetData>
  <conditionalFormatting sqref="AI7:BK37 BM7:BQ37">
    <cfRule type="expression" dxfId="44" priority="5">
      <formula>$D7="x"</formula>
    </cfRule>
  </conditionalFormatting>
  <conditionalFormatting sqref="BL7:BL37">
    <cfRule type="expression" dxfId="43" priority="2">
      <formula>$AF7=10</formula>
    </cfRule>
    <cfRule type="expression" dxfId="42" priority="3">
      <formula>$AF7=3</formula>
    </cfRule>
    <cfRule type="expression" dxfId="41" priority="4">
      <formula>$AF7=0</formula>
    </cfRule>
  </conditionalFormatting>
  <conditionalFormatting sqref="C28:C29">
    <cfRule type="expression" dxfId="40" priority="1">
      <formula>$D28="x"</formula>
    </cfRule>
  </conditionalFormatting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ZiekteFam!$A$38:$A$56</xm:f>
          </x14:formula1>
          <xm:sqref>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8" sqref="B18"/>
    </sheetView>
  </sheetViews>
  <sheetFormatPr baseColWidth="10" defaultColWidth="11.5" defaultRowHeight="14" x14ac:dyDescent="0"/>
  <cols>
    <col min="1" max="1" width="64.83203125" bestFit="1" customWidth="1"/>
  </cols>
  <sheetData>
    <row r="1" spans="1:6">
      <c r="A1" s="19" t="s">
        <v>269</v>
      </c>
      <c r="B1" s="19" t="s">
        <v>264</v>
      </c>
      <c r="C1" s="19" t="s">
        <v>265</v>
      </c>
      <c r="D1" s="19" t="s">
        <v>266</v>
      </c>
      <c r="E1" s="19" t="s">
        <v>267</v>
      </c>
      <c r="F1" s="19" t="s">
        <v>268</v>
      </c>
    </row>
    <row r="2" spans="1:6">
      <c r="A2" t="s">
        <v>155</v>
      </c>
      <c r="B2">
        <v>1</v>
      </c>
      <c r="C2">
        <v>10</v>
      </c>
      <c r="D2">
        <v>10</v>
      </c>
      <c r="E2">
        <v>17</v>
      </c>
      <c r="F2">
        <v>15</v>
      </c>
    </row>
    <row r="3" spans="1:6">
      <c r="A3" t="s">
        <v>7</v>
      </c>
      <c r="B3">
        <v>2</v>
      </c>
      <c r="C3">
        <v>6</v>
      </c>
      <c r="D3">
        <v>6</v>
      </c>
      <c r="E3">
        <v>5</v>
      </c>
      <c r="F3">
        <v>5</v>
      </c>
    </row>
    <row r="4" spans="1:6">
      <c r="A4" t="s">
        <v>27</v>
      </c>
      <c r="B4">
        <v>3</v>
      </c>
      <c r="C4">
        <v>3</v>
      </c>
      <c r="D4">
        <v>3</v>
      </c>
      <c r="E4">
        <v>6</v>
      </c>
      <c r="F4">
        <v>6</v>
      </c>
    </row>
    <row r="5" spans="1:6">
      <c r="A5" t="s">
        <v>153</v>
      </c>
      <c r="B5">
        <v>4</v>
      </c>
      <c r="C5">
        <v>21</v>
      </c>
      <c r="D5">
        <v>21</v>
      </c>
      <c r="E5">
        <v>12</v>
      </c>
      <c r="F5">
        <v>12</v>
      </c>
    </row>
    <row r="6" spans="1:6">
      <c r="A6" t="s">
        <v>13</v>
      </c>
      <c r="B6">
        <v>5</v>
      </c>
      <c r="C6">
        <v>4</v>
      </c>
      <c r="D6">
        <v>4</v>
      </c>
      <c r="E6">
        <v>4</v>
      </c>
      <c r="F6">
        <v>4</v>
      </c>
    </row>
    <row r="7" spans="1:6">
      <c r="A7" t="s">
        <v>169</v>
      </c>
      <c r="B7">
        <v>6</v>
      </c>
      <c r="C7">
        <v>15</v>
      </c>
      <c r="D7">
        <v>15</v>
      </c>
      <c r="E7">
        <v>15</v>
      </c>
      <c r="F7">
        <v>18</v>
      </c>
    </row>
    <row r="8" spans="1:6">
      <c r="A8" t="s">
        <v>35</v>
      </c>
      <c r="B8">
        <v>7</v>
      </c>
      <c r="C8">
        <v>12</v>
      </c>
      <c r="D8">
        <v>14</v>
      </c>
      <c r="E8">
        <v>22</v>
      </c>
      <c r="F8">
        <v>19</v>
      </c>
    </row>
    <row r="9" spans="1:6">
      <c r="A9" t="s">
        <v>34</v>
      </c>
      <c r="B9">
        <v>7</v>
      </c>
      <c r="C9">
        <v>22</v>
      </c>
      <c r="D9">
        <v>21</v>
      </c>
      <c r="E9">
        <v>1</v>
      </c>
      <c r="F9">
        <v>1</v>
      </c>
    </row>
    <row r="10" spans="1:6">
      <c r="A10" t="s">
        <v>29</v>
      </c>
      <c r="B10">
        <v>9</v>
      </c>
      <c r="C10">
        <v>1</v>
      </c>
      <c r="D10">
        <v>1</v>
      </c>
      <c r="E10">
        <v>2</v>
      </c>
      <c r="F10">
        <v>1</v>
      </c>
    </row>
    <row r="11" spans="1:6">
      <c r="A11" t="s">
        <v>22</v>
      </c>
      <c r="B11">
        <v>10</v>
      </c>
      <c r="C11">
        <v>23</v>
      </c>
      <c r="D11">
        <v>21</v>
      </c>
      <c r="E11">
        <v>3</v>
      </c>
      <c r="F11">
        <v>3</v>
      </c>
    </row>
    <row r="12" spans="1:6">
      <c r="A12" t="s">
        <v>25</v>
      </c>
      <c r="B12">
        <v>11</v>
      </c>
      <c r="C12">
        <v>24</v>
      </c>
      <c r="D12">
        <v>21</v>
      </c>
      <c r="E12">
        <v>10</v>
      </c>
      <c r="F12">
        <v>10</v>
      </c>
    </row>
    <row r="13" spans="1:6">
      <c r="A13" t="s">
        <v>6</v>
      </c>
      <c r="B13">
        <v>12</v>
      </c>
      <c r="C13">
        <v>8</v>
      </c>
      <c r="D13">
        <v>8</v>
      </c>
      <c r="E13">
        <v>23</v>
      </c>
      <c r="F13">
        <v>20</v>
      </c>
    </row>
    <row r="14" spans="1:6">
      <c r="A14" t="s">
        <v>31</v>
      </c>
      <c r="B14">
        <v>13</v>
      </c>
      <c r="C14">
        <v>5</v>
      </c>
      <c r="D14">
        <v>4</v>
      </c>
      <c r="E14">
        <v>7</v>
      </c>
      <c r="F14">
        <v>7</v>
      </c>
    </row>
    <row r="15" spans="1:6">
      <c r="A15" t="s">
        <v>154</v>
      </c>
      <c r="B15">
        <v>14</v>
      </c>
      <c r="C15">
        <v>11</v>
      </c>
      <c r="D15">
        <v>10</v>
      </c>
      <c r="E15">
        <v>26</v>
      </c>
      <c r="F15">
        <v>28</v>
      </c>
    </row>
    <row r="16" spans="1:6">
      <c r="A16" t="s">
        <v>32</v>
      </c>
      <c r="B16">
        <v>15</v>
      </c>
      <c r="C16">
        <v>16</v>
      </c>
      <c r="D16">
        <v>15</v>
      </c>
      <c r="E16">
        <v>13</v>
      </c>
      <c r="F16">
        <v>13</v>
      </c>
    </row>
    <row r="17" spans="1:6">
      <c r="A17" t="s">
        <v>11</v>
      </c>
      <c r="B17">
        <v>16</v>
      </c>
      <c r="C17">
        <v>2</v>
      </c>
      <c r="D17">
        <v>2</v>
      </c>
      <c r="E17">
        <v>9</v>
      </c>
      <c r="F17">
        <v>9</v>
      </c>
    </row>
    <row r="18" spans="1:6">
      <c r="A18" t="s">
        <v>8</v>
      </c>
      <c r="B18">
        <v>17</v>
      </c>
      <c r="C18">
        <v>17</v>
      </c>
      <c r="D18">
        <v>15</v>
      </c>
      <c r="E18">
        <v>11</v>
      </c>
      <c r="F18">
        <v>11</v>
      </c>
    </row>
    <row r="19" spans="1:6">
      <c r="A19" t="s">
        <v>33</v>
      </c>
      <c r="B19">
        <v>18</v>
      </c>
      <c r="C19">
        <v>25</v>
      </c>
      <c r="D19">
        <v>21</v>
      </c>
      <c r="E19">
        <v>8</v>
      </c>
      <c r="F19">
        <v>8</v>
      </c>
    </row>
    <row r="20" spans="1:6">
      <c r="A20" t="s">
        <v>157</v>
      </c>
      <c r="B20">
        <v>19</v>
      </c>
      <c r="C20">
        <v>26</v>
      </c>
      <c r="D20">
        <v>21</v>
      </c>
      <c r="E20">
        <v>16</v>
      </c>
      <c r="F20">
        <v>20</v>
      </c>
    </row>
    <row r="21" spans="1:6">
      <c r="A21" t="s">
        <v>23</v>
      </c>
      <c r="B21">
        <v>20</v>
      </c>
      <c r="C21">
        <v>9</v>
      </c>
      <c r="D21">
        <v>8</v>
      </c>
      <c r="E21">
        <v>29</v>
      </c>
      <c r="F21">
        <v>23</v>
      </c>
    </row>
    <row r="22" spans="1:6">
      <c r="A22" t="s">
        <v>172</v>
      </c>
      <c r="B22">
        <v>21</v>
      </c>
      <c r="C22">
        <v>27</v>
      </c>
      <c r="D22">
        <v>21</v>
      </c>
      <c r="E22">
        <v>14</v>
      </c>
      <c r="F22">
        <v>14</v>
      </c>
    </row>
    <row r="23" spans="1:6">
      <c r="A23" t="s">
        <v>81</v>
      </c>
      <c r="B23">
        <v>21</v>
      </c>
      <c r="C23">
        <v>27</v>
      </c>
      <c r="D23">
        <v>21</v>
      </c>
      <c r="E23">
        <v>17</v>
      </c>
      <c r="F23">
        <v>15</v>
      </c>
    </row>
    <row r="24" spans="1:6">
      <c r="A24" t="s">
        <v>14</v>
      </c>
      <c r="B24">
        <v>23</v>
      </c>
      <c r="C24">
        <v>13</v>
      </c>
      <c r="D24">
        <v>12</v>
      </c>
      <c r="E24">
        <v>21</v>
      </c>
      <c r="F24">
        <v>24</v>
      </c>
    </row>
    <row r="25" spans="1:6">
      <c r="A25" t="s">
        <v>168</v>
      </c>
      <c r="B25">
        <v>23</v>
      </c>
      <c r="C25">
        <v>13</v>
      </c>
      <c r="D25">
        <v>12</v>
      </c>
      <c r="E25">
        <v>20</v>
      </c>
      <c r="F25">
        <v>20</v>
      </c>
    </row>
    <row r="26" spans="1:6">
      <c r="A26" t="s">
        <v>12</v>
      </c>
      <c r="B26">
        <v>25</v>
      </c>
      <c r="C26">
        <v>18</v>
      </c>
      <c r="D26">
        <v>15</v>
      </c>
      <c r="E26">
        <v>28</v>
      </c>
      <c r="F26">
        <v>29</v>
      </c>
    </row>
    <row r="27" spans="1:6">
      <c r="A27" t="s">
        <v>156</v>
      </c>
      <c r="B27">
        <v>26</v>
      </c>
      <c r="C27">
        <v>7</v>
      </c>
      <c r="D27">
        <v>7</v>
      </c>
      <c r="E27">
        <v>24</v>
      </c>
      <c r="F27">
        <v>27</v>
      </c>
    </row>
    <row r="28" spans="1:6">
      <c r="A28" t="s">
        <v>28</v>
      </c>
      <c r="B28">
        <v>27</v>
      </c>
      <c r="C28">
        <v>19</v>
      </c>
      <c r="D28">
        <v>15</v>
      </c>
      <c r="E28">
        <v>27</v>
      </c>
      <c r="F28">
        <v>26</v>
      </c>
    </row>
    <row r="29" spans="1:6">
      <c r="A29" t="s">
        <v>24</v>
      </c>
      <c r="B29">
        <v>28</v>
      </c>
      <c r="C29">
        <v>20</v>
      </c>
      <c r="D29">
        <v>15</v>
      </c>
      <c r="E29">
        <v>30</v>
      </c>
      <c r="F29">
        <v>30</v>
      </c>
    </row>
    <row r="30" spans="1:6">
      <c r="A30" t="s">
        <v>171</v>
      </c>
      <c r="B30">
        <v>29</v>
      </c>
      <c r="C30">
        <v>29</v>
      </c>
      <c r="D30">
        <v>21</v>
      </c>
      <c r="E30">
        <v>17</v>
      </c>
      <c r="F30">
        <v>15</v>
      </c>
    </row>
    <row r="31" spans="1:6">
      <c r="A31" t="s">
        <v>173</v>
      </c>
      <c r="B31">
        <v>30</v>
      </c>
      <c r="C31">
        <v>30</v>
      </c>
      <c r="D31">
        <v>21</v>
      </c>
      <c r="E31">
        <v>25</v>
      </c>
      <c r="F31">
        <v>25</v>
      </c>
    </row>
  </sheetData>
  <sortState ref="A2:F31">
    <sortCondition ref="B2:B31"/>
    <sortCondition ref="C2:C31"/>
  </sortState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workbookViewId="0">
      <selection activeCell="C30" sqref="C30"/>
    </sheetView>
  </sheetViews>
  <sheetFormatPr baseColWidth="10" defaultColWidth="8.83203125" defaultRowHeight="14" x14ac:dyDescent="0"/>
  <cols>
    <col min="1" max="1" width="64.83203125" style="99" bestFit="1" customWidth="1"/>
    <col min="2" max="2" width="6.5" style="99" customWidth="1"/>
    <col min="3" max="3" width="6.33203125" style="99" customWidth="1"/>
    <col min="4" max="4" width="6.1640625" style="99" bestFit="1" customWidth="1"/>
    <col min="5" max="5" width="3.5" style="99" bestFit="1" customWidth="1"/>
    <col min="6" max="6" width="6" style="99" bestFit="1" customWidth="1"/>
    <col min="7" max="19" width="3.5" style="99" bestFit="1" customWidth="1"/>
    <col min="20" max="20" width="4.1640625" style="99" bestFit="1" customWidth="1"/>
    <col min="21" max="22" width="3.5" style="99" bestFit="1" customWidth="1"/>
    <col min="23" max="24" width="3.33203125" style="99" bestFit="1" customWidth="1"/>
    <col min="25" max="27" width="3.5" style="99" bestFit="1" customWidth="1"/>
    <col min="28" max="28" width="4.1640625" style="99" bestFit="1" customWidth="1"/>
    <col min="29" max="29" width="3.5" style="99" bestFit="1" customWidth="1"/>
    <col min="30" max="16384" width="8.83203125" style="99"/>
  </cols>
  <sheetData>
    <row r="1" spans="1:30" ht="258" thickBot="1">
      <c r="A1" s="89" t="s">
        <v>219</v>
      </c>
      <c r="B1" s="90" t="str">
        <f>'Symptomen (alle)'!B1</f>
        <v>lijken op elkaar</v>
      </c>
      <c r="C1" s="72" t="str">
        <f>'Symptomen (alle)'!C1</f>
        <v>Pathogen visible to_x000D_ naked eye</v>
      </c>
      <c r="D1" s="71" t="str">
        <f>'Symptomen (alle)'!D1</f>
        <v>Colour_x000D_change/Darkening</v>
      </c>
      <c r="E1" s="39" t="str">
        <f>'Symptomen (alle)'!E1</f>
        <v>Pop-eye</v>
      </c>
      <c r="F1" s="39" t="str">
        <f>'Symptomen (alle)'!F1</f>
        <v>Swollen Belly/Dropsy/ascites</v>
      </c>
      <c r="G1" s="39" t="str">
        <f>'Symptomen (alle)'!G1</f>
        <v>Reddish wounds/Skin ulcer/heamorrhage/Bleeding skin</v>
      </c>
      <c r="H1" s="39" t="str">
        <f>'Symptomen (alle)'!H1</f>
        <v>Extra growth/swelling on body/skin/little creature</v>
      </c>
      <c r="I1" s="39" t="str">
        <f>'Symptomen (alle)'!I1</f>
        <v>Body Whitish/Necrotic lesion/Holes</v>
      </c>
      <c r="J1" s="90" t="str">
        <f>'Symptomen (alle)'!J1</f>
        <v>Scale loss</v>
      </c>
      <c r="K1" s="71" t="str">
        <f>'Symptomen (alle)'!K1</f>
        <v>Fin rot/damage</v>
      </c>
      <c r="L1" s="90" t="str">
        <f>'Symptomen (alle)'!L1</f>
        <v>White Mucus/Extra Slime/Cloudy/Turbid skin</v>
      </c>
      <c r="M1" s="90" t="str">
        <f>'Symptomen (alle)'!M1</f>
        <v>Faecal cast/Excrement strings at anus</v>
      </c>
      <c r="N1" s="90" t="str">
        <f>'Symptomen (alle)'!N1</f>
        <v>Clamped/Fraying fins</v>
      </c>
      <c r="O1" s="39" t="str">
        <f>'Symptomen (alle)'!O1</f>
        <v>Cotton growth</v>
      </c>
      <c r="P1" s="39" t="str">
        <f>'Symptomen (alle)'!P1</f>
        <v>White spots</v>
      </c>
      <c r="Q1" s="39" t="str">
        <f>'Symptomen (alle)'!Q1</f>
        <v>White large specks/growths</v>
      </c>
      <c r="R1" s="39" t="str">
        <f>'Symptomen (alle)'!R1</f>
        <v>Black spots</v>
      </c>
      <c r="S1" s="39" t="str">
        <f>'Symptomen (alle)'!S1</f>
        <v>Dusty look/fine pepper spots</v>
      </c>
      <c r="T1" s="90" t="str">
        <f>'Symptomen (alle)'!T1</f>
        <v>Listless(V): Laying on bottom</v>
      </c>
      <c r="U1" s="90" t="str">
        <f>'Symptomen (alle)'!U1</f>
        <v>Listless(V): hanging at surface</v>
      </c>
      <c r="V1" s="90" t="str">
        <f>'Symptomen (alle)'!V1</f>
        <v>Scraping(V)</v>
      </c>
      <c r="W1" s="90" t="str">
        <f>'Symptomen (alle)'!W1</f>
        <v>Respiratory problems(V)</v>
      </c>
      <c r="X1" s="90" t="str">
        <f>'Symptomen (alle)'!X1</f>
        <v>"Abnormal"/stressbehavior(V)</v>
      </c>
      <c r="Y1" s="90" t="str">
        <f>'Symptomen (alle)'!Y1</f>
        <v>Increased mortalitities(uit???)</v>
      </c>
      <c r="Z1" s="90" t="str">
        <f>'Symptomen (alle)'!Z1</f>
        <v>Fighting (v)</v>
      </c>
      <c r="AA1" s="90" t="str">
        <f>'Symptomen (alle)'!AA1</f>
        <v>Coughing (v)</v>
      </c>
      <c r="AB1" s="90" t="str">
        <f>'Symptomen (alle)'!AB1</f>
        <v>Emaciation/Exhaustion Progress</v>
      </c>
      <c r="AC1" s="90" t="str">
        <f>'Symptomen (alle)'!AC1</f>
        <v>Less appetite/less eating</v>
      </c>
      <c r="AD1" s="98" t="s">
        <v>209</v>
      </c>
    </row>
    <row r="2" spans="1:30" ht="15" thickBot="1">
      <c r="A2" s="100" t="str">
        <f>'Symptomen (alle)'!A2</f>
        <v>Fish Lice(Argulus/Livoneca)</v>
      </c>
      <c r="B2" s="101"/>
      <c r="C2" s="102" t="str">
        <f>'Symptomen (alle)'!C2</f>
        <v>x</v>
      </c>
      <c r="D2" s="102">
        <f>'Symptomen (alle)'!D2</f>
        <v>0</v>
      </c>
      <c r="E2" s="102">
        <f>'Symptomen (alle)'!E2</f>
        <v>0</v>
      </c>
      <c r="F2" s="102">
        <f>'Symptomen (alle)'!F2</f>
        <v>0</v>
      </c>
      <c r="G2" s="102">
        <f>'Symptomen (alle)'!G2</f>
        <v>1</v>
      </c>
      <c r="H2" s="102">
        <f>'Symptomen (alle)'!H2</f>
        <v>0</v>
      </c>
      <c r="I2" s="102">
        <f>'Symptomen (alle)'!I2</f>
        <v>0</v>
      </c>
      <c r="J2" s="102">
        <f>'Symptomen (alle)'!J2</f>
        <v>3</v>
      </c>
      <c r="K2" s="102">
        <f>'Symptomen (alle)'!K2</f>
        <v>1</v>
      </c>
      <c r="L2" s="102">
        <f>'Symptomen (alle)'!L2</f>
        <v>0</v>
      </c>
      <c r="M2" s="102">
        <f>'Symptomen (alle)'!M2</f>
        <v>0</v>
      </c>
      <c r="N2" s="102">
        <f>'Symptomen (alle)'!N2</f>
        <v>0</v>
      </c>
      <c r="O2" s="102">
        <f>'Symptomen (alle)'!O2</f>
        <v>0</v>
      </c>
      <c r="P2" s="102">
        <f>'Symptomen (alle)'!P2</f>
        <v>0</v>
      </c>
      <c r="Q2" s="102">
        <f>'Symptomen (alle)'!Q2</f>
        <v>0</v>
      </c>
      <c r="R2" s="102">
        <f>'Symptomen (alle)'!R2</f>
        <v>0</v>
      </c>
      <c r="S2" s="102">
        <f>'Symptomen (alle)'!S2</f>
        <v>0</v>
      </c>
      <c r="T2" s="102">
        <f>'Symptomen (alle)'!T2</f>
        <v>3</v>
      </c>
      <c r="U2" s="102">
        <f>'Symptomen (alle)'!U2</f>
        <v>0</v>
      </c>
      <c r="V2" s="102">
        <f>'Symptomen (alle)'!V2</f>
        <v>3</v>
      </c>
      <c r="W2" s="102">
        <f>'Symptomen (alle)'!W2</f>
        <v>0</v>
      </c>
      <c r="X2" s="102">
        <f>'Symptomen (alle)'!X2</f>
        <v>2</v>
      </c>
      <c r="Y2" s="102">
        <f>'Symptomen (alle)'!Y2</f>
        <v>1</v>
      </c>
      <c r="Z2" s="102">
        <f>'Symptomen (alle)'!Z2</f>
        <v>0</v>
      </c>
      <c r="AA2" s="102">
        <f>'Symptomen (alle)'!AA2</f>
        <v>0</v>
      </c>
      <c r="AB2" s="102">
        <f>'Symptomen (alle)'!AB2</f>
        <v>2</v>
      </c>
      <c r="AC2" s="102">
        <f>'Symptomen (alle)'!AC2</f>
        <v>2</v>
      </c>
      <c r="AD2" s="99">
        <f>SUM(D2:AC2)</f>
        <v>18</v>
      </c>
    </row>
    <row r="3" spans="1:30" ht="15" thickBot="1">
      <c r="A3" s="100" t="str">
        <f>'Symptomen (alle)'!A3</f>
        <v>Anchor worm (Lernaea)</v>
      </c>
      <c r="B3" s="108"/>
      <c r="C3" s="102" t="str">
        <f>'Symptomen (alle)'!C3</f>
        <v>x</v>
      </c>
      <c r="D3" s="102">
        <f>'Symptomen (alle)'!D3</f>
        <v>0</v>
      </c>
      <c r="E3" s="102">
        <f>'Symptomen (alle)'!E3</f>
        <v>0</v>
      </c>
      <c r="F3" s="102">
        <f>'Symptomen (alle)'!F3</f>
        <v>0</v>
      </c>
      <c r="G3" s="102">
        <f>'Symptomen (alle)'!G3</f>
        <v>3</v>
      </c>
      <c r="H3" s="102">
        <f>'Symptomen (alle)'!H3</f>
        <v>10</v>
      </c>
      <c r="I3" s="102">
        <f>'Symptomen (alle)'!I3</f>
        <v>1</v>
      </c>
      <c r="J3" s="102">
        <f>'Symptomen (alle)'!J3</f>
        <v>0</v>
      </c>
      <c r="K3" s="102">
        <f>'Symptomen (alle)'!K3</f>
        <v>0</v>
      </c>
      <c r="L3" s="102">
        <f>'Symptomen (alle)'!L3</f>
        <v>0</v>
      </c>
      <c r="M3" s="102">
        <f>'Symptomen (alle)'!M3</f>
        <v>0</v>
      </c>
      <c r="N3" s="102">
        <f>'Symptomen (alle)'!N3</f>
        <v>0</v>
      </c>
      <c r="O3" s="102">
        <f>'Symptomen (alle)'!O3</f>
        <v>2</v>
      </c>
      <c r="P3" s="102">
        <f>'Symptomen (alle)'!P3</f>
        <v>0</v>
      </c>
      <c r="Q3" s="102">
        <f>'Symptomen (alle)'!Q3</f>
        <v>0</v>
      </c>
      <c r="R3" s="102">
        <f>'Symptomen (alle)'!R3</f>
        <v>0</v>
      </c>
      <c r="S3" s="102">
        <f>'Symptomen (alle)'!S3</f>
        <v>0</v>
      </c>
      <c r="T3" s="102">
        <f>'Symptomen (alle)'!T3</f>
        <v>3</v>
      </c>
      <c r="U3" s="102">
        <f>'Symptomen (alle)'!U3</f>
        <v>0</v>
      </c>
      <c r="V3" s="102">
        <f>'Symptomen (alle)'!V3</f>
        <v>3</v>
      </c>
      <c r="W3" s="102">
        <f>'Symptomen (alle)'!W3</f>
        <v>0</v>
      </c>
      <c r="X3" s="102">
        <f>'Symptomen (alle)'!X3</f>
        <v>2</v>
      </c>
      <c r="Y3" s="102">
        <f>'Symptomen (alle)'!Y3</f>
        <v>1</v>
      </c>
      <c r="Z3" s="102">
        <f>'Symptomen (alle)'!Z3</f>
        <v>0</v>
      </c>
      <c r="AA3" s="102">
        <f>'Symptomen (alle)'!AA3</f>
        <v>0</v>
      </c>
      <c r="AB3" s="102">
        <f>'Symptomen (alle)'!AB3</f>
        <v>2</v>
      </c>
      <c r="AC3" s="102">
        <f>'Symptomen (alle)'!AC3</f>
        <v>2</v>
      </c>
      <c r="AD3" s="99">
        <f t="shared" ref="AD3:AD12" si="0">SUM(D3:AC3)</f>
        <v>29</v>
      </c>
    </row>
    <row r="4" spans="1:30">
      <c r="A4" s="100" t="str">
        <f>'Symptomen (alle)'!A4</f>
        <v>Camallanus</v>
      </c>
      <c r="B4" s="108"/>
      <c r="C4" s="102" t="str">
        <f>'Symptomen (alle)'!C4</f>
        <v>x</v>
      </c>
      <c r="D4" s="102">
        <f>'Symptomen (alle)'!D4</f>
        <v>2</v>
      </c>
      <c r="E4" s="102">
        <f>'Symptomen (alle)'!E4</f>
        <v>0</v>
      </c>
      <c r="F4" s="102">
        <f>'Symptomen (alle)'!F4</f>
        <v>0</v>
      </c>
      <c r="G4" s="102">
        <f>'Symptomen (alle)'!G4</f>
        <v>0</v>
      </c>
      <c r="H4" s="102">
        <f>'Symptomen (alle)'!H4</f>
        <v>0</v>
      </c>
      <c r="I4" s="102">
        <f>'Symptomen (alle)'!I4</f>
        <v>0</v>
      </c>
      <c r="J4" s="102">
        <f>'Symptomen (alle)'!J4</f>
        <v>0</v>
      </c>
      <c r="K4" s="102">
        <f>'Symptomen (alle)'!K4</f>
        <v>0</v>
      </c>
      <c r="L4" s="102">
        <f>'Symptomen (alle)'!L4</f>
        <v>0</v>
      </c>
      <c r="M4" s="102">
        <f>'Symptomen (alle)'!M4</f>
        <v>10</v>
      </c>
      <c r="N4" s="102">
        <f>'Symptomen (alle)'!N4</f>
        <v>0</v>
      </c>
      <c r="O4" s="102">
        <f>'Symptomen (alle)'!O4</f>
        <v>0</v>
      </c>
      <c r="P4" s="102">
        <f>'Symptomen (alle)'!P4</f>
        <v>0</v>
      </c>
      <c r="Q4" s="102">
        <f>'Symptomen (alle)'!Q4</f>
        <v>0</v>
      </c>
      <c r="R4" s="102">
        <f>'Symptomen (alle)'!R4</f>
        <v>0</v>
      </c>
      <c r="S4" s="102">
        <f>'Symptomen (alle)'!S4</f>
        <v>0</v>
      </c>
      <c r="T4" s="102">
        <f>'Symptomen (alle)'!T4</f>
        <v>0</v>
      </c>
      <c r="U4" s="102">
        <f>'Symptomen (alle)'!U4</f>
        <v>0</v>
      </c>
      <c r="V4" s="102">
        <f>'Symptomen (alle)'!V4</f>
        <v>0</v>
      </c>
      <c r="W4" s="102">
        <f>'Symptomen (alle)'!W4</f>
        <v>0</v>
      </c>
      <c r="X4" s="102">
        <f>'Symptomen (alle)'!X4</f>
        <v>0</v>
      </c>
      <c r="Y4" s="102">
        <f>'Symptomen (alle)'!Y4</f>
        <v>2</v>
      </c>
      <c r="Z4" s="102">
        <f>'Symptomen (alle)'!Z4</f>
        <v>0</v>
      </c>
      <c r="AA4" s="102">
        <f>'Symptomen (alle)'!AA4</f>
        <v>0</v>
      </c>
      <c r="AB4" s="102">
        <f>'Symptomen (alle)'!AB4</f>
        <v>3</v>
      </c>
      <c r="AC4" s="102">
        <f>'Symptomen (alle)'!AC4</f>
        <v>1</v>
      </c>
      <c r="AD4" s="99">
        <f t="shared" si="0"/>
        <v>18</v>
      </c>
    </row>
    <row r="5" spans="1:30">
      <c r="A5" s="107" t="str">
        <f>'Symptomen (alle)'!A6</f>
        <v>Swellings (Cancers, Trematodes, Nematodes, Sporozoa, etc.)</v>
      </c>
      <c r="B5" s="108"/>
      <c r="C5" s="109">
        <f>'Symptomen (alle)'!C6</f>
        <v>0</v>
      </c>
      <c r="D5" s="109">
        <f>'Symptomen (alle)'!D6</f>
        <v>3</v>
      </c>
      <c r="E5" s="109">
        <f>'Symptomen (alle)'!E6</f>
        <v>0</v>
      </c>
      <c r="F5" s="109">
        <f>'Symptomen (alle)'!F6</f>
        <v>0</v>
      </c>
      <c r="G5" s="109">
        <f>'Symptomen (alle)'!G6</f>
        <v>0</v>
      </c>
      <c r="H5" s="109">
        <f>'Symptomen (alle)'!H6</f>
        <v>10</v>
      </c>
      <c r="I5" s="109">
        <f>'Symptomen (alle)'!I6</f>
        <v>0</v>
      </c>
      <c r="J5" s="109">
        <f>'Symptomen (alle)'!J6</f>
        <v>0</v>
      </c>
      <c r="K5" s="109">
        <f>'Symptomen (alle)'!K6</f>
        <v>0</v>
      </c>
      <c r="L5" s="109">
        <f>'Symptomen (alle)'!L6</f>
        <v>0</v>
      </c>
      <c r="M5" s="109">
        <f>'Symptomen (alle)'!M6</f>
        <v>0</v>
      </c>
      <c r="N5" s="109">
        <f>'Symptomen (alle)'!N6</f>
        <v>0</v>
      </c>
      <c r="O5" s="109">
        <f>'Symptomen (alle)'!O6</f>
        <v>0</v>
      </c>
      <c r="P5" s="109">
        <f>'Symptomen (alle)'!P6</f>
        <v>0</v>
      </c>
      <c r="Q5" s="109">
        <f>'Symptomen (alle)'!Q6</f>
        <v>5</v>
      </c>
      <c r="R5" s="109">
        <f>'Symptomen (alle)'!R6</f>
        <v>0</v>
      </c>
      <c r="S5" s="109">
        <f>'Symptomen (alle)'!S6</f>
        <v>0</v>
      </c>
      <c r="T5" s="109">
        <f>'Symptomen (alle)'!T6</f>
        <v>1</v>
      </c>
      <c r="U5" s="109">
        <f>'Symptomen (alle)'!U6</f>
        <v>0</v>
      </c>
      <c r="V5" s="109">
        <f>'Symptomen (alle)'!V6</f>
        <v>1</v>
      </c>
      <c r="W5" s="109">
        <f>'Symptomen (alle)'!W6</f>
        <v>0</v>
      </c>
      <c r="X5" s="109">
        <f>'Symptomen (alle)'!X6</f>
        <v>2</v>
      </c>
      <c r="Y5" s="109">
        <f>'Symptomen (alle)'!Y6</f>
        <v>0</v>
      </c>
      <c r="Z5" s="109">
        <f>'Symptomen (alle)'!Z6</f>
        <v>0</v>
      </c>
      <c r="AA5" s="109">
        <f>'Symptomen (alle)'!AA6</f>
        <v>0</v>
      </c>
      <c r="AB5" s="109">
        <f>'Symptomen (alle)'!AB6</f>
        <v>3</v>
      </c>
      <c r="AC5" s="109">
        <f>'Symptomen (alle)'!AC6</f>
        <v>0</v>
      </c>
      <c r="AD5" s="99">
        <f t="shared" si="0"/>
        <v>25</v>
      </c>
    </row>
    <row r="6" spans="1:30">
      <c r="A6" s="107" t="str">
        <f>'Symptomen (alle)'!A9</f>
        <v>ICH/White spot disease_x000D_(Ichthyophthirius)</v>
      </c>
      <c r="B6" s="117">
        <v>1</v>
      </c>
      <c r="C6" s="109" t="str">
        <f>'Symptomen (alle)'!C9</f>
        <v>x</v>
      </c>
      <c r="D6" s="109">
        <f>'Symptomen (alle)'!D9</f>
        <v>2</v>
      </c>
      <c r="E6" s="109">
        <f>'Symptomen (alle)'!E9</f>
        <v>1</v>
      </c>
      <c r="F6" s="109">
        <f>'Symptomen (alle)'!F9</f>
        <v>1</v>
      </c>
      <c r="G6" s="109">
        <f>'Symptomen (alle)'!G9</f>
        <v>2</v>
      </c>
      <c r="H6" s="109">
        <f>'Symptomen (alle)'!H9</f>
        <v>0</v>
      </c>
      <c r="I6" s="109">
        <f>'Symptomen (alle)'!I9</f>
        <v>2</v>
      </c>
      <c r="J6" s="109">
        <f>'Symptomen (alle)'!J9</f>
        <v>0</v>
      </c>
      <c r="K6" s="109">
        <f>'Symptomen (alle)'!K9</f>
        <v>1</v>
      </c>
      <c r="L6" s="109">
        <f>'Symptomen (alle)'!L9</f>
        <v>2</v>
      </c>
      <c r="M6" s="109">
        <f>'Symptomen (alle)'!M9</f>
        <v>0</v>
      </c>
      <c r="N6" s="109">
        <f>'Symptomen (alle)'!N9</f>
        <v>1</v>
      </c>
      <c r="O6" s="109">
        <f>'Symptomen (alle)'!O9</f>
        <v>1</v>
      </c>
      <c r="P6" s="109">
        <f>'Symptomen (alle)'!P9</f>
        <v>10</v>
      </c>
      <c r="Q6" s="109">
        <f>'Symptomen (alle)'!Q9</f>
        <v>1</v>
      </c>
      <c r="R6" s="109">
        <f>'Symptomen (alle)'!R9</f>
        <v>0</v>
      </c>
      <c r="S6" s="109">
        <f>'Symptomen (alle)'!S9</f>
        <v>2</v>
      </c>
      <c r="T6" s="109">
        <f>'Symptomen (alle)'!T9</f>
        <v>3</v>
      </c>
      <c r="U6" s="109">
        <f>'Symptomen (alle)'!U9</f>
        <v>2</v>
      </c>
      <c r="V6" s="109">
        <f>'Symptomen (alle)'!V9</f>
        <v>2</v>
      </c>
      <c r="W6" s="109">
        <f>'Symptomen (alle)'!W9</f>
        <v>3</v>
      </c>
      <c r="X6" s="109">
        <f>'Symptomen (alle)'!X9</f>
        <v>0</v>
      </c>
      <c r="Y6" s="109">
        <f>'Symptomen (alle)'!Y9</f>
        <v>3</v>
      </c>
      <c r="Z6" s="109">
        <f>'Symptomen (alle)'!Z9</f>
        <v>0</v>
      </c>
      <c r="AA6" s="109">
        <f>'Symptomen (alle)'!AA9</f>
        <v>0</v>
      </c>
      <c r="AB6" s="109">
        <f>'Symptomen (alle)'!AB9</f>
        <v>1</v>
      </c>
      <c r="AC6" s="109">
        <f>'Symptomen (alle)'!AC9</f>
        <v>3</v>
      </c>
      <c r="AD6" s="99">
        <f t="shared" si="0"/>
        <v>43</v>
      </c>
    </row>
    <row r="7" spans="1:30">
      <c r="A7" s="107" t="str">
        <f>'Symptomen (alle)'!A10</f>
        <v>Oodinium/Velvet disease</v>
      </c>
      <c r="B7" s="117">
        <v>1</v>
      </c>
      <c r="C7" s="109" t="str">
        <f>'Symptomen (alle)'!C10</f>
        <v>x</v>
      </c>
      <c r="D7" s="109">
        <f>'Symptomen (alle)'!D10</f>
        <v>2</v>
      </c>
      <c r="E7" s="109">
        <f>'Symptomen (alle)'!E10</f>
        <v>0</v>
      </c>
      <c r="F7" s="109">
        <f>'Symptomen (alle)'!F10</f>
        <v>0</v>
      </c>
      <c r="G7" s="109">
        <f>'Symptomen (alle)'!G10</f>
        <v>2</v>
      </c>
      <c r="H7" s="109">
        <f>'Symptomen (alle)'!H10</f>
        <v>0</v>
      </c>
      <c r="I7" s="109">
        <f>'Symptomen (alle)'!I10</f>
        <v>2</v>
      </c>
      <c r="J7" s="109">
        <f>'Symptomen (alle)'!J10</f>
        <v>0</v>
      </c>
      <c r="K7" s="109">
        <f>'Symptomen (alle)'!K10</f>
        <v>1</v>
      </c>
      <c r="L7" s="109">
        <f>'Symptomen (alle)'!L10</f>
        <v>2</v>
      </c>
      <c r="M7" s="109">
        <f>'Symptomen (alle)'!M10</f>
        <v>0</v>
      </c>
      <c r="N7" s="109">
        <f>'Symptomen (alle)'!N10</f>
        <v>1</v>
      </c>
      <c r="O7" s="109">
        <f>'Symptomen (alle)'!O10</f>
        <v>0</v>
      </c>
      <c r="P7" s="109">
        <f>'Symptomen (alle)'!P10</f>
        <v>3</v>
      </c>
      <c r="Q7" s="109">
        <f>'Symptomen (alle)'!Q10</f>
        <v>1</v>
      </c>
      <c r="R7" s="109">
        <f>'Symptomen (alle)'!R10</f>
        <v>0</v>
      </c>
      <c r="S7" s="109">
        <f>'Symptomen (alle)'!S10</f>
        <v>10</v>
      </c>
      <c r="T7" s="109">
        <f>'Symptomen (alle)'!T10</f>
        <v>2</v>
      </c>
      <c r="U7" s="109">
        <f>'Symptomen (alle)'!U10</f>
        <v>1</v>
      </c>
      <c r="V7" s="109">
        <f>'Symptomen (alle)'!V10</f>
        <v>3</v>
      </c>
      <c r="W7" s="109">
        <f>'Symptomen (alle)'!W10</f>
        <v>3</v>
      </c>
      <c r="X7" s="109">
        <f>'Symptomen (alle)'!X10</f>
        <v>2</v>
      </c>
      <c r="Y7" s="109">
        <f>'Symptomen (alle)'!Y10</f>
        <v>3</v>
      </c>
      <c r="Z7" s="109">
        <f>'Symptomen (alle)'!Z10</f>
        <v>0</v>
      </c>
      <c r="AA7" s="109">
        <f>'Symptomen (alle)'!AA10</f>
        <v>0</v>
      </c>
      <c r="AB7" s="109">
        <f>'Symptomen (alle)'!AB10</f>
        <v>2</v>
      </c>
      <c r="AC7" s="109">
        <f>'Symptomen (alle)'!AC10</f>
        <v>1</v>
      </c>
      <c r="AD7" s="99">
        <f t="shared" si="0"/>
        <v>41</v>
      </c>
    </row>
    <row r="8" spans="1:30">
      <c r="A8" s="107" t="str">
        <f>'Symptomen (alle)'!A11</f>
        <v>Black spot disease (mostly encapsulated worm larvae)</v>
      </c>
      <c r="B8" s="117">
        <v>1</v>
      </c>
      <c r="C8" s="109" t="str">
        <f>'Symptomen (alle)'!C11</f>
        <v>x</v>
      </c>
      <c r="D8" s="109">
        <f>'Symptomen (alle)'!D11</f>
        <v>2</v>
      </c>
      <c r="E8" s="109">
        <f>'Symptomen (alle)'!E11</f>
        <v>0</v>
      </c>
      <c r="F8" s="109">
        <f>'Symptomen (alle)'!F11</f>
        <v>0</v>
      </c>
      <c r="G8" s="109">
        <f>'Symptomen (alle)'!G11</f>
        <v>0</v>
      </c>
      <c r="H8" s="109">
        <f>'Symptomen (alle)'!H11</f>
        <v>0</v>
      </c>
      <c r="I8" s="109">
        <f>'Symptomen (alle)'!I11</f>
        <v>1</v>
      </c>
      <c r="J8" s="109">
        <f>'Symptomen (alle)'!J11</f>
        <v>1</v>
      </c>
      <c r="K8" s="109">
        <f>'Symptomen (alle)'!K11</f>
        <v>0</v>
      </c>
      <c r="L8" s="109">
        <f>'Symptomen (alle)'!L11</f>
        <v>0</v>
      </c>
      <c r="M8" s="109">
        <f>'Symptomen (alle)'!M11</f>
        <v>0</v>
      </c>
      <c r="N8" s="109">
        <f>'Symptomen (alle)'!N11</f>
        <v>1</v>
      </c>
      <c r="O8" s="109">
        <f>'Symptomen (alle)'!O11</f>
        <v>0</v>
      </c>
      <c r="P8" s="109">
        <f>'Symptomen (alle)'!P11</f>
        <v>0</v>
      </c>
      <c r="Q8" s="109">
        <f>'Symptomen (alle)'!Q11</f>
        <v>0</v>
      </c>
      <c r="R8" s="109">
        <f>'Symptomen (alle)'!R11</f>
        <v>10</v>
      </c>
      <c r="S8" s="109">
        <f>'Symptomen (alle)'!S11</f>
        <v>0</v>
      </c>
      <c r="T8" s="109">
        <f>'Symptomen (alle)'!T11</f>
        <v>1</v>
      </c>
      <c r="U8" s="109">
        <f>'Symptomen (alle)'!U11</f>
        <v>0</v>
      </c>
      <c r="V8" s="109">
        <f>'Symptomen (alle)'!V11</f>
        <v>1</v>
      </c>
      <c r="W8" s="109">
        <f>'Symptomen (alle)'!W11</f>
        <v>2</v>
      </c>
      <c r="X8" s="109">
        <f>'Symptomen (alle)'!X11</f>
        <v>1</v>
      </c>
      <c r="Y8" s="109">
        <f>'Symptomen (alle)'!Y11</f>
        <v>0</v>
      </c>
      <c r="Z8" s="109">
        <f>'Symptomen (alle)'!Z11</f>
        <v>0</v>
      </c>
      <c r="AA8" s="109">
        <f>'Symptomen (alle)'!AA11</f>
        <v>0</v>
      </c>
      <c r="AB8" s="109">
        <f>'Symptomen (alle)'!AB11</f>
        <v>3</v>
      </c>
      <c r="AC8" s="109">
        <f>'Symptomen (alle)'!AC11</f>
        <v>1</v>
      </c>
      <c r="AD8" s="99">
        <f t="shared" si="0"/>
        <v>24</v>
      </c>
    </row>
    <row r="9" spans="1:30">
      <c r="A9" s="107" t="str">
        <f>'Symptomen (alle)'!A12</f>
        <v>White grub disease (encapsulated worm larvae, NO ICH)</v>
      </c>
      <c r="B9" s="144" t="s">
        <v>270</v>
      </c>
      <c r="C9" s="109" t="str">
        <f>'Symptomen (alle)'!C12</f>
        <v>x</v>
      </c>
      <c r="D9" s="109">
        <f>'Symptomen (alle)'!D12</f>
        <v>1</v>
      </c>
      <c r="E9" s="109">
        <f>'Symptomen (alle)'!E12</f>
        <v>0</v>
      </c>
      <c r="F9" s="109">
        <f>'Symptomen (alle)'!F12</f>
        <v>0</v>
      </c>
      <c r="G9" s="109">
        <f>'Symptomen (alle)'!G12</f>
        <v>0</v>
      </c>
      <c r="H9" s="109">
        <f>'Symptomen (alle)'!H12</f>
        <v>5</v>
      </c>
      <c r="I9" s="109">
        <f>'Symptomen (alle)'!I12</f>
        <v>1</v>
      </c>
      <c r="J9" s="109">
        <f>'Symptomen (alle)'!J12</f>
        <v>1</v>
      </c>
      <c r="K9" s="109">
        <f>'Symptomen (alle)'!K12</f>
        <v>0</v>
      </c>
      <c r="L9" s="109">
        <f>'Symptomen (alle)'!L12</f>
        <v>0</v>
      </c>
      <c r="M9" s="109">
        <f>'Symptomen (alle)'!M12</f>
        <v>0</v>
      </c>
      <c r="N9" s="109">
        <f>'Symptomen (alle)'!N12</f>
        <v>1</v>
      </c>
      <c r="O9" s="109">
        <f>'Symptomen (alle)'!O12</f>
        <v>0</v>
      </c>
      <c r="P9" s="109">
        <f>'Symptomen (alle)'!P12</f>
        <v>0</v>
      </c>
      <c r="Q9" s="109">
        <f>'Symptomen (alle)'!Q12</f>
        <v>10</v>
      </c>
      <c r="R9" s="109">
        <f>'Symptomen (alle)'!R12</f>
        <v>0</v>
      </c>
      <c r="S9" s="109">
        <f>'Symptomen (alle)'!S12</f>
        <v>0</v>
      </c>
      <c r="T9" s="109">
        <f>'Symptomen (alle)'!T12</f>
        <v>1</v>
      </c>
      <c r="U9" s="109">
        <f>'Symptomen (alle)'!U12</f>
        <v>0</v>
      </c>
      <c r="V9" s="109">
        <f>'Symptomen (alle)'!V12</f>
        <v>1</v>
      </c>
      <c r="W9" s="109">
        <f>'Symptomen (alle)'!W12</f>
        <v>0</v>
      </c>
      <c r="X9" s="109">
        <f>'Symptomen (alle)'!X12</f>
        <v>1</v>
      </c>
      <c r="Y9" s="109">
        <f>'Symptomen (alle)'!Y12</f>
        <v>0</v>
      </c>
      <c r="Z9" s="109">
        <f>'Symptomen (alle)'!Z12</f>
        <v>0</v>
      </c>
      <c r="AA9" s="109">
        <f>'Symptomen (alle)'!AA12</f>
        <v>0</v>
      </c>
      <c r="AB9" s="109">
        <f>'Symptomen (alle)'!AB12</f>
        <v>2</v>
      </c>
      <c r="AC9" s="109">
        <f>'Symptomen (alle)'!AC12</f>
        <v>1</v>
      </c>
      <c r="AD9" s="99">
        <f t="shared" si="0"/>
        <v>25</v>
      </c>
    </row>
    <row r="10" spans="1:30">
      <c r="A10" s="107" t="str">
        <f>'Symptomen (alle)'!A17</f>
        <v>Fungus (mostly Saprolegnia)</v>
      </c>
      <c r="B10" s="108">
        <v>3</v>
      </c>
      <c r="C10" s="109" t="str">
        <f>'Symptomen (alle)'!C17</f>
        <v>x</v>
      </c>
      <c r="D10" s="109">
        <f>'Symptomen (alle)'!D17</f>
        <v>1</v>
      </c>
      <c r="E10" s="109">
        <f>'Symptomen (alle)'!E17</f>
        <v>0</v>
      </c>
      <c r="F10" s="109">
        <f>'Symptomen (alle)'!F17</f>
        <v>0</v>
      </c>
      <c r="G10" s="109">
        <f>'Symptomen (alle)'!G17</f>
        <v>2</v>
      </c>
      <c r="H10" s="109">
        <f>'Symptomen (alle)'!H17</f>
        <v>3</v>
      </c>
      <c r="I10" s="109">
        <f>'Symptomen (alle)'!I17</f>
        <v>2</v>
      </c>
      <c r="J10" s="109">
        <f>'Symptomen (alle)'!J17</f>
        <v>0</v>
      </c>
      <c r="K10" s="109">
        <f>'Symptomen (alle)'!K17</f>
        <v>1</v>
      </c>
      <c r="L10" s="109">
        <f>'Symptomen (alle)'!L17</f>
        <v>0</v>
      </c>
      <c r="M10" s="109">
        <f>'Symptomen (alle)'!M17</f>
        <v>0</v>
      </c>
      <c r="N10" s="109">
        <f>'Symptomen (alle)'!N17</f>
        <v>0</v>
      </c>
      <c r="O10" s="109">
        <f>'Symptomen (alle)'!O17</f>
        <v>10</v>
      </c>
      <c r="P10" s="109">
        <f>'Symptomen (alle)'!P17</f>
        <v>0</v>
      </c>
      <c r="Q10" s="109">
        <f>'Symptomen (alle)'!Q17</f>
        <v>1</v>
      </c>
      <c r="R10" s="109">
        <f>'Symptomen (alle)'!R17</f>
        <v>0</v>
      </c>
      <c r="S10" s="109">
        <f>'Symptomen (alle)'!S17</f>
        <v>0</v>
      </c>
      <c r="T10" s="109">
        <f>'Symptomen (alle)'!T17</f>
        <v>2</v>
      </c>
      <c r="U10" s="109">
        <f>'Symptomen (alle)'!U17</f>
        <v>0</v>
      </c>
      <c r="V10" s="109">
        <f>'Symptomen (alle)'!V17</f>
        <v>0</v>
      </c>
      <c r="W10" s="109">
        <f>'Symptomen (alle)'!W17</f>
        <v>0</v>
      </c>
      <c r="X10" s="109">
        <f>'Symptomen (alle)'!X17</f>
        <v>0</v>
      </c>
      <c r="Y10" s="109">
        <f>'Symptomen (alle)'!Y17</f>
        <v>2</v>
      </c>
      <c r="Z10" s="109">
        <f>'Symptomen (alle)'!Z17</f>
        <v>0</v>
      </c>
      <c r="AA10" s="109">
        <f>'Symptomen (alle)'!AA17</f>
        <v>0</v>
      </c>
      <c r="AB10" s="109">
        <f>'Symptomen (alle)'!AB17</f>
        <v>2</v>
      </c>
      <c r="AC10" s="109">
        <f>'Symptomen (alle)'!AC17</f>
        <v>2</v>
      </c>
      <c r="AD10" s="99">
        <f t="shared" si="0"/>
        <v>28</v>
      </c>
    </row>
    <row r="11" spans="1:30">
      <c r="A11" s="107" t="str">
        <f>'Symptomen (alle)'!A18</f>
        <v>False Fungal Parasites (Stalked ciliates)</v>
      </c>
      <c r="B11" s="108">
        <v>3</v>
      </c>
      <c r="C11" s="109" t="str">
        <f>'Symptomen (alle)'!C18</f>
        <v>x</v>
      </c>
      <c r="D11" s="109">
        <f>'Symptomen (alle)'!D18</f>
        <v>1</v>
      </c>
      <c r="E11" s="109">
        <f>'Symptomen (alle)'!E18</f>
        <v>0</v>
      </c>
      <c r="F11" s="109">
        <f>'Symptomen (alle)'!F18</f>
        <v>0</v>
      </c>
      <c r="G11" s="109">
        <f>'Symptomen (alle)'!G18</f>
        <v>2</v>
      </c>
      <c r="H11" s="109">
        <f>'Symptomen (alle)'!H18</f>
        <v>2</v>
      </c>
      <c r="I11" s="109">
        <f>'Symptomen (alle)'!I18</f>
        <v>1</v>
      </c>
      <c r="J11" s="109">
        <f>'Symptomen (alle)'!J18</f>
        <v>2</v>
      </c>
      <c r="K11" s="109">
        <f>'Symptomen (alle)'!K18</f>
        <v>0</v>
      </c>
      <c r="L11" s="109">
        <f>'Symptomen (alle)'!L18</f>
        <v>0</v>
      </c>
      <c r="M11" s="109">
        <f>'Symptomen (alle)'!M18</f>
        <v>0</v>
      </c>
      <c r="N11" s="109">
        <f>'Symptomen (alle)'!N18</f>
        <v>0</v>
      </c>
      <c r="O11" s="109">
        <f>'Symptomen (alle)'!O18</f>
        <v>10</v>
      </c>
      <c r="P11" s="109">
        <f>'Symptomen (alle)'!P18</f>
        <v>1</v>
      </c>
      <c r="Q11" s="109">
        <f>'Symptomen (alle)'!Q18</f>
        <v>1</v>
      </c>
      <c r="R11" s="109">
        <f>'Symptomen (alle)'!R18</f>
        <v>0</v>
      </c>
      <c r="S11" s="109">
        <f>'Symptomen (alle)'!S18</f>
        <v>0</v>
      </c>
      <c r="T11" s="109">
        <f>'Symptomen (alle)'!T18</f>
        <v>3</v>
      </c>
      <c r="U11" s="109">
        <f>'Symptomen (alle)'!U18</f>
        <v>0</v>
      </c>
      <c r="V11" s="109">
        <f>'Symptomen (alle)'!V18</f>
        <v>0</v>
      </c>
      <c r="W11" s="109">
        <f>'Symptomen (alle)'!W18</f>
        <v>0</v>
      </c>
      <c r="X11" s="109">
        <f>'Symptomen (alle)'!X18</f>
        <v>0</v>
      </c>
      <c r="Y11" s="109">
        <f>'Symptomen (alle)'!Y18</f>
        <v>1</v>
      </c>
      <c r="Z11" s="109">
        <f>'Symptomen (alle)'!Z18</f>
        <v>0</v>
      </c>
      <c r="AA11" s="109">
        <f>'Symptomen (alle)'!AA18</f>
        <v>0</v>
      </c>
      <c r="AB11" s="109">
        <f>'Symptomen (alle)'!AB18</f>
        <v>1</v>
      </c>
      <c r="AC11" s="109">
        <f>'Symptomen (alle)'!AC18</f>
        <v>3</v>
      </c>
      <c r="AD11" s="99">
        <f t="shared" si="0"/>
        <v>28</v>
      </c>
    </row>
    <row r="12" spans="1:30">
      <c r="A12" s="107" t="str">
        <f>'Symptomen (alle)'!A25</f>
        <v>Lymphocystis/Cauliflower disease</v>
      </c>
      <c r="B12" s="108">
        <v>1</v>
      </c>
      <c r="C12" s="109" t="str">
        <f>'Symptomen (alle)'!C25</f>
        <v>x</v>
      </c>
      <c r="D12" s="109">
        <f>'Symptomen (alle)'!D25</f>
        <v>2</v>
      </c>
      <c r="E12" s="109">
        <f>'Symptomen (alle)'!E25</f>
        <v>1</v>
      </c>
      <c r="F12" s="109">
        <f>'Symptomen (alle)'!F25</f>
        <v>1</v>
      </c>
      <c r="G12" s="109">
        <f>'Symptomen (alle)'!G25</f>
        <v>1</v>
      </c>
      <c r="H12" s="109">
        <f>'Symptomen (alle)'!H25</f>
        <v>10</v>
      </c>
      <c r="I12" s="109">
        <f>'Symptomen (alle)'!I25</f>
        <v>1</v>
      </c>
      <c r="J12" s="109">
        <f>'Symptomen (alle)'!J25</f>
        <v>0</v>
      </c>
      <c r="K12" s="109">
        <f>'Symptomen (alle)'!K25</f>
        <v>0</v>
      </c>
      <c r="L12" s="109">
        <f>'Symptomen (alle)'!L25</f>
        <v>0</v>
      </c>
      <c r="M12" s="109">
        <f>'Symptomen (alle)'!M25</f>
        <v>0</v>
      </c>
      <c r="N12" s="109">
        <f>'Symptomen (alle)'!N25</f>
        <v>0</v>
      </c>
      <c r="O12" s="109">
        <f>'Symptomen (alle)'!O25</f>
        <v>5</v>
      </c>
      <c r="P12" s="109">
        <f>'Symptomen (alle)'!P25</f>
        <v>10</v>
      </c>
      <c r="Q12" s="109">
        <f>'Symptomen (alle)'!Q25</f>
        <v>0</v>
      </c>
      <c r="R12" s="109">
        <f>'Symptomen (alle)'!R25</f>
        <v>0</v>
      </c>
      <c r="S12" s="109">
        <f>'Symptomen (alle)'!S25</f>
        <v>1</v>
      </c>
      <c r="T12" s="109">
        <f>'Symptomen (alle)'!T25</f>
        <v>1</v>
      </c>
      <c r="U12" s="109">
        <f>'Symptomen (alle)'!U25</f>
        <v>0</v>
      </c>
      <c r="V12" s="109">
        <f>'Symptomen (alle)'!V25</f>
        <v>0</v>
      </c>
      <c r="W12" s="109">
        <f>'Symptomen (alle)'!W25</f>
        <v>0</v>
      </c>
      <c r="X12" s="109">
        <f>'Symptomen (alle)'!X25</f>
        <v>0</v>
      </c>
      <c r="Y12" s="109">
        <f>'Symptomen (alle)'!Y25</f>
        <v>1</v>
      </c>
      <c r="Z12" s="109">
        <f>'Symptomen (alle)'!Z25</f>
        <v>0</v>
      </c>
      <c r="AA12" s="109">
        <f>'Symptomen (alle)'!AA25</f>
        <v>0</v>
      </c>
      <c r="AB12" s="109">
        <f>'Symptomen (alle)'!AB25</f>
        <v>3</v>
      </c>
      <c r="AC12" s="109">
        <f>'Symptomen (alle)'!AC25</f>
        <v>3</v>
      </c>
      <c r="AD12" s="99">
        <f t="shared" si="0"/>
        <v>40</v>
      </c>
    </row>
    <row r="13" spans="1:30">
      <c r="B13" s="99" t="s">
        <v>210</v>
      </c>
      <c r="D13" s="99">
        <f t="shared" ref="D13:AC13" si="1">SUM(D2:D12)</f>
        <v>16</v>
      </c>
      <c r="E13" s="99">
        <f t="shared" si="1"/>
        <v>2</v>
      </c>
      <c r="F13" s="99">
        <f t="shared" si="1"/>
        <v>2</v>
      </c>
      <c r="G13" s="99">
        <f t="shared" si="1"/>
        <v>13</v>
      </c>
      <c r="H13" s="99">
        <f t="shared" si="1"/>
        <v>40</v>
      </c>
      <c r="I13" s="99">
        <f t="shared" si="1"/>
        <v>11</v>
      </c>
      <c r="J13" s="99">
        <f t="shared" si="1"/>
        <v>7</v>
      </c>
      <c r="K13" s="99">
        <f t="shared" si="1"/>
        <v>4</v>
      </c>
      <c r="L13" s="99">
        <f t="shared" si="1"/>
        <v>4</v>
      </c>
      <c r="M13" s="99">
        <f t="shared" si="1"/>
        <v>10</v>
      </c>
      <c r="N13" s="99">
        <f t="shared" si="1"/>
        <v>4</v>
      </c>
      <c r="O13" s="99">
        <f t="shared" si="1"/>
        <v>28</v>
      </c>
      <c r="P13" s="99">
        <f t="shared" si="1"/>
        <v>24</v>
      </c>
      <c r="Q13" s="99">
        <f t="shared" si="1"/>
        <v>19</v>
      </c>
      <c r="R13" s="99">
        <f t="shared" si="1"/>
        <v>10</v>
      </c>
      <c r="S13" s="99">
        <f t="shared" si="1"/>
        <v>13</v>
      </c>
      <c r="T13" s="99">
        <f t="shared" si="1"/>
        <v>20</v>
      </c>
      <c r="U13" s="99">
        <f t="shared" si="1"/>
        <v>3</v>
      </c>
      <c r="V13" s="99">
        <f t="shared" si="1"/>
        <v>14</v>
      </c>
      <c r="W13" s="99">
        <f t="shared" si="1"/>
        <v>8</v>
      </c>
      <c r="X13" s="99">
        <f t="shared" si="1"/>
        <v>10</v>
      </c>
      <c r="Y13" s="99">
        <f t="shared" si="1"/>
        <v>14</v>
      </c>
      <c r="Z13" s="99">
        <f t="shared" si="1"/>
        <v>0</v>
      </c>
      <c r="AA13" s="99">
        <f t="shared" si="1"/>
        <v>0</v>
      </c>
      <c r="AB13" s="99">
        <f t="shared" si="1"/>
        <v>24</v>
      </c>
      <c r="AC13" s="99">
        <f t="shared" si="1"/>
        <v>19</v>
      </c>
    </row>
    <row r="14" spans="1:30">
      <c r="C14" s="130" t="s">
        <v>9</v>
      </c>
      <c r="D14" s="130"/>
      <c r="E14" s="130"/>
      <c r="F14" s="130"/>
      <c r="G14" s="130"/>
      <c r="H14" s="130"/>
      <c r="I14" s="130"/>
      <c r="J14" s="130"/>
      <c r="K14" s="130"/>
      <c r="T14" s="130"/>
      <c r="U14" s="130"/>
      <c r="W14" s="130"/>
      <c r="Y14" s="130"/>
      <c r="AC14" s="130"/>
    </row>
    <row r="16" spans="1:30">
      <c r="B16" s="99" t="s">
        <v>167</v>
      </c>
    </row>
    <row r="17" spans="1:29">
      <c r="A17" s="107" t="s">
        <v>166</v>
      </c>
      <c r="B17" s="99">
        <v>10</v>
      </c>
    </row>
    <row r="18" spans="1:29">
      <c r="A18" s="131" t="s">
        <v>166</v>
      </c>
      <c r="B18" s="99">
        <v>5</v>
      </c>
    </row>
    <row r="19" spans="1:29">
      <c r="A19" s="132" t="s">
        <v>166</v>
      </c>
      <c r="B19" s="99">
        <v>3</v>
      </c>
    </row>
    <row r="20" spans="1:29">
      <c r="A20" s="99" t="s">
        <v>166</v>
      </c>
      <c r="B20" s="99">
        <v>1</v>
      </c>
    </row>
    <row r="29" spans="1:29">
      <c r="A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</row>
    <row r="30" spans="1:29">
      <c r="A30" s="118"/>
    </row>
    <row r="34" spans="1:1">
      <c r="A34" s="118"/>
    </row>
    <row r="35" spans="1:1">
      <c r="A35" s="118"/>
    </row>
    <row r="36" spans="1:1">
      <c r="A36" s="118"/>
    </row>
    <row r="37" spans="1:1">
      <c r="A37" s="118"/>
    </row>
    <row r="38" spans="1:1">
      <c r="A38" s="118"/>
    </row>
    <row r="39" spans="1:1">
      <c r="A39" s="118"/>
    </row>
    <row r="40" spans="1:1">
      <c r="A40" s="118"/>
    </row>
    <row r="41" spans="1:1">
      <c r="A41" s="118"/>
    </row>
    <row r="42" spans="1:1">
      <c r="A42" s="118"/>
    </row>
    <row r="43" spans="1:1">
      <c r="A43" s="118"/>
    </row>
    <row r="44" spans="1:1">
      <c r="A44" s="118"/>
    </row>
    <row r="45" spans="1:1">
      <c r="A45" s="118"/>
    </row>
    <row r="46" spans="1:1">
      <c r="A46" s="118"/>
    </row>
    <row r="47" spans="1:1">
      <c r="A47" s="118"/>
    </row>
    <row r="48" spans="1:1">
      <c r="A48" s="118"/>
    </row>
    <row r="49" spans="1:1">
      <c r="A49" s="118"/>
    </row>
    <row r="50" spans="1:1">
      <c r="A50" s="118"/>
    </row>
    <row r="51" spans="1:1">
      <c r="A51" s="118"/>
    </row>
    <row r="52" spans="1:1">
      <c r="A52" s="118"/>
    </row>
    <row r="53" spans="1:1">
      <c r="A53" s="118"/>
    </row>
    <row r="54" spans="1:1">
      <c r="A54" s="118"/>
    </row>
    <row r="55" spans="1:1">
      <c r="A55" s="118"/>
    </row>
    <row r="56" spans="1:1">
      <c r="A56" s="118"/>
    </row>
    <row r="57" spans="1:1">
      <c r="A57" s="11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workbookViewId="0">
      <selection activeCell="C29" sqref="C29"/>
    </sheetView>
  </sheetViews>
  <sheetFormatPr baseColWidth="10" defaultColWidth="8.83203125" defaultRowHeight="14" x14ac:dyDescent="0"/>
  <cols>
    <col min="1" max="1" width="64.83203125" style="10" bestFit="1" customWidth="1"/>
    <col min="2" max="2" width="6.5" style="10" customWidth="1"/>
    <col min="3" max="3" width="6.33203125" style="10" customWidth="1"/>
    <col min="4" max="4" width="6.1640625" style="10" bestFit="1" customWidth="1"/>
    <col min="5" max="5" width="3.5" style="10" bestFit="1" customWidth="1"/>
    <col min="6" max="6" width="6" style="10" bestFit="1" customWidth="1"/>
    <col min="7" max="19" width="3.5" style="10" bestFit="1" customWidth="1"/>
    <col min="20" max="20" width="4.1640625" style="10" bestFit="1" customWidth="1"/>
    <col min="21" max="22" width="3.5" style="10" bestFit="1" customWidth="1"/>
    <col min="23" max="24" width="3.33203125" style="10" bestFit="1" customWidth="1"/>
    <col min="25" max="27" width="3.5" style="10" bestFit="1" customWidth="1"/>
    <col min="28" max="28" width="4.1640625" style="10" bestFit="1" customWidth="1"/>
    <col min="29" max="29" width="3.5" style="10" bestFit="1" customWidth="1"/>
    <col min="30" max="16384" width="8.83203125" style="10"/>
  </cols>
  <sheetData>
    <row r="1" spans="1:34" ht="258" thickBot="1">
      <c r="A1" s="38" t="s">
        <v>221</v>
      </c>
      <c r="B1" s="80" t="s">
        <v>92</v>
      </c>
      <c r="C1" s="72" t="s">
        <v>0</v>
      </c>
      <c r="D1" s="71" t="s">
        <v>1</v>
      </c>
      <c r="E1" s="39" t="s">
        <v>2</v>
      </c>
      <c r="F1" s="56" t="s">
        <v>360</v>
      </c>
      <c r="G1" s="39" t="s">
        <v>361</v>
      </c>
      <c r="H1" s="39" t="s">
        <v>362</v>
      </c>
      <c r="I1" s="39" t="s">
        <v>363</v>
      </c>
      <c r="J1" s="40" t="s">
        <v>93</v>
      </c>
      <c r="K1" s="63" t="s">
        <v>364</v>
      </c>
      <c r="L1" s="40" t="s">
        <v>365</v>
      </c>
      <c r="M1" s="40" t="s">
        <v>366</v>
      </c>
      <c r="N1" s="40" t="s">
        <v>15</v>
      </c>
      <c r="O1" s="39" t="s">
        <v>16</v>
      </c>
      <c r="P1" s="39" t="s">
        <v>37</v>
      </c>
      <c r="Q1" s="39" t="s">
        <v>175</v>
      </c>
      <c r="R1" s="39" t="s">
        <v>176</v>
      </c>
      <c r="S1" s="39" t="s">
        <v>367</v>
      </c>
      <c r="T1" s="40" t="s">
        <v>158</v>
      </c>
      <c r="U1" s="40" t="s">
        <v>159</v>
      </c>
      <c r="V1" s="40" t="s">
        <v>19</v>
      </c>
      <c r="W1" s="12" t="s">
        <v>20</v>
      </c>
      <c r="X1" s="12" t="s">
        <v>198</v>
      </c>
      <c r="Y1" s="40" t="s">
        <v>368</v>
      </c>
      <c r="Z1" s="33" t="s">
        <v>211</v>
      </c>
      <c r="AA1" s="33" t="s">
        <v>212</v>
      </c>
      <c r="AB1" s="40" t="s">
        <v>369</v>
      </c>
      <c r="AC1" s="40" t="s">
        <v>374</v>
      </c>
      <c r="AD1" s="33" t="s">
        <v>209</v>
      </c>
    </row>
    <row r="2" spans="1:34">
      <c r="A2" s="41" t="s">
        <v>23</v>
      </c>
      <c r="B2" s="67"/>
      <c r="C2" s="73" t="s">
        <v>90</v>
      </c>
      <c r="D2" s="42">
        <v>0</v>
      </c>
      <c r="E2" s="43">
        <v>0</v>
      </c>
      <c r="F2" s="43">
        <v>0</v>
      </c>
      <c r="G2" s="43">
        <v>1</v>
      </c>
      <c r="H2" s="43">
        <v>0</v>
      </c>
      <c r="I2" s="43">
        <v>0</v>
      </c>
      <c r="J2" s="42">
        <v>2</v>
      </c>
      <c r="K2" s="42">
        <v>1</v>
      </c>
      <c r="L2" s="42">
        <v>0</v>
      </c>
      <c r="M2" s="42">
        <v>0</v>
      </c>
      <c r="N2" s="42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2">
        <v>2</v>
      </c>
      <c r="U2" s="42">
        <v>0</v>
      </c>
      <c r="V2" s="42">
        <v>2</v>
      </c>
      <c r="W2" s="42">
        <v>0</v>
      </c>
      <c r="X2" s="42">
        <v>1</v>
      </c>
      <c r="Y2" s="42">
        <v>1</v>
      </c>
      <c r="Z2" s="42">
        <v>0</v>
      </c>
      <c r="AA2" s="42">
        <v>0</v>
      </c>
      <c r="AB2" s="42">
        <v>1</v>
      </c>
      <c r="AC2" s="42">
        <v>1</v>
      </c>
      <c r="AD2" s="10">
        <f>SUM(D2:AC2)</f>
        <v>12</v>
      </c>
      <c r="AG2" s="10">
        <v>10</v>
      </c>
      <c r="AH2" s="10">
        <v>3</v>
      </c>
    </row>
    <row r="3" spans="1:34">
      <c r="A3" s="44" t="s">
        <v>6</v>
      </c>
      <c r="B3" s="68"/>
      <c r="C3" s="74" t="s">
        <v>90</v>
      </c>
      <c r="D3" s="45">
        <v>0</v>
      </c>
      <c r="E3" s="46">
        <v>0</v>
      </c>
      <c r="F3" s="46">
        <v>0</v>
      </c>
      <c r="G3" s="46">
        <v>2</v>
      </c>
      <c r="H3" s="46">
        <v>3</v>
      </c>
      <c r="I3" s="46">
        <v>1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6">
        <v>1</v>
      </c>
      <c r="P3" s="46">
        <v>0</v>
      </c>
      <c r="Q3" s="46">
        <v>0</v>
      </c>
      <c r="R3" s="46">
        <v>0</v>
      </c>
      <c r="S3" s="46">
        <v>0</v>
      </c>
      <c r="T3" s="45">
        <v>2</v>
      </c>
      <c r="U3" s="45">
        <v>0</v>
      </c>
      <c r="V3" s="45">
        <v>2</v>
      </c>
      <c r="W3" s="45">
        <v>0</v>
      </c>
      <c r="X3" s="45">
        <v>1</v>
      </c>
      <c r="Y3" s="45">
        <v>1</v>
      </c>
      <c r="Z3" s="45">
        <v>0</v>
      </c>
      <c r="AA3" s="45">
        <v>0</v>
      </c>
      <c r="AB3" s="45">
        <v>1</v>
      </c>
      <c r="AC3" s="45">
        <v>1</v>
      </c>
      <c r="AD3" s="10">
        <f t="shared" ref="AD3:AD32" si="0">SUM(D3:AC3)</f>
        <v>15</v>
      </c>
      <c r="AG3" s="10">
        <v>5</v>
      </c>
      <c r="AH3" s="10">
        <v>3</v>
      </c>
    </row>
    <row r="4" spans="1:34">
      <c r="A4" s="44" t="s">
        <v>153</v>
      </c>
      <c r="B4" s="68"/>
      <c r="C4" s="74" t="s">
        <v>90</v>
      </c>
      <c r="D4" s="45">
        <v>1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5">
        <v>0</v>
      </c>
      <c r="K4" s="45">
        <v>0</v>
      </c>
      <c r="L4" s="45">
        <v>0</v>
      </c>
      <c r="M4" s="45">
        <v>3</v>
      </c>
      <c r="N4" s="45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1</v>
      </c>
      <c r="Z4" s="45">
        <v>0</v>
      </c>
      <c r="AA4" s="45">
        <v>0</v>
      </c>
      <c r="AB4" s="45">
        <v>2</v>
      </c>
      <c r="AC4" s="45">
        <v>1</v>
      </c>
      <c r="AD4" s="10">
        <f t="shared" si="0"/>
        <v>8</v>
      </c>
      <c r="AG4" s="10">
        <v>3</v>
      </c>
      <c r="AH4" s="10">
        <v>2</v>
      </c>
    </row>
    <row r="5" spans="1:34">
      <c r="A5" s="47" t="s">
        <v>339</v>
      </c>
      <c r="B5" s="68"/>
      <c r="C5" s="75">
        <v>0</v>
      </c>
      <c r="D5" s="48">
        <v>1</v>
      </c>
      <c r="E5" s="49">
        <v>0</v>
      </c>
      <c r="F5" s="49">
        <v>1</v>
      </c>
      <c r="G5" s="49">
        <v>0</v>
      </c>
      <c r="H5" s="49">
        <v>0</v>
      </c>
      <c r="I5" s="49">
        <v>0</v>
      </c>
      <c r="J5" s="48">
        <v>0</v>
      </c>
      <c r="K5" s="48">
        <v>0</v>
      </c>
      <c r="L5" s="48">
        <v>0</v>
      </c>
      <c r="M5" s="48">
        <v>3</v>
      </c>
      <c r="N5" s="48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1</v>
      </c>
      <c r="Z5" s="48">
        <v>0</v>
      </c>
      <c r="AA5" s="48">
        <v>0</v>
      </c>
      <c r="AB5" s="48">
        <v>2</v>
      </c>
      <c r="AC5" s="48">
        <v>1</v>
      </c>
      <c r="AD5" s="10">
        <f t="shared" si="0"/>
        <v>9</v>
      </c>
      <c r="AG5" s="10">
        <v>2</v>
      </c>
      <c r="AH5" s="10">
        <v>1</v>
      </c>
    </row>
    <row r="6" spans="1:34">
      <c r="A6" s="44" t="s">
        <v>340</v>
      </c>
      <c r="B6" s="68"/>
      <c r="C6" s="74" t="s">
        <v>90</v>
      </c>
      <c r="D6" s="45">
        <v>2</v>
      </c>
      <c r="E6" s="46">
        <v>0</v>
      </c>
      <c r="F6" s="46">
        <v>0</v>
      </c>
      <c r="G6" s="46">
        <v>0</v>
      </c>
      <c r="H6" s="46">
        <v>3</v>
      </c>
      <c r="I6" s="46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6">
        <v>0</v>
      </c>
      <c r="P6" s="46">
        <v>0</v>
      </c>
      <c r="Q6" s="46">
        <v>3</v>
      </c>
      <c r="R6" s="46">
        <v>0</v>
      </c>
      <c r="S6" s="46">
        <v>0</v>
      </c>
      <c r="T6" s="45">
        <v>1</v>
      </c>
      <c r="U6" s="45">
        <v>0</v>
      </c>
      <c r="V6" s="45">
        <v>1</v>
      </c>
      <c r="W6" s="45">
        <v>0</v>
      </c>
      <c r="X6" s="45">
        <v>1</v>
      </c>
      <c r="Y6" s="45">
        <v>0</v>
      </c>
      <c r="Z6" s="45">
        <v>0</v>
      </c>
      <c r="AA6" s="45">
        <v>0</v>
      </c>
      <c r="AB6" s="45">
        <v>2</v>
      </c>
      <c r="AC6" s="45">
        <v>0</v>
      </c>
      <c r="AD6" s="10">
        <f t="shared" si="0"/>
        <v>13</v>
      </c>
      <c r="AG6" s="10">
        <v>1</v>
      </c>
      <c r="AH6" s="10">
        <v>1</v>
      </c>
    </row>
    <row r="7" spans="1:34">
      <c r="A7" s="47" t="s">
        <v>156</v>
      </c>
      <c r="B7" s="68"/>
      <c r="C7" s="75">
        <v>0</v>
      </c>
      <c r="D7" s="48">
        <v>1</v>
      </c>
      <c r="E7" s="49">
        <v>1</v>
      </c>
      <c r="F7" s="49">
        <v>1</v>
      </c>
      <c r="G7" s="49">
        <v>2</v>
      </c>
      <c r="H7" s="49">
        <v>0</v>
      </c>
      <c r="I7" s="49">
        <v>1</v>
      </c>
      <c r="J7" s="48">
        <v>2</v>
      </c>
      <c r="K7" s="48">
        <v>3</v>
      </c>
      <c r="L7" s="48">
        <v>1</v>
      </c>
      <c r="M7" s="48">
        <v>0</v>
      </c>
      <c r="N7" s="48">
        <v>1</v>
      </c>
      <c r="O7" s="49">
        <v>1</v>
      </c>
      <c r="P7" s="49">
        <v>0</v>
      </c>
      <c r="Q7" s="49">
        <v>0</v>
      </c>
      <c r="R7" s="49">
        <v>0</v>
      </c>
      <c r="S7" s="49">
        <v>1</v>
      </c>
      <c r="T7" s="48">
        <v>3</v>
      </c>
      <c r="U7" s="48">
        <v>2</v>
      </c>
      <c r="V7" s="48">
        <v>2</v>
      </c>
      <c r="W7" s="48">
        <v>1</v>
      </c>
      <c r="X7" s="48">
        <v>0</v>
      </c>
      <c r="Y7" s="48">
        <v>2</v>
      </c>
      <c r="Z7" s="48">
        <v>0</v>
      </c>
      <c r="AA7" s="48">
        <v>0</v>
      </c>
      <c r="AB7" s="48">
        <v>1</v>
      </c>
      <c r="AC7" s="48">
        <v>1</v>
      </c>
      <c r="AD7" s="10">
        <f t="shared" si="0"/>
        <v>27</v>
      </c>
    </row>
    <row r="8" spans="1:34">
      <c r="A8" s="47" t="s">
        <v>157</v>
      </c>
      <c r="B8" s="68"/>
      <c r="C8" s="75">
        <v>0</v>
      </c>
      <c r="D8" s="48">
        <v>1</v>
      </c>
      <c r="E8" s="49">
        <v>1</v>
      </c>
      <c r="F8" s="49">
        <v>1</v>
      </c>
      <c r="G8" s="49">
        <v>0</v>
      </c>
      <c r="H8" s="49">
        <v>0</v>
      </c>
      <c r="I8" s="49">
        <v>0</v>
      </c>
      <c r="J8" s="48">
        <v>0</v>
      </c>
      <c r="K8" s="48">
        <v>0</v>
      </c>
      <c r="L8" s="48">
        <v>1</v>
      </c>
      <c r="M8" s="48">
        <v>0</v>
      </c>
      <c r="N8" s="48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8">
        <v>3</v>
      </c>
      <c r="U8" s="48">
        <v>2</v>
      </c>
      <c r="V8" s="48">
        <v>2</v>
      </c>
      <c r="W8" s="48">
        <v>2</v>
      </c>
      <c r="X8" s="48">
        <v>0</v>
      </c>
      <c r="Y8" s="48">
        <v>1</v>
      </c>
      <c r="Z8" s="48">
        <v>0</v>
      </c>
      <c r="AA8" s="48">
        <v>1</v>
      </c>
      <c r="AB8" s="48">
        <v>2</v>
      </c>
      <c r="AC8" s="48">
        <v>1</v>
      </c>
      <c r="AD8" s="10">
        <f t="shared" si="0"/>
        <v>18</v>
      </c>
    </row>
    <row r="9" spans="1:34">
      <c r="A9" s="44" t="s">
        <v>341</v>
      </c>
      <c r="B9" s="69">
        <v>1</v>
      </c>
      <c r="C9" s="74" t="s">
        <v>90</v>
      </c>
      <c r="D9" s="45">
        <v>1</v>
      </c>
      <c r="E9" s="46">
        <v>1</v>
      </c>
      <c r="F9" s="46">
        <v>1</v>
      </c>
      <c r="G9" s="46">
        <v>1</v>
      </c>
      <c r="H9" s="46">
        <v>0</v>
      </c>
      <c r="I9" s="46">
        <v>1</v>
      </c>
      <c r="J9" s="45">
        <v>0</v>
      </c>
      <c r="K9" s="45">
        <v>1</v>
      </c>
      <c r="L9" s="45">
        <v>1</v>
      </c>
      <c r="M9" s="45">
        <v>0</v>
      </c>
      <c r="N9" s="45">
        <v>1</v>
      </c>
      <c r="O9" s="46">
        <v>1</v>
      </c>
      <c r="P9" s="46">
        <v>3</v>
      </c>
      <c r="Q9" s="46">
        <v>1</v>
      </c>
      <c r="R9" s="46">
        <v>0</v>
      </c>
      <c r="S9" s="46">
        <v>1</v>
      </c>
      <c r="T9" s="45">
        <v>2</v>
      </c>
      <c r="U9" s="45">
        <v>1</v>
      </c>
      <c r="V9" s="45">
        <v>1</v>
      </c>
      <c r="W9" s="45">
        <v>2</v>
      </c>
      <c r="X9" s="45">
        <v>0</v>
      </c>
      <c r="Y9" s="45">
        <v>2</v>
      </c>
      <c r="Z9" s="45">
        <v>0</v>
      </c>
      <c r="AA9" s="45">
        <v>0</v>
      </c>
      <c r="AB9" s="45">
        <v>1</v>
      </c>
      <c r="AC9" s="45">
        <v>2</v>
      </c>
      <c r="AD9" s="10">
        <f t="shared" si="0"/>
        <v>25</v>
      </c>
    </row>
    <row r="10" spans="1:34">
      <c r="A10" s="44" t="s">
        <v>342</v>
      </c>
      <c r="B10" s="69">
        <v>1</v>
      </c>
      <c r="C10" s="74" t="s">
        <v>90</v>
      </c>
      <c r="D10" s="45">
        <v>1</v>
      </c>
      <c r="E10" s="46">
        <v>0</v>
      </c>
      <c r="F10" s="46">
        <v>0</v>
      </c>
      <c r="G10" s="46">
        <v>1</v>
      </c>
      <c r="H10" s="46">
        <v>0</v>
      </c>
      <c r="I10" s="46">
        <v>1</v>
      </c>
      <c r="J10" s="45">
        <v>0</v>
      </c>
      <c r="K10" s="45">
        <v>1</v>
      </c>
      <c r="L10" s="45">
        <v>1</v>
      </c>
      <c r="M10" s="45">
        <v>0</v>
      </c>
      <c r="N10" s="45">
        <v>1</v>
      </c>
      <c r="O10" s="46">
        <v>0</v>
      </c>
      <c r="P10" s="46">
        <v>2</v>
      </c>
      <c r="Q10" s="46">
        <v>1</v>
      </c>
      <c r="R10" s="46">
        <v>0</v>
      </c>
      <c r="S10" s="46">
        <v>3</v>
      </c>
      <c r="T10" s="45">
        <v>1</v>
      </c>
      <c r="U10" s="45">
        <v>1</v>
      </c>
      <c r="V10" s="45">
        <v>2</v>
      </c>
      <c r="W10" s="45">
        <v>2</v>
      </c>
      <c r="X10" s="45">
        <v>1</v>
      </c>
      <c r="Y10" s="45">
        <v>2</v>
      </c>
      <c r="Z10" s="45">
        <v>0</v>
      </c>
      <c r="AA10" s="45">
        <v>0</v>
      </c>
      <c r="AB10" s="45">
        <v>1</v>
      </c>
      <c r="AC10" s="45">
        <v>1</v>
      </c>
      <c r="AD10" s="10">
        <f t="shared" si="0"/>
        <v>23</v>
      </c>
    </row>
    <row r="11" spans="1:34">
      <c r="A11" s="44" t="s">
        <v>343</v>
      </c>
      <c r="B11" s="69">
        <v>1</v>
      </c>
      <c r="C11" s="74" t="s">
        <v>90</v>
      </c>
      <c r="D11" s="45">
        <v>1</v>
      </c>
      <c r="E11" s="46">
        <v>0</v>
      </c>
      <c r="F11" s="46">
        <v>0</v>
      </c>
      <c r="G11" s="46">
        <v>0</v>
      </c>
      <c r="H11" s="46">
        <v>0</v>
      </c>
      <c r="I11" s="46">
        <v>1</v>
      </c>
      <c r="J11" s="45">
        <v>1</v>
      </c>
      <c r="K11" s="45">
        <v>0</v>
      </c>
      <c r="L11" s="45">
        <v>0</v>
      </c>
      <c r="M11" s="45">
        <v>0</v>
      </c>
      <c r="N11" s="45">
        <v>1</v>
      </c>
      <c r="O11" s="46">
        <v>0</v>
      </c>
      <c r="P11" s="46">
        <v>0</v>
      </c>
      <c r="Q11" s="46">
        <v>0</v>
      </c>
      <c r="R11" s="46">
        <v>3</v>
      </c>
      <c r="S11" s="46">
        <v>0</v>
      </c>
      <c r="T11" s="45">
        <v>1</v>
      </c>
      <c r="U11" s="45">
        <v>0</v>
      </c>
      <c r="V11" s="45">
        <v>1</v>
      </c>
      <c r="W11" s="45">
        <v>1</v>
      </c>
      <c r="X11" s="45">
        <v>1</v>
      </c>
      <c r="Y11" s="45">
        <v>0</v>
      </c>
      <c r="Z11" s="45">
        <v>0</v>
      </c>
      <c r="AA11" s="45">
        <v>0</v>
      </c>
      <c r="AB11" s="45">
        <v>2</v>
      </c>
      <c r="AC11" s="45">
        <v>1</v>
      </c>
      <c r="AD11" s="10">
        <f t="shared" si="0"/>
        <v>14</v>
      </c>
    </row>
    <row r="12" spans="1:34">
      <c r="A12" s="44" t="s">
        <v>344</v>
      </c>
      <c r="B12" s="137" t="s">
        <v>376</v>
      </c>
      <c r="C12" s="74" t="s">
        <v>90</v>
      </c>
      <c r="D12" s="45">
        <v>1</v>
      </c>
      <c r="E12" s="46">
        <v>0</v>
      </c>
      <c r="F12" s="46">
        <v>0</v>
      </c>
      <c r="G12" s="46">
        <v>0</v>
      </c>
      <c r="H12" s="46">
        <v>3</v>
      </c>
      <c r="I12" s="46">
        <v>1</v>
      </c>
      <c r="J12" s="45">
        <v>1</v>
      </c>
      <c r="K12" s="45">
        <v>0</v>
      </c>
      <c r="L12" s="45">
        <v>0</v>
      </c>
      <c r="M12" s="45">
        <v>0</v>
      </c>
      <c r="N12" s="45">
        <v>1</v>
      </c>
      <c r="O12" s="46">
        <v>0</v>
      </c>
      <c r="P12" s="46">
        <v>0</v>
      </c>
      <c r="Q12" s="46">
        <v>3</v>
      </c>
      <c r="R12" s="46">
        <v>0</v>
      </c>
      <c r="S12" s="46">
        <v>0</v>
      </c>
      <c r="T12" s="45">
        <v>1</v>
      </c>
      <c r="U12" s="45">
        <v>0</v>
      </c>
      <c r="V12" s="45">
        <v>1</v>
      </c>
      <c r="W12" s="45">
        <v>0</v>
      </c>
      <c r="X12" s="45">
        <v>1</v>
      </c>
      <c r="Y12" s="45">
        <v>0</v>
      </c>
      <c r="Z12" s="45">
        <v>0</v>
      </c>
      <c r="AA12" s="45">
        <v>0</v>
      </c>
      <c r="AB12" s="45">
        <v>1</v>
      </c>
      <c r="AC12" s="45">
        <v>1</v>
      </c>
      <c r="AD12" s="10">
        <f t="shared" si="0"/>
        <v>15</v>
      </c>
    </row>
    <row r="13" spans="1:34">
      <c r="A13" s="47" t="s">
        <v>168</v>
      </c>
      <c r="B13" s="68"/>
      <c r="C13" s="75">
        <v>0</v>
      </c>
      <c r="D13" s="66">
        <v>1</v>
      </c>
      <c r="E13" s="49">
        <v>0</v>
      </c>
      <c r="F13" s="49">
        <v>0</v>
      </c>
      <c r="G13" s="49">
        <v>1</v>
      </c>
      <c r="H13" s="49">
        <v>0</v>
      </c>
      <c r="I13" s="49">
        <v>1</v>
      </c>
      <c r="J13" s="66">
        <v>0</v>
      </c>
      <c r="K13" s="66">
        <v>1</v>
      </c>
      <c r="L13" s="66">
        <v>3</v>
      </c>
      <c r="M13" s="66">
        <v>0</v>
      </c>
      <c r="N13" s="66">
        <v>3</v>
      </c>
      <c r="O13" s="78">
        <v>0</v>
      </c>
      <c r="P13" s="78">
        <v>0</v>
      </c>
      <c r="Q13" s="49">
        <v>0</v>
      </c>
      <c r="R13" s="49">
        <v>0</v>
      </c>
      <c r="S13" s="78">
        <v>1</v>
      </c>
      <c r="T13" s="66">
        <v>2</v>
      </c>
      <c r="U13" s="66">
        <v>1</v>
      </c>
      <c r="V13" s="66">
        <v>1</v>
      </c>
      <c r="W13" s="66">
        <v>2</v>
      </c>
      <c r="X13" s="48">
        <v>1</v>
      </c>
      <c r="Y13" s="66">
        <v>1</v>
      </c>
      <c r="Z13" s="66">
        <v>0</v>
      </c>
      <c r="AA13" s="66">
        <v>0</v>
      </c>
      <c r="AB13" s="66">
        <v>1</v>
      </c>
      <c r="AC13" s="66">
        <v>1</v>
      </c>
      <c r="AD13" s="10">
        <f t="shared" si="0"/>
        <v>21</v>
      </c>
    </row>
    <row r="14" spans="1:34">
      <c r="A14" s="47" t="s">
        <v>345</v>
      </c>
      <c r="B14" s="68"/>
      <c r="C14" s="75">
        <v>0</v>
      </c>
      <c r="D14" s="48">
        <v>0</v>
      </c>
      <c r="E14" s="49">
        <v>1</v>
      </c>
      <c r="F14" s="49">
        <v>0</v>
      </c>
      <c r="G14" s="49">
        <v>3</v>
      </c>
      <c r="H14" s="49">
        <v>0</v>
      </c>
      <c r="I14" s="49">
        <v>2</v>
      </c>
      <c r="J14" s="48">
        <v>2</v>
      </c>
      <c r="K14" s="48">
        <v>1</v>
      </c>
      <c r="L14" s="48">
        <v>1</v>
      </c>
      <c r="M14" s="48">
        <v>0</v>
      </c>
      <c r="N14" s="48">
        <v>1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8">
        <v>2</v>
      </c>
      <c r="U14" s="48">
        <v>0</v>
      </c>
      <c r="V14" s="48">
        <v>1</v>
      </c>
      <c r="W14" s="48">
        <v>1</v>
      </c>
      <c r="X14" s="48">
        <v>0</v>
      </c>
      <c r="Y14" s="48">
        <v>2</v>
      </c>
      <c r="Z14" s="48">
        <v>0</v>
      </c>
      <c r="AA14" s="48">
        <v>0</v>
      </c>
      <c r="AB14" s="48">
        <v>1</v>
      </c>
      <c r="AC14" s="48">
        <v>1</v>
      </c>
      <c r="AD14" s="10">
        <f t="shared" si="0"/>
        <v>19</v>
      </c>
    </row>
    <row r="15" spans="1:34">
      <c r="A15" s="50" t="s">
        <v>346</v>
      </c>
      <c r="B15" s="69">
        <v>2</v>
      </c>
      <c r="C15" s="75">
        <v>0</v>
      </c>
      <c r="D15" s="48">
        <v>1</v>
      </c>
      <c r="E15" s="49">
        <v>0</v>
      </c>
      <c r="F15" s="49">
        <v>0</v>
      </c>
      <c r="G15" s="49">
        <v>0</v>
      </c>
      <c r="H15" s="49">
        <v>0</v>
      </c>
      <c r="I15" s="49">
        <v>3</v>
      </c>
      <c r="J15" s="48">
        <v>2</v>
      </c>
      <c r="K15" s="48">
        <v>0</v>
      </c>
      <c r="L15" s="48">
        <v>0</v>
      </c>
      <c r="M15" s="48">
        <v>2</v>
      </c>
      <c r="N15" s="48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8">
        <v>1</v>
      </c>
      <c r="U15" s="48">
        <v>0</v>
      </c>
      <c r="V15" s="48">
        <v>0</v>
      </c>
      <c r="W15" s="48">
        <v>1</v>
      </c>
      <c r="X15" s="48">
        <v>0</v>
      </c>
      <c r="Y15" s="48">
        <v>1</v>
      </c>
      <c r="Z15" s="48">
        <v>0</v>
      </c>
      <c r="AA15" s="48">
        <v>1</v>
      </c>
      <c r="AB15" s="48">
        <v>1</v>
      </c>
      <c r="AC15" s="48">
        <v>1</v>
      </c>
      <c r="AD15" s="10">
        <f t="shared" si="0"/>
        <v>14</v>
      </c>
    </row>
    <row r="16" spans="1:34">
      <c r="A16" s="47" t="s">
        <v>347</v>
      </c>
      <c r="B16" s="68">
        <v>2</v>
      </c>
      <c r="C16" s="75">
        <v>0</v>
      </c>
      <c r="D16" s="51">
        <v>2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51">
        <v>0</v>
      </c>
      <c r="K16" s="51">
        <v>0</v>
      </c>
      <c r="L16" s="51">
        <v>0</v>
      </c>
      <c r="M16" s="51">
        <v>3</v>
      </c>
      <c r="N16" s="51">
        <v>1</v>
      </c>
      <c r="O16" s="52">
        <v>0</v>
      </c>
      <c r="P16" s="52">
        <v>0</v>
      </c>
      <c r="Q16" s="49">
        <v>0</v>
      </c>
      <c r="R16" s="49">
        <v>0</v>
      </c>
      <c r="S16" s="52">
        <v>0</v>
      </c>
      <c r="T16" s="51">
        <v>1</v>
      </c>
      <c r="U16" s="51">
        <v>0</v>
      </c>
      <c r="V16" s="51">
        <v>0</v>
      </c>
      <c r="W16" s="51">
        <v>0</v>
      </c>
      <c r="X16" s="48">
        <v>0</v>
      </c>
      <c r="Y16" s="51">
        <v>1</v>
      </c>
      <c r="Z16" s="48">
        <v>0</v>
      </c>
      <c r="AA16" s="48">
        <v>1</v>
      </c>
      <c r="AB16" s="51">
        <v>2</v>
      </c>
      <c r="AC16" s="51">
        <v>2</v>
      </c>
      <c r="AD16" s="10">
        <f t="shared" si="0"/>
        <v>13</v>
      </c>
    </row>
    <row r="17" spans="1:30">
      <c r="A17" s="44" t="s">
        <v>348</v>
      </c>
      <c r="B17" s="68">
        <v>3</v>
      </c>
      <c r="C17" s="74" t="s">
        <v>90</v>
      </c>
      <c r="D17" s="45">
        <v>1</v>
      </c>
      <c r="E17" s="46">
        <v>0</v>
      </c>
      <c r="F17" s="46">
        <v>0</v>
      </c>
      <c r="G17" s="46">
        <v>1</v>
      </c>
      <c r="H17" s="46">
        <v>2</v>
      </c>
      <c r="I17" s="46">
        <v>1</v>
      </c>
      <c r="J17" s="45">
        <v>0</v>
      </c>
      <c r="K17" s="45">
        <v>1</v>
      </c>
      <c r="L17" s="45">
        <v>0</v>
      </c>
      <c r="M17" s="45">
        <v>0</v>
      </c>
      <c r="N17" s="45">
        <v>0</v>
      </c>
      <c r="O17" s="46">
        <v>3</v>
      </c>
      <c r="P17" s="46">
        <v>0</v>
      </c>
      <c r="Q17" s="46">
        <v>1</v>
      </c>
      <c r="R17" s="46">
        <v>0</v>
      </c>
      <c r="S17" s="46">
        <v>0</v>
      </c>
      <c r="T17" s="45">
        <v>1</v>
      </c>
      <c r="U17" s="45">
        <v>0</v>
      </c>
      <c r="V17" s="45">
        <v>0</v>
      </c>
      <c r="W17" s="45">
        <v>0</v>
      </c>
      <c r="X17" s="45">
        <v>0</v>
      </c>
      <c r="Y17" s="45">
        <v>1</v>
      </c>
      <c r="Z17" s="45">
        <v>0</v>
      </c>
      <c r="AA17" s="45">
        <v>0</v>
      </c>
      <c r="AB17" s="45">
        <v>1</v>
      </c>
      <c r="AC17" s="45">
        <v>1</v>
      </c>
      <c r="AD17" s="10">
        <f t="shared" si="0"/>
        <v>14</v>
      </c>
    </row>
    <row r="18" spans="1:30">
      <c r="A18" s="44" t="s">
        <v>349</v>
      </c>
      <c r="B18" s="68">
        <v>3</v>
      </c>
      <c r="C18" s="74" t="s">
        <v>90</v>
      </c>
      <c r="D18" s="45">
        <v>1</v>
      </c>
      <c r="E18" s="46">
        <v>0</v>
      </c>
      <c r="F18" s="46">
        <v>0</v>
      </c>
      <c r="G18" s="46">
        <v>1</v>
      </c>
      <c r="H18" s="46">
        <v>1</v>
      </c>
      <c r="I18" s="46">
        <v>1</v>
      </c>
      <c r="J18" s="45">
        <v>1</v>
      </c>
      <c r="K18" s="45">
        <v>0</v>
      </c>
      <c r="L18" s="45">
        <v>0</v>
      </c>
      <c r="M18" s="45">
        <v>0</v>
      </c>
      <c r="N18" s="45">
        <v>0</v>
      </c>
      <c r="O18" s="46">
        <v>3</v>
      </c>
      <c r="P18" s="46">
        <v>1</v>
      </c>
      <c r="Q18" s="46">
        <v>1</v>
      </c>
      <c r="R18" s="46">
        <v>0</v>
      </c>
      <c r="S18" s="46">
        <v>0</v>
      </c>
      <c r="T18" s="45">
        <v>2</v>
      </c>
      <c r="U18" s="45">
        <v>0</v>
      </c>
      <c r="V18" s="45">
        <v>0</v>
      </c>
      <c r="W18" s="45">
        <v>0</v>
      </c>
      <c r="X18" s="45">
        <v>0</v>
      </c>
      <c r="Y18" s="45">
        <v>1</v>
      </c>
      <c r="Z18" s="45">
        <v>0</v>
      </c>
      <c r="AA18" s="45">
        <v>0</v>
      </c>
      <c r="AB18" s="45">
        <v>1</v>
      </c>
      <c r="AC18" s="45">
        <v>2</v>
      </c>
      <c r="AD18" s="10">
        <f t="shared" si="0"/>
        <v>16</v>
      </c>
    </row>
    <row r="19" spans="1:30">
      <c r="A19" s="47" t="s">
        <v>154</v>
      </c>
      <c r="B19" s="68">
        <v>4</v>
      </c>
      <c r="C19" s="75">
        <v>0</v>
      </c>
      <c r="D19" s="48">
        <v>0</v>
      </c>
      <c r="E19" s="49">
        <v>1</v>
      </c>
      <c r="F19" s="49">
        <v>0</v>
      </c>
      <c r="G19" s="49">
        <v>0</v>
      </c>
      <c r="H19" s="49">
        <v>2</v>
      </c>
      <c r="I19" s="49">
        <v>2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9">
        <v>0</v>
      </c>
      <c r="P19" s="49">
        <v>2</v>
      </c>
      <c r="Q19" s="49">
        <v>2</v>
      </c>
      <c r="R19" s="49">
        <v>0</v>
      </c>
      <c r="S19" s="49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1</v>
      </c>
      <c r="Z19" s="48">
        <v>0</v>
      </c>
      <c r="AA19" s="48">
        <v>0</v>
      </c>
      <c r="AB19" s="48">
        <v>2</v>
      </c>
      <c r="AC19" s="48">
        <v>1</v>
      </c>
      <c r="AD19" s="10">
        <f t="shared" si="0"/>
        <v>13</v>
      </c>
    </row>
    <row r="20" spans="1:30">
      <c r="A20" s="47" t="s">
        <v>350</v>
      </c>
      <c r="B20" s="68">
        <v>4</v>
      </c>
      <c r="C20" s="75">
        <v>0</v>
      </c>
      <c r="D20" s="48">
        <v>0</v>
      </c>
      <c r="E20" s="49">
        <v>0</v>
      </c>
      <c r="F20" s="49">
        <v>0</v>
      </c>
      <c r="G20" s="49">
        <v>0</v>
      </c>
      <c r="H20" s="49">
        <v>0</v>
      </c>
      <c r="I20" s="49">
        <v>3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1</v>
      </c>
      <c r="Z20" s="48">
        <v>0</v>
      </c>
      <c r="AA20" s="48">
        <v>0</v>
      </c>
      <c r="AB20" s="48">
        <v>2</v>
      </c>
      <c r="AC20" s="48">
        <v>0</v>
      </c>
      <c r="AD20" s="10">
        <f t="shared" si="0"/>
        <v>6</v>
      </c>
    </row>
    <row r="21" spans="1:30">
      <c r="A21" s="47" t="s">
        <v>351</v>
      </c>
      <c r="B21" s="68">
        <v>4</v>
      </c>
      <c r="C21" s="75">
        <v>0</v>
      </c>
      <c r="D21" s="48">
        <v>1</v>
      </c>
      <c r="E21" s="49">
        <v>1</v>
      </c>
      <c r="F21" s="49">
        <v>1</v>
      </c>
      <c r="G21" s="49">
        <v>2</v>
      </c>
      <c r="H21" s="49">
        <v>0</v>
      </c>
      <c r="I21" s="49">
        <v>3</v>
      </c>
      <c r="J21" s="48">
        <v>1</v>
      </c>
      <c r="K21" s="48">
        <v>3</v>
      </c>
      <c r="L21" s="48">
        <v>1</v>
      </c>
      <c r="M21" s="48">
        <v>0</v>
      </c>
      <c r="N21" s="48">
        <v>1</v>
      </c>
      <c r="O21" s="49">
        <v>1</v>
      </c>
      <c r="P21" s="49">
        <v>1</v>
      </c>
      <c r="Q21" s="49">
        <v>0</v>
      </c>
      <c r="R21" s="49">
        <v>0</v>
      </c>
      <c r="S21" s="49">
        <v>1</v>
      </c>
      <c r="T21" s="48">
        <v>3</v>
      </c>
      <c r="U21" s="48">
        <v>2</v>
      </c>
      <c r="V21" s="48">
        <v>1</v>
      </c>
      <c r="W21" s="48">
        <v>1</v>
      </c>
      <c r="X21" s="48">
        <v>0</v>
      </c>
      <c r="Y21" s="48">
        <v>3</v>
      </c>
      <c r="Z21" s="48">
        <v>0</v>
      </c>
      <c r="AA21" s="48">
        <v>0</v>
      </c>
      <c r="AB21" s="48">
        <v>1</v>
      </c>
      <c r="AC21" s="48">
        <v>2</v>
      </c>
      <c r="AD21" s="10">
        <f t="shared" si="0"/>
        <v>30</v>
      </c>
    </row>
    <row r="22" spans="1:30">
      <c r="A22" s="47" t="s">
        <v>352</v>
      </c>
      <c r="B22" s="68"/>
      <c r="C22" s="75">
        <v>0</v>
      </c>
      <c r="D22" s="48">
        <v>2</v>
      </c>
      <c r="E22" s="49">
        <v>3</v>
      </c>
      <c r="F22" s="49">
        <v>3</v>
      </c>
      <c r="G22" s="49">
        <v>2</v>
      </c>
      <c r="H22" s="49">
        <v>0</v>
      </c>
      <c r="I22" s="49">
        <v>1</v>
      </c>
      <c r="J22" s="48">
        <v>0</v>
      </c>
      <c r="K22" s="48">
        <v>1</v>
      </c>
      <c r="L22" s="48">
        <v>0</v>
      </c>
      <c r="M22" s="48">
        <v>1</v>
      </c>
      <c r="N22" s="48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8">
        <v>3</v>
      </c>
      <c r="U22" s="48">
        <v>0</v>
      </c>
      <c r="V22" s="48">
        <v>0</v>
      </c>
      <c r="W22" s="48">
        <v>1</v>
      </c>
      <c r="X22" s="48">
        <v>0</v>
      </c>
      <c r="Y22" s="48">
        <v>2</v>
      </c>
      <c r="Z22" s="48">
        <v>0</v>
      </c>
      <c r="AA22" s="48">
        <v>0</v>
      </c>
      <c r="AB22" s="48">
        <v>1</v>
      </c>
      <c r="AC22" s="48">
        <v>2</v>
      </c>
      <c r="AD22" s="10">
        <f t="shared" si="0"/>
        <v>22</v>
      </c>
    </row>
    <row r="23" spans="1:30">
      <c r="A23" s="47" t="s">
        <v>353</v>
      </c>
      <c r="B23" s="68"/>
      <c r="C23" s="75">
        <v>0</v>
      </c>
      <c r="D23" s="48">
        <v>3</v>
      </c>
      <c r="E23" s="49">
        <v>2</v>
      </c>
      <c r="F23" s="49">
        <v>2</v>
      </c>
      <c r="G23" s="49">
        <v>2</v>
      </c>
      <c r="H23" s="49">
        <v>0</v>
      </c>
      <c r="I23" s="49">
        <v>1</v>
      </c>
      <c r="J23" s="48">
        <v>0</v>
      </c>
      <c r="K23" s="48">
        <v>0</v>
      </c>
      <c r="L23" s="48">
        <v>0</v>
      </c>
      <c r="M23" s="48">
        <v>1</v>
      </c>
      <c r="N23" s="48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8">
        <v>3</v>
      </c>
      <c r="U23" s="48">
        <v>1</v>
      </c>
      <c r="V23" s="48">
        <v>0</v>
      </c>
      <c r="W23" s="48">
        <v>1</v>
      </c>
      <c r="X23" s="48">
        <v>0</v>
      </c>
      <c r="Y23" s="48">
        <v>1</v>
      </c>
      <c r="Z23" s="48">
        <v>0</v>
      </c>
      <c r="AA23" s="48">
        <v>0</v>
      </c>
      <c r="AB23" s="48">
        <v>3</v>
      </c>
      <c r="AC23" s="48">
        <v>2</v>
      </c>
      <c r="AD23" s="10">
        <f t="shared" si="0"/>
        <v>22</v>
      </c>
    </row>
    <row r="24" spans="1:30">
      <c r="A24" s="47" t="s">
        <v>354</v>
      </c>
      <c r="B24" s="68"/>
      <c r="C24" s="75">
        <v>0</v>
      </c>
      <c r="D24" s="48">
        <v>1</v>
      </c>
      <c r="E24" s="49">
        <v>1</v>
      </c>
      <c r="F24" s="49">
        <v>1</v>
      </c>
      <c r="G24" s="49">
        <v>2</v>
      </c>
      <c r="H24" s="49">
        <v>0</v>
      </c>
      <c r="I24" s="49">
        <v>1</v>
      </c>
      <c r="J24" s="48">
        <v>0</v>
      </c>
      <c r="K24" s="48">
        <v>3</v>
      </c>
      <c r="L24" s="48">
        <v>1</v>
      </c>
      <c r="M24" s="48">
        <v>1</v>
      </c>
      <c r="N24" s="48">
        <v>1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8">
        <v>2</v>
      </c>
      <c r="U24" s="48">
        <v>1</v>
      </c>
      <c r="V24" s="48">
        <v>0</v>
      </c>
      <c r="W24" s="48">
        <v>2</v>
      </c>
      <c r="X24" s="48">
        <v>0</v>
      </c>
      <c r="Y24" s="48">
        <v>2</v>
      </c>
      <c r="Z24" s="48">
        <v>0</v>
      </c>
      <c r="AA24" s="48">
        <v>0</v>
      </c>
      <c r="AB24" s="48">
        <v>1</v>
      </c>
      <c r="AC24" s="48">
        <v>1</v>
      </c>
      <c r="AD24" s="10">
        <f t="shared" si="0"/>
        <v>21</v>
      </c>
    </row>
    <row r="25" spans="1:30">
      <c r="A25" s="44" t="s">
        <v>355</v>
      </c>
      <c r="B25" s="68">
        <v>1</v>
      </c>
      <c r="C25" s="74" t="s">
        <v>90</v>
      </c>
      <c r="D25" s="45">
        <v>1</v>
      </c>
      <c r="E25" s="46">
        <v>1</v>
      </c>
      <c r="F25" s="46">
        <v>1</v>
      </c>
      <c r="G25" s="46">
        <v>1</v>
      </c>
      <c r="H25" s="46">
        <v>3</v>
      </c>
      <c r="I25" s="46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6">
        <v>3</v>
      </c>
      <c r="P25" s="46">
        <v>3</v>
      </c>
      <c r="Q25" s="46">
        <v>0</v>
      </c>
      <c r="R25" s="46">
        <v>0</v>
      </c>
      <c r="S25" s="46">
        <v>1</v>
      </c>
      <c r="T25" s="45">
        <v>1</v>
      </c>
      <c r="U25" s="45">
        <v>0</v>
      </c>
      <c r="V25" s="45">
        <v>0</v>
      </c>
      <c r="W25" s="45">
        <v>0</v>
      </c>
      <c r="X25" s="45">
        <v>0</v>
      </c>
      <c r="Y25" s="45">
        <v>1</v>
      </c>
      <c r="Z25" s="45">
        <v>0</v>
      </c>
      <c r="AA25" s="45">
        <v>0</v>
      </c>
      <c r="AB25" s="45">
        <v>2</v>
      </c>
      <c r="AC25" s="45">
        <v>2</v>
      </c>
      <c r="AD25" s="10">
        <f t="shared" si="0"/>
        <v>21</v>
      </c>
    </row>
    <row r="26" spans="1:30">
      <c r="A26" s="47" t="s">
        <v>32</v>
      </c>
      <c r="B26" s="68"/>
      <c r="C26" s="75">
        <v>0</v>
      </c>
      <c r="D26" s="48">
        <v>2</v>
      </c>
      <c r="E26" s="49">
        <v>1</v>
      </c>
      <c r="F26" s="49">
        <v>1</v>
      </c>
      <c r="G26" s="49">
        <v>1</v>
      </c>
      <c r="H26" s="49">
        <v>0</v>
      </c>
      <c r="I26" s="49">
        <v>1</v>
      </c>
      <c r="J26" s="48">
        <v>0</v>
      </c>
      <c r="K26" s="48">
        <v>1</v>
      </c>
      <c r="L26" s="48">
        <v>3</v>
      </c>
      <c r="M26" s="48">
        <v>1</v>
      </c>
      <c r="N26" s="48">
        <v>1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8">
        <v>1</v>
      </c>
      <c r="U26" s="48">
        <v>1</v>
      </c>
      <c r="V26" s="48">
        <v>0</v>
      </c>
      <c r="W26" s="48">
        <v>2</v>
      </c>
      <c r="X26" s="48">
        <v>0</v>
      </c>
      <c r="Y26" s="48">
        <v>1</v>
      </c>
      <c r="Z26" s="48">
        <v>0</v>
      </c>
      <c r="AA26" s="48">
        <v>1</v>
      </c>
      <c r="AB26" s="48">
        <v>2</v>
      </c>
      <c r="AC26" s="48">
        <v>1</v>
      </c>
      <c r="AD26" s="10">
        <f t="shared" si="0"/>
        <v>21</v>
      </c>
    </row>
    <row r="27" spans="1:30">
      <c r="A27" s="47" t="s">
        <v>356</v>
      </c>
      <c r="B27" s="68"/>
      <c r="C27" s="75">
        <v>0</v>
      </c>
      <c r="D27" s="48">
        <v>1</v>
      </c>
      <c r="E27" s="49">
        <v>0</v>
      </c>
      <c r="F27" s="49">
        <v>0</v>
      </c>
      <c r="G27" s="49">
        <v>2</v>
      </c>
      <c r="H27" s="49">
        <v>0</v>
      </c>
      <c r="I27" s="49">
        <v>0</v>
      </c>
      <c r="J27" s="48">
        <v>0</v>
      </c>
      <c r="K27" s="48">
        <v>0</v>
      </c>
      <c r="L27" s="48">
        <v>3</v>
      </c>
      <c r="M27" s="48">
        <v>0</v>
      </c>
      <c r="N27" s="48">
        <v>0</v>
      </c>
      <c r="O27" s="49">
        <v>0</v>
      </c>
      <c r="P27" s="49">
        <v>1</v>
      </c>
      <c r="Q27" s="49">
        <v>0</v>
      </c>
      <c r="R27" s="49">
        <v>0</v>
      </c>
      <c r="S27" s="49">
        <v>1</v>
      </c>
      <c r="T27" s="48">
        <v>3</v>
      </c>
      <c r="U27" s="48">
        <v>3</v>
      </c>
      <c r="V27" s="48">
        <v>0</v>
      </c>
      <c r="W27" s="48">
        <v>2</v>
      </c>
      <c r="X27" s="48">
        <v>0</v>
      </c>
      <c r="Y27" s="48">
        <v>3</v>
      </c>
      <c r="Z27" s="48">
        <v>0</v>
      </c>
      <c r="AA27" s="48">
        <v>0</v>
      </c>
      <c r="AB27" s="48">
        <v>3</v>
      </c>
      <c r="AC27" s="48">
        <v>2</v>
      </c>
      <c r="AD27" s="10">
        <f t="shared" si="0"/>
        <v>24</v>
      </c>
    </row>
    <row r="28" spans="1:30">
      <c r="A28" s="47" t="s">
        <v>357</v>
      </c>
      <c r="B28" s="68"/>
      <c r="C28" s="75">
        <v>0</v>
      </c>
      <c r="D28" s="48">
        <v>1</v>
      </c>
      <c r="E28" s="49">
        <v>0</v>
      </c>
      <c r="F28" s="49">
        <v>1</v>
      </c>
      <c r="G28" s="49">
        <v>0</v>
      </c>
      <c r="H28" s="49">
        <v>0</v>
      </c>
      <c r="I28" s="49">
        <v>0</v>
      </c>
      <c r="J28" s="48">
        <v>1</v>
      </c>
      <c r="K28" s="48">
        <v>0</v>
      </c>
      <c r="L28" s="48">
        <v>0</v>
      </c>
      <c r="M28" s="48">
        <v>1</v>
      </c>
      <c r="N28" s="48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8">
        <v>3</v>
      </c>
      <c r="U28" s="48">
        <v>3</v>
      </c>
      <c r="V28" s="48">
        <v>0</v>
      </c>
      <c r="W28" s="48">
        <v>2</v>
      </c>
      <c r="X28" s="48">
        <v>0</v>
      </c>
      <c r="Y28" s="48">
        <v>2</v>
      </c>
      <c r="Z28" s="48">
        <v>0</v>
      </c>
      <c r="AA28" s="48">
        <v>0</v>
      </c>
      <c r="AB28" s="48">
        <v>3</v>
      </c>
      <c r="AC28" s="48">
        <v>2</v>
      </c>
      <c r="AD28" s="10">
        <f t="shared" si="0"/>
        <v>19</v>
      </c>
    </row>
    <row r="29" spans="1:30" ht="18" customHeight="1">
      <c r="A29" s="47" t="s">
        <v>375</v>
      </c>
      <c r="B29" s="68"/>
      <c r="C29" s="152">
        <v>0</v>
      </c>
      <c r="D29" s="48">
        <v>0</v>
      </c>
      <c r="E29" s="49">
        <v>0</v>
      </c>
      <c r="F29" s="49">
        <v>0</v>
      </c>
      <c r="G29" s="49">
        <v>0</v>
      </c>
      <c r="H29" s="49">
        <v>0</v>
      </c>
      <c r="I29" s="49">
        <v>3</v>
      </c>
      <c r="J29" s="48">
        <v>0</v>
      </c>
      <c r="K29" s="48">
        <v>0</v>
      </c>
      <c r="L29" s="48">
        <v>3</v>
      </c>
      <c r="M29" s="48">
        <v>0</v>
      </c>
      <c r="N29" s="48">
        <v>0</v>
      </c>
      <c r="O29" s="49">
        <v>0</v>
      </c>
      <c r="P29" s="49">
        <v>0</v>
      </c>
      <c r="Q29" s="49">
        <v>2</v>
      </c>
      <c r="R29" s="49">
        <v>0</v>
      </c>
      <c r="S29" s="49">
        <v>0</v>
      </c>
      <c r="T29" s="48">
        <v>2</v>
      </c>
      <c r="U29" s="48">
        <v>0</v>
      </c>
      <c r="V29" s="48">
        <v>0</v>
      </c>
      <c r="W29" s="48">
        <v>0</v>
      </c>
      <c r="X29" s="48">
        <v>2</v>
      </c>
      <c r="Y29" s="48">
        <v>1</v>
      </c>
      <c r="Z29" s="48">
        <v>0</v>
      </c>
      <c r="AA29" s="48">
        <v>0</v>
      </c>
      <c r="AB29" s="48">
        <v>3</v>
      </c>
      <c r="AC29" s="48">
        <v>2</v>
      </c>
      <c r="AD29" s="10">
        <f t="shared" ref="AD29" si="1">SUM(D29:AC29)</f>
        <v>18</v>
      </c>
    </row>
    <row r="30" spans="1:30">
      <c r="A30" s="47" t="s">
        <v>24</v>
      </c>
      <c r="B30" s="68"/>
      <c r="C30" s="75">
        <v>0</v>
      </c>
      <c r="D30" s="48">
        <v>1</v>
      </c>
      <c r="E30" s="49">
        <v>0</v>
      </c>
      <c r="F30" s="49">
        <v>0</v>
      </c>
      <c r="G30" s="49">
        <v>1</v>
      </c>
      <c r="H30" s="49">
        <v>0</v>
      </c>
      <c r="I30" s="49">
        <v>1</v>
      </c>
      <c r="J30" s="48">
        <v>1</v>
      </c>
      <c r="K30" s="48">
        <v>2</v>
      </c>
      <c r="L30" s="48">
        <v>0</v>
      </c>
      <c r="M30" s="48">
        <v>0</v>
      </c>
      <c r="N30" s="48">
        <v>1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8">
        <v>1</v>
      </c>
      <c r="U30" s="48">
        <v>1</v>
      </c>
      <c r="V30" s="48">
        <v>0</v>
      </c>
      <c r="W30" s="48">
        <v>1</v>
      </c>
      <c r="X30" s="48">
        <v>1</v>
      </c>
      <c r="Y30" s="48">
        <v>1</v>
      </c>
      <c r="Z30" s="48">
        <v>3</v>
      </c>
      <c r="AA30" s="48">
        <v>0</v>
      </c>
      <c r="AB30" s="48">
        <v>1</v>
      </c>
      <c r="AC30" s="48">
        <v>1</v>
      </c>
      <c r="AD30" s="10">
        <f t="shared" si="0"/>
        <v>17</v>
      </c>
    </row>
    <row r="31" spans="1:30">
      <c r="A31" s="47" t="s">
        <v>358</v>
      </c>
      <c r="B31" s="68"/>
      <c r="C31" s="75">
        <v>0</v>
      </c>
      <c r="D31" s="48">
        <v>1</v>
      </c>
      <c r="E31" s="49">
        <v>0</v>
      </c>
      <c r="F31" s="49">
        <v>0</v>
      </c>
      <c r="G31" s="49">
        <v>1</v>
      </c>
      <c r="H31" s="49">
        <v>0</v>
      </c>
      <c r="I31" s="49">
        <v>1</v>
      </c>
      <c r="J31" s="48">
        <v>0</v>
      </c>
      <c r="K31" s="48">
        <v>1</v>
      </c>
      <c r="L31" s="48">
        <v>1</v>
      </c>
      <c r="M31" s="48">
        <v>0</v>
      </c>
      <c r="N31" s="48">
        <v>2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8">
        <v>1</v>
      </c>
      <c r="U31" s="48">
        <v>2</v>
      </c>
      <c r="V31" s="48">
        <v>1</v>
      </c>
      <c r="W31" s="48">
        <v>2</v>
      </c>
      <c r="X31" s="48">
        <v>2</v>
      </c>
      <c r="Y31" s="48">
        <v>1</v>
      </c>
      <c r="Z31" s="48">
        <v>0</v>
      </c>
      <c r="AA31" s="48">
        <v>0</v>
      </c>
      <c r="AB31" s="48">
        <v>3</v>
      </c>
      <c r="AC31" s="48">
        <v>1</v>
      </c>
      <c r="AD31" s="10">
        <f t="shared" si="0"/>
        <v>20</v>
      </c>
    </row>
    <row r="32" spans="1:30" ht="15" thickBot="1">
      <c r="A32" s="53" t="s">
        <v>359</v>
      </c>
      <c r="B32" s="70"/>
      <c r="C32" s="76">
        <v>0</v>
      </c>
      <c r="D32" s="54">
        <v>1</v>
      </c>
      <c r="E32" s="55">
        <v>1</v>
      </c>
      <c r="F32" s="55">
        <v>3</v>
      </c>
      <c r="G32" s="55">
        <v>0</v>
      </c>
      <c r="H32" s="55">
        <v>2</v>
      </c>
      <c r="I32" s="55">
        <v>0</v>
      </c>
      <c r="J32" s="54">
        <v>0</v>
      </c>
      <c r="K32" s="54">
        <v>1</v>
      </c>
      <c r="L32" s="54">
        <v>0</v>
      </c>
      <c r="M32" s="54">
        <v>0</v>
      </c>
      <c r="N32" s="54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4">
        <v>3</v>
      </c>
      <c r="U32" s="54">
        <v>1</v>
      </c>
      <c r="V32" s="54">
        <v>0</v>
      </c>
      <c r="W32" s="54">
        <v>0</v>
      </c>
      <c r="X32" s="54">
        <v>0</v>
      </c>
      <c r="Y32" s="54">
        <v>1</v>
      </c>
      <c r="Z32" s="54">
        <v>0</v>
      </c>
      <c r="AA32" s="54">
        <v>0</v>
      </c>
      <c r="AB32" s="54">
        <v>3</v>
      </c>
      <c r="AC32" s="54">
        <v>1</v>
      </c>
      <c r="AD32" s="10">
        <f t="shared" si="0"/>
        <v>17</v>
      </c>
    </row>
    <row r="33" spans="1:29">
      <c r="B33" s="10" t="s">
        <v>210</v>
      </c>
      <c r="D33" s="10">
        <f>SUM(D2:D32)</f>
        <v>31</v>
      </c>
      <c r="E33" s="10">
        <f t="shared" ref="E33:AA33" si="2">SUM(E2:E32)</f>
        <v>15</v>
      </c>
      <c r="F33" s="10">
        <f t="shared" si="2"/>
        <v>17</v>
      </c>
      <c r="G33" s="10">
        <f t="shared" si="2"/>
        <v>27</v>
      </c>
      <c r="H33" s="10">
        <f t="shared" si="2"/>
        <v>19</v>
      </c>
      <c r="I33" s="10">
        <f t="shared" si="2"/>
        <v>32</v>
      </c>
      <c r="J33" s="10">
        <f t="shared" si="2"/>
        <v>14</v>
      </c>
      <c r="K33" s="10">
        <f t="shared" si="2"/>
        <v>21</v>
      </c>
      <c r="L33" s="10">
        <f t="shared" si="2"/>
        <v>20</v>
      </c>
      <c r="M33" s="10">
        <f t="shared" si="2"/>
        <v>16</v>
      </c>
      <c r="N33" s="10">
        <f t="shared" si="2"/>
        <v>16</v>
      </c>
      <c r="O33" s="10">
        <f t="shared" si="2"/>
        <v>13</v>
      </c>
      <c r="P33" s="10">
        <f t="shared" si="2"/>
        <v>13</v>
      </c>
      <c r="Q33" s="10">
        <f t="shared" si="2"/>
        <v>14</v>
      </c>
      <c r="R33" s="10">
        <f t="shared" si="2"/>
        <v>3</v>
      </c>
      <c r="S33" s="10">
        <f t="shared" si="2"/>
        <v>9</v>
      </c>
      <c r="T33" s="10">
        <f t="shared" si="2"/>
        <v>51</v>
      </c>
      <c r="U33" s="10">
        <f t="shared" si="2"/>
        <v>22</v>
      </c>
      <c r="V33" s="10">
        <f t="shared" si="2"/>
        <v>18</v>
      </c>
      <c r="W33" s="10">
        <f t="shared" si="2"/>
        <v>26</v>
      </c>
      <c r="X33" s="10">
        <f t="shared" si="2"/>
        <v>12</v>
      </c>
      <c r="Y33" s="10">
        <f t="shared" si="2"/>
        <v>39</v>
      </c>
      <c r="Z33" s="10">
        <f t="shared" si="2"/>
        <v>3</v>
      </c>
      <c r="AA33" s="10">
        <f t="shared" si="2"/>
        <v>4</v>
      </c>
      <c r="AB33" s="10">
        <f>SUM(AB2:AB32)</f>
        <v>53</v>
      </c>
      <c r="AC33" s="10">
        <f>SUM(AC2:AC32)</f>
        <v>39</v>
      </c>
    </row>
    <row r="34" spans="1:29">
      <c r="C34" s="11" t="s">
        <v>9</v>
      </c>
      <c r="D34" s="11"/>
      <c r="E34" s="11"/>
      <c r="F34" s="11"/>
      <c r="G34" s="11"/>
      <c r="H34" s="11"/>
      <c r="I34" s="11"/>
      <c r="J34" s="11"/>
      <c r="K34" s="11"/>
      <c r="T34" s="11"/>
      <c r="U34" s="11"/>
      <c r="W34" s="11"/>
      <c r="Y34" s="11"/>
      <c r="AC34" s="11"/>
    </row>
    <row r="36" spans="1:29">
      <c r="B36" s="10" t="s">
        <v>167</v>
      </c>
    </row>
    <row r="37" spans="1:29">
      <c r="A37" s="44" t="s">
        <v>166</v>
      </c>
      <c r="B37" s="10">
        <v>10</v>
      </c>
    </row>
    <row r="38" spans="1:29">
      <c r="A38" s="64" t="s">
        <v>166</v>
      </c>
      <c r="B38" s="10">
        <v>5</v>
      </c>
    </row>
    <row r="39" spans="1:29">
      <c r="A39" s="65" t="s">
        <v>166</v>
      </c>
      <c r="B39" s="10">
        <v>3</v>
      </c>
    </row>
    <row r="40" spans="1:29">
      <c r="A40" s="10" t="s">
        <v>166</v>
      </c>
      <c r="B40" s="10">
        <v>1</v>
      </c>
    </row>
    <row r="49" spans="1:29">
      <c r="A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>
      <c r="A50" s="66"/>
    </row>
    <row r="54" spans="1:29">
      <c r="A54" s="66"/>
    </row>
    <row r="55" spans="1:29">
      <c r="A55" s="66"/>
    </row>
    <row r="56" spans="1:29">
      <c r="A56" s="66"/>
    </row>
    <row r="57" spans="1:29">
      <c r="A57" s="66"/>
    </row>
    <row r="58" spans="1:29">
      <c r="A58" s="66"/>
    </row>
    <row r="59" spans="1:29">
      <c r="A59" s="66"/>
    </row>
    <row r="60" spans="1:29">
      <c r="A60" s="66"/>
    </row>
    <row r="61" spans="1:29">
      <c r="A61" s="66"/>
    </row>
    <row r="62" spans="1:29">
      <c r="A62" s="66"/>
    </row>
    <row r="63" spans="1:29">
      <c r="A63" s="66"/>
    </row>
    <row r="64" spans="1:29">
      <c r="A64" s="66"/>
    </row>
    <row r="65" spans="1:1">
      <c r="A65" s="66"/>
    </row>
    <row r="66" spans="1:1">
      <c r="A66" s="66"/>
    </row>
    <row r="67" spans="1:1">
      <c r="A67" s="66"/>
    </row>
    <row r="68" spans="1:1">
      <c r="A68" s="66"/>
    </row>
    <row r="69" spans="1:1">
      <c r="A69" s="66"/>
    </row>
    <row r="70" spans="1:1">
      <c r="A70" s="66"/>
    </row>
    <row r="71" spans="1:1">
      <c r="A71" s="66"/>
    </row>
    <row r="72" spans="1:1">
      <c r="A72" s="66"/>
    </row>
    <row r="73" spans="1:1">
      <c r="A73" s="66"/>
    </row>
    <row r="74" spans="1:1">
      <c r="A74" s="66"/>
    </row>
    <row r="75" spans="1:1">
      <c r="A75" s="66"/>
    </row>
    <row r="76" spans="1:1">
      <c r="A76" s="66"/>
    </row>
    <row r="77" spans="1:1">
      <c r="A77" s="66"/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workbookViewId="0"/>
  </sheetViews>
  <sheetFormatPr baseColWidth="10" defaultColWidth="8.83203125" defaultRowHeight="14" x14ac:dyDescent="0"/>
  <cols>
    <col min="1" max="1" width="64.83203125" style="10" bestFit="1" customWidth="1"/>
    <col min="2" max="2" width="6.5" style="10" customWidth="1"/>
    <col min="3" max="3" width="4.83203125" style="10" customWidth="1"/>
    <col min="4" max="9" width="6.5" style="10" customWidth="1"/>
    <col min="10" max="11" width="3.5" style="10" bestFit="1" customWidth="1"/>
    <col min="12" max="26" width="6.5" style="10" customWidth="1"/>
    <col min="27" max="27" width="5.6640625" style="10" customWidth="1"/>
    <col min="28" max="29" width="6.5" style="10" customWidth="1"/>
    <col min="30" max="32" width="3.5" style="10" bestFit="1" customWidth="1"/>
    <col min="33" max="16384" width="8.83203125" style="10"/>
  </cols>
  <sheetData>
    <row r="1" spans="1:34" ht="45">
      <c r="A1" s="145" t="s">
        <v>335</v>
      </c>
    </row>
    <row r="2" spans="1:34" ht="141" thickBot="1">
      <c r="A2" s="89" t="s">
        <v>39</v>
      </c>
      <c r="B2" s="90" t="s">
        <v>92</v>
      </c>
      <c r="C2" s="91" t="s">
        <v>0</v>
      </c>
      <c r="D2" s="92" t="s">
        <v>1</v>
      </c>
      <c r="E2" s="93" t="s">
        <v>2</v>
      </c>
      <c r="F2" s="94" t="s">
        <v>30</v>
      </c>
      <c r="G2" s="93" t="s">
        <v>136</v>
      </c>
      <c r="H2" s="93" t="s">
        <v>174</v>
      </c>
      <c r="I2" s="93" t="s">
        <v>36</v>
      </c>
      <c r="J2" s="95" t="s">
        <v>93</v>
      </c>
      <c r="K2" s="96" t="s">
        <v>4</v>
      </c>
      <c r="L2" s="95" t="s">
        <v>138</v>
      </c>
      <c r="M2" s="95" t="s">
        <v>5</v>
      </c>
      <c r="N2" s="95" t="s">
        <v>15</v>
      </c>
      <c r="O2" s="93" t="s">
        <v>16</v>
      </c>
      <c r="P2" s="93" t="s">
        <v>37</v>
      </c>
      <c r="Q2" s="93" t="s">
        <v>175</v>
      </c>
      <c r="R2" s="93" t="s">
        <v>176</v>
      </c>
      <c r="S2" s="93" t="s">
        <v>17</v>
      </c>
      <c r="T2" s="95" t="s">
        <v>21</v>
      </c>
      <c r="U2" s="95" t="s">
        <v>10</v>
      </c>
      <c r="V2" s="95" t="s">
        <v>18</v>
      </c>
      <c r="W2" s="95" t="s">
        <v>158</v>
      </c>
      <c r="X2" s="95" t="s">
        <v>159</v>
      </c>
      <c r="Y2" s="95" t="s">
        <v>19</v>
      </c>
      <c r="Z2" s="97" t="s">
        <v>20</v>
      </c>
      <c r="AA2" s="97" t="s">
        <v>38</v>
      </c>
      <c r="AB2" s="95" t="s">
        <v>26</v>
      </c>
      <c r="AC2" s="95" t="s">
        <v>3</v>
      </c>
      <c r="AD2" s="98" t="s">
        <v>91</v>
      </c>
      <c r="AE2" s="98" t="s">
        <v>197</v>
      </c>
      <c r="AF2" s="98" t="s">
        <v>95</v>
      </c>
      <c r="AG2" s="99"/>
      <c r="AH2" s="99"/>
    </row>
    <row r="3" spans="1:34" ht="18" customHeight="1">
      <c r="A3" s="100" t="s">
        <v>23</v>
      </c>
      <c r="B3" s="101"/>
      <c r="C3" s="102" t="s">
        <v>90</v>
      </c>
      <c r="D3" s="103">
        <v>0</v>
      </c>
      <c r="E3" s="104">
        <v>0</v>
      </c>
      <c r="F3" s="104">
        <v>0</v>
      </c>
      <c r="G3" s="104">
        <v>3</v>
      </c>
      <c r="H3" s="104">
        <v>0</v>
      </c>
      <c r="I3" s="104">
        <v>0</v>
      </c>
      <c r="J3" s="103">
        <v>3</v>
      </c>
      <c r="K3" s="103">
        <v>1</v>
      </c>
      <c r="L3" s="103">
        <v>0</v>
      </c>
      <c r="M3" s="103">
        <v>0</v>
      </c>
      <c r="N3" s="103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3">
        <v>3</v>
      </c>
      <c r="U3" s="103">
        <v>2</v>
      </c>
      <c r="V3" s="103">
        <v>2</v>
      </c>
      <c r="W3" s="103">
        <v>3</v>
      </c>
      <c r="X3" s="103">
        <v>0</v>
      </c>
      <c r="Y3" s="103">
        <v>3</v>
      </c>
      <c r="Z3" s="103">
        <v>0</v>
      </c>
      <c r="AA3" s="105">
        <v>2</v>
      </c>
      <c r="AB3" s="103">
        <v>2</v>
      </c>
      <c r="AC3" s="103">
        <v>1</v>
      </c>
      <c r="AD3" s="103">
        <v>0</v>
      </c>
      <c r="AE3" s="103">
        <v>0</v>
      </c>
      <c r="AF3" s="106">
        <v>2</v>
      </c>
      <c r="AG3" s="99"/>
      <c r="AH3" s="99"/>
    </row>
    <row r="4" spans="1:34" ht="18" customHeight="1">
      <c r="A4" s="107" t="s">
        <v>6</v>
      </c>
      <c r="B4" s="108"/>
      <c r="C4" s="109" t="s">
        <v>90</v>
      </c>
      <c r="D4" s="105">
        <v>0</v>
      </c>
      <c r="E4" s="110">
        <v>0</v>
      </c>
      <c r="F4" s="110">
        <v>0</v>
      </c>
      <c r="G4" s="110">
        <v>3</v>
      </c>
      <c r="H4" s="110">
        <v>0</v>
      </c>
      <c r="I4" s="110">
        <v>3</v>
      </c>
      <c r="J4" s="105">
        <v>0</v>
      </c>
      <c r="K4" s="105">
        <v>0</v>
      </c>
      <c r="L4" s="105">
        <v>0</v>
      </c>
      <c r="M4" s="105">
        <v>0</v>
      </c>
      <c r="N4" s="105">
        <v>0</v>
      </c>
      <c r="O4" s="110">
        <v>2</v>
      </c>
      <c r="P4" s="110">
        <v>0</v>
      </c>
      <c r="Q4" s="110">
        <v>0</v>
      </c>
      <c r="R4" s="110">
        <v>0</v>
      </c>
      <c r="S4" s="110">
        <v>0</v>
      </c>
      <c r="T4" s="105">
        <v>2</v>
      </c>
      <c r="U4" s="105">
        <v>2</v>
      </c>
      <c r="V4" s="105">
        <v>2</v>
      </c>
      <c r="W4" s="105">
        <v>3</v>
      </c>
      <c r="X4" s="105">
        <v>0</v>
      </c>
      <c r="Y4" s="105">
        <v>3</v>
      </c>
      <c r="Z4" s="105">
        <v>0</v>
      </c>
      <c r="AA4" s="105">
        <v>2</v>
      </c>
      <c r="AB4" s="105">
        <v>2</v>
      </c>
      <c r="AC4" s="105">
        <v>1</v>
      </c>
      <c r="AD4" s="105">
        <v>0</v>
      </c>
      <c r="AE4" s="105">
        <v>0</v>
      </c>
      <c r="AF4" s="111">
        <v>2</v>
      </c>
      <c r="AG4" s="99"/>
      <c r="AH4" s="99"/>
    </row>
    <row r="5" spans="1:34" ht="18" customHeight="1">
      <c r="A5" s="112" t="s">
        <v>153</v>
      </c>
      <c r="B5" s="108"/>
      <c r="C5" s="113" t="s">
        <v>90</v>
      </c>
      <c r="D5" s="114">
        <v>2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4">
        <v>0</v>
      </c>
      <c r="K5" s="114">
        <v>0</v>
      </c>
      <c r="L5" s="114">
        <v>0</v>
      </c>
      <c r="M5" s="114">
        <v>1</v>
      </c>
      <c r="N5" s="114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4">
        <v>0</v>
      </c>
      <c r="U5" s="114">
        <v>1</v>
      </c>
      <c r="V5" s="114">
        <v>1</v>
      </c>
      <c r="W5" s="114">
        <v>0</v>
      </c>
      <c r="X5" s="114">
        <v>0</v>
      </c>
      <c r="Y5" s="114">
        <v>0</v>
      </c>
      <c r="Z5" s="114">
        <v>0</v>
      </c>
      <c r="AA5" s="114">
        <v>0</v>
      </c>
      <c r="AB5" s="114">
        <v>3</v>
      </c>
      <c r="AC5" s="114">
        <v>2</v>
      </c>
      <c r="AD5" s="114">
        <v>0</v>
      </c>
      <c r="AE5" s="114">
        <v>0</v>
      </c>
      <c r="AF5" s="116">
        <v>2</v>
      </c>
      <c r="AG5" s="99"/>
      <c r="AH5" s="99"/>
    </row>
    <row r="6" spans="1:34" ht="18" customHeight="1">
      <c r="A6" s="112" t="s">
        <v>169</v>
      </c>
      <c r="B6" s="108"/>
      <c r="C6" s="113">
        <v>0</v>
      </c>
      <c r="D6" s="114">
        <v>2</v>
      </c>
      <c r="E6" s="115">
        <v>0</v>
      </c>
      <c r="F6" s="115">
        <v>2</v>
      </c>
      <c r="G6" s="115">
        <v>0</v>
      </c>
      <c r="H6" s="115">
        <v>0</v>
      </c>
      <c r="I6" s="115">
        <v>0</v>
      </c>
      <c r="J6" s="114">
        <v>0</v>
      </c>
      <c r="K6" s="114">
        <v>0</v>
      </c>
      <c r="L6" s="114">
        <v>0</v>
      </c>
      <c r="M6" s="114">
        <v>3</v>
      </c>
      <c r="N6" s="114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4">
        <v>0</v>
      </c>
      <c r="U6" s="114">
        <v>1</v>
      </c>
      <c r="V6" s="114">
        <v>1</v>
      </c>
      <c r="W6" s="114">
        <v>0</v>
      </c>
      <c r="X6" s="114">
        <v>0</v>
      </c>
      <c r="Y6" s="114">
        <v>0</v>
      </c>
      <c r="Z6" s="114">
        <v>0</v>
      </c>
      <c r="AA6" s="114">
        <v>0</v>
      </c>
      <c r="AB6" s="114">
        <v>3</v>
      </c>
      <c r="AC6" s="114">
        <v>2</v>
      </c>
      <c r="AD6" s="114">
        <v>0</v>
      </c>
      <c r="AE6" s="114">
        <v>0</v>
      </c>
      <c r="AF6" s="116">
        <v>2</v>
      </c>
      <c r="AG6" s="99"/>
      <c r="AH6" s="99"/>
    </row>
    <row r="7" spans="1:34" ht="18" customHeight="1">
      <c r="A7" s="107" t="s">
        <v>171</v>
      </c>
      <c r="B7" s="108"/>
      <c r="C7" s="109" t="s">
        <v>90</v>
      </c>
      <c r="D7" s="105">
        <v>3</v>
      </c>
      <c r="E7" s="110">
        <v>0</v>
      </c>
      <c r="F7" s="110">
        <v>0</v>
      </c>
      <c r="G7" s="110">
        <v>0</v>
      </c>
      <c r="H7" s="110">
        <v>10</v>
      </c>
      <c r="I7" s="110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10">
        <v>0</v>
      </c>
      <c r="P7" s="110">
        <v>0</v>
      </c>
      <c r="Q7" s="110">
        <v>5</v>
      </c>
      <c r="R7" s="110">
        <v>0</v>
      </c>
      <c r="S7" s="110">
        <v>0</v>
      </c>
      <c r="T7" s="105">
        <v>0</v>
      </c>
      <c r="U7" s="105">
        <v>0</v>
      </c>
      <c r="V7" s="105">
        <v>1</v>
      </c>
      <c r="W7" s="105">
        <v>1</v>
      </c>
      <c r="X7" s="105">
        <v>0</v>
      </c>
      <c r="Y7" s="105">
        <v>1</v>
      </c>
      <c r="Z7" s="105">
        <v>0</v>
      </c>
      <c r="AA7" s="105">
        <v>2</v>
      </c>
      <c r="AB7" s="105">
        <v>3</v>
      </c>
      <c r="AC7" s="105">
        <v>0</v>
      </c>
      <c r="AD7" s="105">
        <v>0</v>
      </c>
      <c r="AE7" s="105">
        <v>0</v>
      </c>
      <c r="AF7" s="111">
        <v>2</v>
      </c>
      <c r="AG7" s="99"/>
      <c r="AH7" s="99"/>
    </row>
    <row r="8" spans="1:34" ht="18" customHeight="1">
      <c r="A8" s="112" t="s">
        <v>156</v>
      </c>
      <c r="B8" s="108"/>
      <c r="C8" s="113">
        <v>0</v>
      </c>
      <c r="D8" s="114">
        <v>2</v>
      </c>
      <c r="E8" s="115">
        <v>1</v>
      </c>
      <c r="F8" s="115">
        <v>1</v>
      </c>
      <c r="G8" s="115">
        <v>3</v>
      </c>
      <c r="H8" s="115">
        <v>0</v>
      </c>
      <c r="I8" s="115">
        <v>2</v>
      </c>
      <c r="J8" s="114">
        <v>2</v>
      </c>
      <c r="K8" s="114">
        <v>2</v>
      </c>
      <c r="L8" s="114">
        <v>2</v>
      </c>
      <c r="M8" s="114">
        <v>0</v>
      </c>
      <c r="N8" s="114">
        <v>2</v>
      </c>
      <c r="O8" s="115">
        <v>1</v>
      </c>
      <c r="P8" s="115">
        <v>0</v>
      </c>
      <c r="Q8" s="115">
        <v>0</v>
      </c>
      <c r="R8" s="115">
        <v>0</v>
      </c>
      <c r="S8" s="115">
        <v>2</v>
      </c>
      <c r="T8" s="114">
        <v>3</v>
      </c>
      <c r="U8" s="114">
        <v>2</v>
      </c>
      <c r="V8" s="114">
        <v>10</v>
      </c>
      <c r="W8" s="114">
        <v>10</v>
      </c>
      <c r="X8" s="114">
        <v>3</v>
      </c>
      <c r="Y8" s="114">
        <v>3</v>
      </c>
      <c r="Z8" s="114">
        <v>1</v>
      </c>
      <c r="AA8" s="114">
        <v>0</v>
      </c>
      <c r="AB8" s="114">
        <v>2</v>
      </c>
      <c r="AC8" s="114">
        <v>3</v>
      </c>
      <c r="AD8" s="114">
        <v>0</v>
      </c>
      <c r="AE8" s="114">
        <v>0</v>
      </c>
      <c r="AF8" s="116">
        <v>3</v>
      </c>
      <c r="AG8" s="99"/>
      <c r="AH8" s="99"/>
    </row>
    <row r="9" spans="1:34" ht="18" customHeight="1">
      <c r="A9" s="112" t="s">
        <v>157</v>
      </c>
      <c r="B9" s="108"/>
      <c r="C9" s="113">
        <v>0</v>
      </c>
      <c r="D9" s="114">
        <v>2</v>
      </c>
      <c r="E9" s="115">
        <v>1</v>
      </c>
      <c r="F9" s="115">
        <v>1</v>
      </c>
      <c r="G9" s="115">
        <v>0</v>
      </c>
      <c r="H9" s="115">
        <v>0</v>
      </c>
      <c r="I9" s="115">
        <v>0</v>
      </c>
      <c r="J9" s="114">
        <v>0</v>
      </c>
      <c r="K9" s="114">
        <v>0</v>
      </c>
      <c r="L9" s="114">
        <v>1</v>
      </c>
      <c r="M9" s="114">
        <v>0</v>
      </c>
      <c r="N9" s="114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4">
        <v>3</v>
      </c>
      <c r="U9" s="114">
        <v>2</v>
      </c>
      <c r="V9" s="114">
        <v>10</v>
      </c>
      <c r="W9" s="114">
        <v>10</v>
      </c>
      <c r="X9" s="114">
        <v>3</v>
      </c>
      <c r="Y9" s="114">
        <v>3</v>
      </c>
      <c r="Z9" s="114">
        <v>3</v>
      </c>
      <c r="AA9" s="114">
        <v>0</v>
      </c>
      <c r="AB9" s="114">
        <v>3</v>
      </c>
      <c r="AC9" s="114">
        <v>2</v>
      </c>
      <c r="AD9" s="114">
        <v>0</v>
      </c>
      <c r="AE9" s="114">
        <v>2</v>
      </c>
      <c r="AF9" s="116">
        <v>1</v>
      </c>
      <c r="AG9" s="99"/>
      <c r="AH9" s="99"/>
    </row>
    <row r="10" spans="1:34" ht="27.75" customHeight="1">
      <c r="A10" s="107" t="s">
        <v>14</v>
      </c>
      <c r="B10" s="117">
        <v>1</v>
      </c>
      <c r="C10" s="109" t="s">
        <v>90</v>
      </c>
      <c r="D10" s="105">
        <v>2</v>
      </c>
      <c r="E10" s="110">
        <v>1</v>
      </c>
      <c r="F10" s="110">
        <v>1</v>
      </c>
      <c r="G10" s="110">
        <v>2</v>
      </c>
      <c r="H10" s="110">
        <v>0</v>
      </c>
      <c r="I10" s="110">
        <v>2</v>
      </c>
      <c r="J10" s="105">
        <v>0</v>
      </c>
      <c r="K10" s="105">
        <v>1</v>
      </c>
      <c r="L10" s="105">
        <v>2</v>
      </c>
      <c r="M10" s="105">
        <v>0</v>
      </c>
      <c r="N10" s="105">
        <v>3</v>
      </c>
      <c r="O10" s="110">
        <v>1</v>
      </c>
      <c r="P10" s="110">
        <v>10</v>
      </c>
      <c r="Q10" s="110">
        <v>1</v>
      </c>
      <c r="R10" s="110">
        <v>0</v>
      </c>
      <c r="S10" s="110">
        <v>2</v>
      </c>
      <c r="T10" s="105">
        <v>3</v>
      </c>
      <c r="U10" s="105">
        <v>3</v>
      </c>
      <c r="V10" s="105">
        <v>2</v>
      </c>
      <c r="W10" s="105">
        <v>3</v>
      </c>
      <c r="X10" s="105">
        <v>2</v>
      </c>
      <c r="Y10" s="105">
        <v>2</v>
      </c>
      <c r="Z10" s="105">
        <v>3</v>
      </c>
      <c r="AA10" s="105">
        <v>0</v>
      </c>
      <c r="AB10" s="105">
        <v>1</v>
      </c>
      <c r="AC10" s="105">
        <v>3</v>
      </c>
      <c r="AD10" s="105">
        <v>0</v>
      </c>
      <c r="AE10" s="105">
        <v>0</v>
      </c>
      <c r="AF10" s="111">
        <v>0</v>
      </c>
      <c r="AG10" s="99"/>
      <c r="AH10" s="99"/>
    </row>
    <row r="11" spans="1:34" ht="27.75" customHeight="1">
      <c r="A11" s="107" t="s">
        <v>28</v>
      </c>
      <c r="B11" s="117">
        <v>1</v>
      </c>
      <c r="C11" s="109" t="s">
        <v>90</v>
      </c>
      <c r="D11" s="105">
        <v>2</v>
      </c>
      <c r="E11" s="110">
        <v>0</v>
      </c>
      <c r="F11" s="110">
        <v>0</v>
      </c>
      <c r="G11" s="110">
        <v>2</v>
      </c>
      <c r="H11" s="110">
        <v>0</v>
      </c>
      <c r="I11" s="110">
        <v>2</v>
      </c>
      <c r="J11" s="105">
        <v>0</v>
      </c>
      <c r="K11" s="105">
        <v>1</v>
      </c>
      <c r="L11" s="105">
        <v>2</v>
      </c>
      <c r="M11" s="105">
        <v>0</v>
      </c>
      <c r="N11" s="105">
        <v>3</v>
      </c>
      <c r="O11" s="110">
        <v>0</v>
      </c>
      <c r="P11" s="110">
        <v>3</v>
      </c>
      <c r="Q11" s="110">
        <v>1</v>
      </c>
      <c r="R11" s="110">
        <v>0</v>
      </c>
      <c r="S11" s="110">
        <v>10</v>
      </c>
      <c r="T11" s="105">
        <v>1</v>
      </c>
      <c r="U11" s="105">
        <v>1</v>
      </c>
      <c r="V11" s="105">
        <v>1</v>
      </c>
      <c r="W11" s="105">
        <v>2</v>
      </c>
      <c r="X11" s="105">
        <v>1</v>
      </c>
      <c r="Y11" s="105">
        <v>3</v>
      </c>
      <c r="Z11" s="105">
        <v>3</v>
      </c>
      <c r="AA11" s="105">
        <v>2</v>
      </c>
      <c r="AB11" s="105">
        <v>2</v>
      </c>
      <c r="AC11" s="105">
        <v>3</v>
      </c>
      <c r="AD11" s="105">
        <v>0</v>
      </c>
      <c r="AE11" s="105">
        <v>0</v>
      </c>
      <c r="AF11" s="111">
        <v>1</v>
      </c>
      <c r="AG11" s="99"/>
      <c r="AH11" s="99"/>
    </row>
    <row r="12" spans="1:34" ht="27.75" customHeight="1">
      <c r="A12" s="107" t="s">
        <v>172</v>
      </c>
      <c r="B12" s="117">
        <v>1</v>
      </c>
      <c r="C12" s="109" t="s">
        <v>90</v>
      </c>
      <c r="D12" s="105">
        <v>2</v>
      </c>
      <c r="E12" s="110">
        <v>0</v>
      </c>
      <c r="F12" s="110">
        <v>0</v>
      </c>
      <c r="G12" s="110">
        <v>0</v>
      </c>
      <c r="H12" s="110">
        <v>0</v>
      </c>
      <c r="I12" s="110">
        <v>1</v>
      </c>
      <c r="J12" s="105">
        <v>1</v>
      </c>
      <c r="K12" s="105">
        <v>0</v>
      </c>
      <c r="L12" s="105">
        <v>0</v>
      </c>
      <c r="M12" s="105">
        <v>0</v>
      </c>
      <c r="N12" s="105">
        <v>3</v>
      </c>
      <c r="O12" s="110">
        <v>0</v>
      </c>
      <c r="P12" s="110">
        <v>0</v>
      </c>
      <c r="Q12" s="110">
        <v>0</v>
      </c>
      <c r="R12" s="110">
        <v>10</v>
      </c>
      <c r="S12" s="110">
        <v>0</v>
      </c>
      <c r="T12" s="105">
        <v>0</v>
      </c>
      <c r="U12" s="105">
        <v>1</v>
      </c>
      <c r="V12" s="105">
        <v>1</v>
      </c>
      <c r="W12" s="105">
        <v>1</v>
      </c>
      <c r="X12" s="105">
        <v>0</v>
      </c>
      <c r="Y12" s="105">
        <v>1</v>
      </c>
      <c r="Z12" s="105">
        <v>2</v>
      </c>
      <c r="AA12" s="105">
        <v>1</v>
      </c>
      <c r="AB12" s="105">
        <v>3</v>
      </c>
      <c r="AC12" s="105">
        <v>0</v>
      </c>
      <c r="AD12" s="105">
        <v>0</v>
      </c>
      <c r="AE12" s="105">
        <v>0</v>
      </c>
      <c r="AF12" s="111">
        <v>1</v>
      </c>
      <c r="AG12" s="99"/>
      <c r="AH12" s="99"/>
    </row>
    <row r="13" spans="1:34" ht="27.75" customHeight="1">
      <c r="A13" s="107" t="s">
        <v>173</v>
      </c>
      <c r="B13" s="117">
        <v>1</v>
      </c>
      <c r="C13" s="109" t="s">
        <v>90</v>
      </c>
      <c r="D13" s="105">
        <v>1</v>
      </c>
      <c r="E13" s="110">
        <v>0</v>
      </c>
      <c r="F13" s="110">
        <v>0</v>
      </c>
      <c r="G13" s="110">
        <v>0</v>
      </c>
      <c r="H13" s="110">
        <v>5</v>
      </c>
      <c r="I13" s="110">
        <v>1</v>
      </c>
      <c r="J13" s="105">
        <v>1</v>
      </c>
      <c r="K13" s="105">
        <v>0</v>
      </c>
      <c r="L13" s="105">
        <v>0</v>
      </c>
      <c r="M13" s="105">
        <v>0</v>
      </c>
      <c r="N13" s="105">
        <v>1</v>
      </c>
      <c r="O13" s="110">
        <v>0</v>
      </c>
      <c r="P13" s="110">
        <v>0</v>
      </c>
      <c r="Q13" s="110">
        <v>10</v>
      </c>
      <c r="R13" s="110">
        <v>0</v>
      </c>
      <c r="S13" s="110">
        <v>0</v>
      </c>
      <c r="T13" s="105">
        <v>0</v>
      </c>
      <c r="U13" s="105">
        <v>1</v>
      </c>
      <c r="V13" s="105">
        <v>1</v>
      </c>
      <c r="W13" s="105">
        <v>1</v>
      </c>
      <c r="X13" s="105">
        <v>0</v>
      </c>
      <c r="Y13" s="105">
        <v>1</v>
      </c>
      <c r="Z13" s="105">
        <v>0</v>
      </c>
      <c r="AA13" s="105">
        <v>1</v>
      </c>
      <c r="AB13" s="105">
        <v>2</v>
      </c>
      <c r="AC13" s="105">
        <v>0</v>
      </c>
      <c r="AD13" s="105">
        <v>0</v>
      </c>
      <c r="AE13" s="105">
        <v>0</v>
      </c>
      <c r="AF13" s="111">
        <v>1</v>
      </c>
      <c r="AG13" s="99"/>
      <c r="AH13" s="99"/>
    </row>
    <row r="14" spans="1:34" ht="18" customHeight="1">
      <c r="A14" s="112" t="s">
        <v>168</v>
      </c>
      <c r="B14" s="108"/>
      <c r="C14" s="113">
        <v>0</v>
      </c>
      <c r="D14" s="118">
        <v>1</v>
      </c>
      <c r="E14" s="115">
        <v>0</v>
      </c>
      <c r="F14" s="115">
        <v>0</v>
      </c>
      <c r="G14" s="115">
        <v>2</v>
      </c>
      <c r="H14" s="115">
        <v>0</v>
      </c>
      <c r="I14" s="115">
        <v>2</v>
      </c>
      <c r="J14" s="118">
        <v>0</v>
      </c>
      <c r="K14" s="118">
        <v>1</v>
      </c>
      <c r="L14" s="118">
        <v>5</v>
      </c>
      <c r="M14" s="118">
        <v>0</v>
      </c>
      <c r="N14" s="118">
        <v>5</v>
      </c>
      <c r="O14" s="119">
        <v>0</v>
      </c>
      <c r="P14" s="119">
        <v>0</v>
      </c>
      <c r="Q14" s="115">
        <v>0</v>
      </c>
      <c r="R14" s="115">
        <v>0</v>
      </c>
      <c r="S14" s="119">
        <v>1</v>
      </c>
      <c r="T14" s="118">
        <v>2</v>
      </c>
      <c r="U14" s="118">
        <v>2</v>
      </c>
      <c r="V14" s="118">
        <v>2</v>
      </c>
      <c r="W14" s="118">
        <v>3</v>
      </c>
      <c r="X14" s="118">
        <v>1</v>
      </c>
      <c r="Y14" s="118">
        <v>2</v>
      </c>
      <c r="Z14" s="118">
        <v>3</v>
      </c>
      <c r="AA14" s="114">
        <v>2</v>
      </c>
      <c r="AB14" s="118">
        <v>1</v>
      </c>
      <c r="AC14" s="118">
        <v>2</v>
      </c>
      <c r="AD14" s="118">
        <v>0</v>
      </c>
      <c r="AE14" s="118">
        <v>0</v>
      </c>
      <c r="AF14" s="120">
        <v>2</v>
      </c>
      <c r="AG14" s="99"/>
      <c r="AH14" s="99"/>
    </row>
    <row r="15" spans="1:34" ht="18" customHeight="1">
      <c r="A15" s="112" t="s">
        <v>29</v>
      </c>
      <c r="B15" s="108"/>
      <c r="C15" s="113">
        <v>0</v>
      </c>
      <c r="D15" s="114">
        <v>0</v>
      </c>
      <c r="E15" s="115">
        <v>0</v>
      </c>
      <c r="F15" s="115">
        <v>0</v>
      </c>
      <c r="G15" s="115">
        <v>3</v>
      </c>
      <c r="H15" s="115">
        <v>0</v>
      </c>
      <c r="I15" s="115">
        <v>10</v>
      </c>
      <c r="J15" s="114">
        <v>3</v>
      </c>
      <c r="K15" s="114">
        <v>1</v>
      </c>
      <c r="L15" s="114">
        <v>1</v>
      </c>
      <c r="M15" s="114">
        <v>0</v>
      </c>
      <c r="N15" s="114">
        <v>1</v>
      </c>
      <c r="O15" s="115">
        <v>0</v>
      </c>
      <c r="P15" s="115">
        <v>0</v>
      </c>
      <c r="Q15" s="115">
        <v>0</v>
      </c>
      <c r="R15" s="115">
        <v>0</v>
      </c>
      <c r="S15" s="115">
        <v>0</v>
      </c>
      <c r="T15" s="114">
        <v>1</v>
      </c>
      <c r="U15" s="114">
        <v>1</v>
      </c>
      <c r="V15" s="114">
        <v>3</v>
      </c>
      <c r="W15" s="114">
        <v>3</v>
      </c>
      <c r="X15" s="114">
        <v>0</v>
      </c>
      <c r="Y15" s="114">
        <v>2</v>
      </c>
      <c r="Z15" s="114">
        <v>1</v>
      </c>
      <c r="AA15" s="114">
        <v>0</v>
      </c>
      <c r="AB15" s="114">
        <v>2</v>
      </c>
      <c r="AC15" s="114">
        <v>3</v>
      </c>
      <c r="AD15" s="114">
        <v>0</v>
      </c>
      <c r="AE15" s="114">
        <v>0</v>
      </c>
      <c r="AF15" s="116">
        <v>0</v>
      </c>
      <c r="AG15" s="99"/>
      <c r="AH15" s="99"/>
    </row>
    <row r="16" spans="1:34" ht="27.75" customHeight="1">
      <c r="A16" s="121" t="s">
        <v>13</v>
      </c>
      <c r="B16" s="117">
        <v>2</v>
      </c>
      <c r="C16" s="113">
        <v>0</v>
      </c>
      <c r="D16" s="114">
        <v>2</v>
      </c>
      <c r="E16" s="115">
        <v>0</v>
      </c>
      <c r="F16" s="115">
        <v>0</v>
      </c>
      <c r="G16" s="115">
        <v>0</v>
      </c>
      <c r="H16" s="115">
        <v>0</v>
      </c>
      <c r="I16" s="115">
        <v>10</v>
      </c>
      <c r="J16" s="114">
        <v>2</v>
      </c>
      <c r="K16" s="114">
        <v>0</v>
      </c>
      <c r="L16" s="114">
        <v>0</v>
      </c>
      <c r="M16" s="114">
        <v>3</v>
      </c>
      <c r="N16" s="114">
        <v>0</v>
      </c>
      <c r="O16" s="115">
        <v>0</v>
      </c>
      <c r="P16" s="115">
        <v>0</v>
      </c>
      <c r="Q16" s="115">
        <v>0</v>
      </c>
      <c r="R16" s="115">
        <v>0</v>
      </c>
      <c r="S16" s="115">
        <v>0</v>
      </c>
      <c r="T16" s="114">
        <v>0</v>
      </c>
      <c r="U16" s="114">
        <v>1</v>
      </c>
      <c r="V16" s="114">
        <v>1</v>
      </c>
      <c r="W16" s="114">
        <v>1</v>
      </c>
      <c r="X16" s="114">
        <v>0</v>
      </c>
      <c r="Y16" s="114">
        <v>0</v>
      </c>
      <c r="Z16" s="114">
        <v>1</v>
      </c>
      <c r="AA16" s="114">
        <v>0</v>
      </c>
      <c r="AB16" s="114">
        <v>2</v>
      </c>
      <c r="AC16" s="114">
        <v>2</v>
      </c>
      <c r="AD16" s="114">
        <v>0</v>
      </c>
      <c r="AE16" s="114">
        <v>1</v>
      </c>
      <c r="AF16" s="116">
        <v>0</v>
      </c>
      <c r="AG16" s="99"/>
      <c r="AH16" s="99"/>
    </row>
    <row r="17" spans="1:34" ht="18" customHeight="1">
      <c r="A17" s="112" t="s">
        <v>81</v>
      </c>
      <c r="B17" s="108">
        <v>2</v>
      </c>
      <c r="C17" s="113">
        <v>0</v>
      </c>
      <c r="D17" s="122">
        <v>3</v>
      </c>
      <c r="E17" s="115">
        <v>0</v>
      </c>
      <c r="F17" s="115">
        <v>0</v>
      </c>
      <c r="G17" s="115">
        <v>0</v>
      </c>
      <c r="H17" s="115">
        <v>0</v>
      </c>
      <c r="I17" s="115">
        <v>0</v>
      </c>
      <c r="J17" s="122">
        <v>0</v>
      </c>
      <c r="K17" s="122">
        <v>0</v>
      </c>
      <c r="L17" s="122">
        <v>0</v>
      </c>
      <c r="M17" s="122">
        <v>10</v>
      </c>
      <c r="N17" s="122">
        <v>2</v>
      </c>
      <c r="O17" s="123">
        <v>0</v>
      </c>
      <c r="P17" s="123">
        <v>0</v>
      </c>
      <c r="Q17" s="115">
        <v>0</v>
      </c>
      <c r="R17" s="115">
        <v>0</v>
      </c>
      <c r="S17" s="123">
        <v>0</v>
      </c>
      <c r="T17" s="122">
        <v>1</v>
      </c>
      <c r="U17" s="122">
        <v>3</v>
      </c>
      <c r="V17" s="122">
        <v>2</v>
      </c>
      <c r="W17" s="122">
        <v>2</v>
      </c>
      <c r="X17" s="122">
        <v>0</v>
      </c>
      <c r="Y17" s="122">
        <v>0</v>
      </c>
      <c r="Z17" s="122">
        <v>0</v>
      </c>
      <c r="AA17" s="114">
        <v>0</v>
      </c>
      <c r="AB17" s="122">
        <v>3</v>
      </c>
      <c r="AC17" s="122">
        <v>2</v>
      </c>
      <c r="AD17" s="114">
        <v>0</v>
      </c>
      <c r="AE17" s="114">
        <v>1</v>
      </c>
      <c r="AF17" s="116">
        <v>1</v>
      </c>
      <c r="AG17" s="99"/>
      <c r="AH17" s="99"/>
    </row>
    <row r="18" spans="1:34" ht="18" customHeight="1">
      <c r="A18" s="107" t="s">
        <v>12</v>
      </c>
      <c r="B18" s="108">
        <v>3</v>
      </c>
      <c r="C18" s="109" t="s">
        <v>90</v>
      </c>
      <c r="D18" s="105">
        <v>1</v>
      </c>
      <c r="E18" s="110">
        <v>0</v>
      </c>
      <c r="F18" s="110">
        <v>0</v>
      </c>
      <c r="G18" s="110">
        <v>2</v>
      </c>
      <c r="H18" s="110">
        <v>3</v>
      </c>
      <c r="I18" s="110">
        <v>2</v>
      </c>
      <c r="J18" s="105">
        <v>0</v>
      </c>
      <c r="K18" s="105">
        <v>1</v>
      </c>
      <c r="L18" s="105">
        <v>0</v>
      </c>
      <c r="M18" s="105">
        <v>0</v>
      </c>
      <c r="N18" s="105">
        <v>0</v>
      </c>
      <c r="O18" s="110">
        <v>10</v>
      </c>
      <c r="P18" s="110">
        <v>0</v>
      </c>
      <c r="Q18" s="110">
        <v>1</v>
      </c>
      <c r="R18" s="110">
        <v>0</v>
      </c>
      <c r="S18" s="110">
        <v>0</v>
      </c>
      <c r="T18" s="105">
        <v>1</v>
      </c>
      <c r="U18" s="105">
        <v>2</v>
      </c>
      <c r="V18" s="105">
        <v>2</v>
      </c>
      <c r="W18" s="105">
        <v>2</v>
      </c>
      <c r="X18" s="105">
        <v>0</v>
      </c>
      <c r="Y18" s="105">
        <v>0</v>
      </c>
      <c r="Z18" s="105">
        <v>0</v>
      </c>
      <c r="AA18" s="105">
        <v>0</v>
      </c>
      <c r="AB18" s="105">
        <v>2</v>
      </c>
      <c r="AC18" s="105">
        <v>2</v>
      </c>
      <c r="AD18" s="105">
        <v>0</v>
      </c>
      <c r="AE18" s="105">
        <v>0</v>
      </c>
      <c r="AF18" s="111">
        <v>0</v>
      </c>
      <c r="AG18" s="99"/>
      <c r="AH18" s="99"/>
    </row>
    <row r="19" spans="1:34" ht="18" customHeight="1">
      <c r="A19" s="107" t="s">
        <v>31</v>
      </c>
      <c r="B19" s="108">
        <v>3</v>
      </c>
      <c r="C19" s="109" t="s">
        <v>90</v>
      </c>
      <c r="D19" s="105">
        <v>1</v>
      </c>
      <c r="E19" s="110">
        <v>0</v>
      </c>
      <c r="F19" s="110">
        <v>0</v>
      </c>
      <c r="G19" s="110">
        <v>10</v>
      </c>
      <c r="H19" s="110">
        <v>2</v>
      </c>
      <c r="I19" s="110">
        <v>1</v>
      </c>
      <c r="J19" s="105">
        <v>2</v>
      </c>
      <c r="K19" s="105">
        <v>0</v>
      </c>
      <c r="L19" s="105">
        <v>0</v>
      </c>
      <c r="M19" s="105">
        <v>0</v>
      </c>
      <c r="N19" s="105">
        <v>0</v>
      </c>
      <c r="O19" s="110">
        <v>10</v>
      </c>
      <c r="P19" s="110">
        <v>1</v>
      </c>
      <c r="Q19" s="110">
        <v>1</v>
      </c>
      <c r="R19" s="110">
        <v>0</v>
      </c>
      <c r="S19" s="110">
        <v>0</v>
      </c>
      <c r="T19" s="105">
        <v>0</v>
      </c>
      <c r="U19" s="105">
        <v>3</v>
      </c>
      <c r="V19" s="105">
        <v>3</v>
      </c>
      <c r="W19" s="105">
        <v>3</v>
      </c>
      <c r="X19" s="105">
        <v>0</v>
      </c>
      <c r="Y19" s="105">
        <v>0</v>
      </c>
      <c r="Z19" s="105">
        <v>0</v>
      </c>
      <c r="AA19" s="105">
        <v>0</v>
      </c>
      <c r="AB19" s="105">
        <v>1</v>
      </c>
      <c r="AC19" s="105">
        <v>1</v>
      </c>
      <c r="AD19" s="105">
        <v>0</v>
      </c>
      <c r="AE19" s="105">
        <v>0</v>
      </c>
      <c r="AF19" s="111">
        <v>0</v>
      </c>
      <c r="AG19" s="99"/>
      <c r="AH19" s="99"/>
    </row>
    <row r="20" spans="1:34" ht="18" customHeight="1">
      <c r="A20" s="112" t="s">
        <v>154</v>
      </c>
      <c r="B20" s="108">
        <v>4</v>
      </c>
      <c r="C20" s="113">
        <v>0</v>
      </c>
      <c r="D20" s="114">
        <v>0</v>
      </c>
      <c r="E20" s="115">
        <v>0</v>
      </c>
      <c r="F20" s="115">
        <v>0</v>
      </c>
      <c r="G20" s="115">
        <v>0</v>
      </c>
      <c r="H20" s="115">
        <v>2</v>
      </c>
      <c r="I20" s="115">
        <v>3</v>
      </c>
      <c r="J20" s="114">
        <v>0</v>
      </c>
      <c r="K20" s="114">
        <v>0</v>
      </c>
      <c r="L20" s="114">
        <v>0</v>
      </c>
      <c r="M20" s="114">
        <v>0</v>
      </c>
      <c r="N20" s="114">
        <v>0</v>
      </c>
      <c r="O20" s="115">
        <v>0</v>
      </c>
      <c r="P20" s="115">
        <v>3</v>
      </c>
      <c r="Q20" s="115">
        <v>3</v>
      </c>
      <c r="R20" s="115">
        <v>0</v>
      </c>
      <c r="S20" s="115">
        <v>0</v>
      </c>
      <c r="T20" s="114">
        <v>0</v>
      </c>
      <c r="U20" s="114">
        <v>1</v>
      </c>
      <c r="V20" s="114">
        <v>1</v>
      </c>
      <c r="W20" s="114">
        <v>0</v>
      </c>
      <c r="X20" s="114">
        <v>0</v>
      </c>
      <c r="Y20" s="114">
        <v>0</v>
      </c>
      <c r="Z20" s="114">
        <v>0</v>
      </c>
      <c r="AA20" s="114">
        <v>0</v>
      </c>
      <c r="AB20" s="114">
        <v>3</v>
      </c>
      <c r="AC20" s="114">
        <v>1</v>
      </c>
      <c r="AD20" s="114">
        <v>0</v>
      </c>
      <c r="AE20" s="114">
        <v>0</v>
      </c>
      <c r="AF20" s="116">
        <v>0</v>
      </c>
      <c r="AG20" s="99"/>
      <c r="AH20" s="99"/>
    </row>
    <row r="21" spans="1:34" ht="18" customHeight="1">
      <c r="A21" s="112" t="s">
        <v>155</v>
      </c>
      <c r="B21" s="108">
        <v>4</v>
      </c>
      <c r="C21" s="113">
        <v>0</v>
      </c>
      <c r="D21" s="114">
        <v>0</v>
      </c>
      <c r="E21" s="115">
        <v>0</v>
      </c>
      <c r="F21" s="115">
        <v>0</v>
      </c>
      <c r="G21" s="115">
        <v>0</v>
      </c>
      <c r="H21" s="115">
        <v>0</v>
      </c>
      <c r="I21" s="115">
        <v>3</v>
      </c>
      <c r="J21" s="114">
        <v>0</v>
      </c>
      <c r="K21" s="114">
        <v>0</v>
      </c>
      <c r="L21" s="114">
        <v>0</v>
      </c>
      <c r="M21" s="114">
        <v>0</v>
      </c>
      <c r="N21" s="114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4">
        <v>0</v>
      </c>
      <c r="U21" s="114">
        <v>0</v>
      </c>
      <c r="V21" s="114">
        <v>1</v>
      </c>
      <c r="W21" s="114">
        <v>0</v>
      </c>
      <c r="X21" s="114">
        <v>0</v>
      </c>
      <c r="Y21" s="114">
        <v>0</v>
      </c>
      <c r="Z21" s="114">
        <v>0</v>
      </c>
      <c r="AA21" s="114">
        <v>0</v>
      </c>
      <c r="AB21" s="114">
        <v>3</v>
      </c>
      <c r="AC21" s="114">
        <v>1</v>
      </c>
      <c r="AD21" s="114">
        <v>0</v>
      </c>
      <c r="AE21" s="114">
        <v>0</v>
      </c>
      <c r="AF21" s="116">
        <v>0</v>
      </c>
      <c r="AG21" s="99"/>
      <c r="AH21" s="99"/>
    </row>
    <row r="22" spans="1:34" ht="18" customHeight="1">
      <c r="A22" s="112" t="s">
        <v>11</v>
      </c>
      <c r="B22" s="108">
        <v>4</v>
      </c>
      <c r="C22" s="113">
        <v>0</v>
      </c>
      <c r="D22" s="114">
        <v>2</v>
      </c>
      <c r="E22" s="115">
        <v>1</v>
      </c>
      <c r="F22" s="115">
        <v>2</v>
      </c>
      <c r="G22" s="115">
        <v>3</v>
      </c>
      <c r="H22" s="115">
        <v>0</v>
      </c>
      <c r="I22" s="115">
        <v>10</v>
      </c>
      <c r="J22" s="114">
        <v>2</v>
      </c>
      <c r="K22" s="114">
        <v>3</v>
      </c>
      <c r="L22" s="114">
        <v>1</v>
      </c>
      <c r="M22" s="114">
        <v>0</v>
      </c>
      <c r="N22" s="114">
        <v>1</v>
      </c>
      <c r="O22" s="115">
        <v>2</v>
      </c>
      <c r="P22" s="115">
        <v>1</v>
      </c>
      <c r="Q22" s="115">
        <v>0</v>
      </c>
      <c r="R22" s="115">
        <v>0</v>
      </c>
      <c r="S22" s="115">
        <v>1</v>
      </c>
      <c r="T22" s="114">
        <v>2</v>
      </c>
      <c r="U22" s="114">
        <v>3</v>
      </c>
      <c r="V22" s="114">
        <v>10</v>
      </c>
      <c r="W22" s="114">
        <v>10</v>
      </c>
      <c r="X22" s="114">
        <v>3</v>
      </c>
      <c r="Y22" s="114">
        <v>1</v>
      </c>
      <c r="Z22" s="114">
        <v>2</v>
      </c>
      <c r="AA22" s="114">
        <v>0</v>
      </c>
      <c r="AB22" s="114">
        <v>1</v>
      </c>
      <c r="AC22" s="114">
        <v>10</v>
      </c>
      <c r="AD22" s="114">
        <v>0</v>
      </c>
      <c r="AE22" s="114">
        <v>0</v>
      </c>
      <c r="AF22" s="116">
        <v>0</v>
      </c>
      <c r="AG22" s="99"/>
      <c r="AH22" s="99"/>
    </row>
    <row r="23" spans="1:34" ht="18" customHeight="1">
      <c r="A23" s="112" t="s">
        <v>27</v>
      </c>
      <c r="B23" s="108"/>
      <c r="C23" s="113">
        <v>0</v>
      </c>
      <c r="D23" s="114">
        <v>3</v>
      </c>
      <c r="E23" s="115">
        <v>10</v>
      </c>
      <c r="F23" s="115">
        <v>10</v>
      </c>
      <c r="G23" s="115">
        <v>3</v>
      </c>
      <c r="H23" s="115">
        <v>0</v>
      </c>
      <c r="I23" s="115">
        <v>1</v>
      </c>
      <c r="J23" s="114">
        <v>0</v>
      </c>
      <c r="K23" s="114">
        <v>2</v>
      </c>
      <c r="L23" s="114">
        <v>0</v>
      </c>
      <c r="M23" s="114">
        <v>1</v>
      </c>
      <c r="N23" s="114">
        <v>0</v>
      </c>
      <c r="O23" s="115">
        <v>0</v>
      </c>
      <c r="P23" s="115">
        <v>0</v>
      </c>
      <c r="Q23" s="115">
        <v>0</v>
      </c>
      <c r="R23" s="115">
        <v>0</v>
      </c>
      <c r="S23" s="115">
        <v>0</v>
      </c>
      <c r="T23" s="114">
        <v>0</v>
      </c>
      <c r="U23" s="114">
        <v>3</v>
      </c>
      <c r="V23" s="114">
        <v>10</v>
      </c>
      <c r="W23" s="114">
        <v>10</v>
      </c>
      <c r="X23" s="114">
        <v>0</v>
      </c>
      <c r="Y23" s="114">
        <v>0</v>
      </c>
      <c r="Z23" s="114">
        <v>2</v>
      </c>
      <c r="AA23" s="114">
        <v>0</v>
      </c>
      <c r="AB23" s="114">
        <v>1</v>
      </c>
      <c r="AC23" s="114">
        <v>3</v>
      </c>
      <c r="AD23" s="114">
        <v>0</v>
      </c>
      <c r="AE23" s="114">
        <v>0</v>
      </c>
      <c r="AF23" s="116">
        <v>0</v>
      </c>
      <c r="AG23" s="99"/>
      <c r="AH23" s="99"/>
    </row>
    <row r="24" spans="1:34" ht="18" customHeight="1">
      <c r="A24" s="112" t="s">
        <v>7</v>
      </c>
      <c r="B24" s="108"/>
      <c r="C24" s="113">
        <v>0</v>
      </c>
      <c r="D24" s="114">
        <v>10</v>
      </c>
      <c r="E24" s="115">
        <v>3</v>
      </c>
      <c r="F24" s="115">
        <v>3</v>
      </c>
      <c r="G24" s="115">
        <v>2</v>
      </c>
      <c r="H24" s="115">
        <v>0</v>
      </c>
      <c r="I24" s="115">
        <v>2</v>
      </c>
      <c r="J24" s="114">
        <v>0</v>
      </c>
      <c r="K24" s="114">
        <v>0</v>
      </c>
      <c r="L24" s="114">
        <v>0</v>
      </c>
      <c r="M24" s="114">
        <v>2</v>
      </c>
      <c r="N24" s="114">
        <v>0</v>
      </c>
      <c r="O24" s="115">
        <v>0</v>
      </c>
      <c r="P24" s="115">
        <v>0</v>
      </c>
      <c r="Q24" s="115">
        <v>0</v>
      </c>
      <c r="R24" s="115">
        <v>0</v>
      </c>
      <c r="S24" s="115">
        <v>0</v>
      </c>
      <c r="T24" s="114">
        <v>0</v>
      </c>
      <c r="U24" s="114">
        <v>3</v>
      </c>
      <c r="V24" s="114">
        <v>10</v>
      </c>
      <c r="W24" s="114">
        <v>10</v>
      </c>
      <c r="X24" s="114">
        <v>2</v>
      </c>
      <c r="Y24" s="114">
        <v>0</v>
      </c>
      <c r="Z24" s="114">
        <v>1</v>
      </c>
      <c r="AA24" s="114">
        <v>0</v>
      </c>
      <c r="AB24" s="114">
        <v>10</v>
      </c>
      <c r="AC24" s="114">
        <v>1</v>
      </c>
      <c r="AD24" s="114">
        <v>0</v>
      </c>
      <c r="AE24" s="114">
        <v>0</v>
      </c>
      <c r="AF24" s="116">
        <v>0</v>
      </c>
      <c r="AG24" s="99"/>
      <c r="AH24" s="99"/>
    </row>
    <row r="25" spans="1:34" ht="18" customHeight="1">
      <c r="A25" s="112" t="s">
        <v>35</v>
      </c>
      <c r="B25" s="108"/>
      <c r="C25" s="113">
        <v>0</v>
      </c>
      <c r="D25" s="114">
        <v>2</v>
      </c>
      <c r="E25" s="115">
        <v>2</v>
      </c>
      <c r="F25" s="115">
        <v>2</v>
      </c>
      <c r="G25" s="115">
        <v>2</v>
      </c>
      <c r="H25" s="115">
        <v>0</v>
      </c>
      <c r="I25" s="115">
        <v>2</v>
      </c>
      <c r="J25" s="114">
        <v>0</v>
      </c>
      <c r="K25" s="114">
        <v>2</v>
      </c>
      <c r="L25" s="114">
        <v>0</v>
      </c>
      <c r="M25" s="114">
        <v>2</v>
      </c>
      <c r="N25" s="114">
        <v>1</v>
      </c>
      <c r="O25" s="115">
        <v>0</v>
      </c>
      <c r="P25" s="115">
        <v>0</v>
      </c>
      <c r="Q25" s="115">
        <v>0</v>
      </c>
      <c r="R25" s="115">
        <v>0</v>
      </c>
      <c r="S25" s="115">
        <v>0</v>
      </c>
      <c r="T25" s="114">
        <v>0</v>
      </c>
      <c r="U25" s="114">
        <v>2</v>
      </c>
      <c r="V25" s="114">
        <v>3</v>
      </c>
      <c r="W25" s="114">
        <v>3</v>
      </c>
      <c r="X25" s="114">
        <v>1</v>
      </c>
      <c r="Y25" s="114">
        <v>0</v>
      </c>
      <c r="Z25" s="114">
        <v>3</v>
      </c>
      <c r="AA25" s="114">
        <v>0</v>
      </c>
      <c r="AB25" s="114">
        <v>2</v>
      </c>
      <c r="AC25" s="114">
        <v>3</v>
      </c>
      <c r="AD25" s="114">
        <v>0</v>
      </c>
      <c r="AE25" s="114">
        <v>0</v>
      </c>
      <c r="AF25" s="116">
        <v>0</v>
      </c>
      <c r="AG25" s="99"/>
      <c r="AH25" s="99"/>
    </row>
    <row r="26" spans="1:34" ht="18" customHeight="1">
      <c r="A26" s="107" t="s">
        <v>8</v>
      </c>
      <c r="B26" s="108">
        <v>1</v>
      </c>
      <c r="C26" s="109" t="s">
        <v>90</v>
      </c>
      <c r="D26" s="105">
        <v>2</v>
      </c>
      <c r="E26" s="110">
        <v>1</v>
      </c>
      <c r="F26" s="110">
        <v>1</v>
      </c>
      <c r="G26" s="110">
        <v>1</v>
      </c>
      <c r="H26" s="110">
        <v>10</v>
      </c>
      <c r="I26" s="110">
        <v>3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10">
        <v>0</v>
      </c>
      <c r="P26" s="110">
        <v>10</v>
      </c>
      <c r="Q26" s="110">
        <v>0</v>
      </c>
      <c r="R26" s="110">
        <v>0</v>
      </c>
      <c r="S26" s="110">
        <v>1</v>
      </c>
      <c r="T26" s="105">
        <v>0</v>
      </c>
      <c r="U26" s="105">
        <v>3</v>
      </c>
      <c r="V26" s="105">
        <v>1</v>
      </c>
      <c r="W26" s="105">
        <v>1</v>
      </c>
      <c r="X26" s="105">
        <v>0</v>
      </c>
      <c r="Y26" s="105">
        <v>0</v>
      </c>
      <c r="Z26" s="105">
        <v>0</v>
      </c>
      <c r="AA26" s="105">
        <v>0</v>
      </c>
      <c r="AB26" s="105">
        <v>3</v>
      </c>
      <c r="AC26" s="105">
        <v>1</v>
      </c>
      <c r="AD26" s="105">
        <v>0</v>
      </c>
      <c r="AE26" s="105">
        <v>0</v>
      </c>
      <c r="AF26" s="111">
        <v>1</v>
      </c>
      <c r="AG26" s="99"/>
      <c r="AH26" s="99"/>
    </row>
    <row r="27" spans="1:34" ht="18" customHeight="1">
      <c r="A27" s="112" t="s">
        <v>32</v>
      </c>
      <c r="B27" s="108"/>
      <c r="C27" s="113">
        <v>0</v>
      </c>
      <c r="D27" s="114">
        <v>3</v>
      </c>
      <c r="E27" s="115">
        <v>1</v>
      </c>
      <c r="F27" s="115">
        <v>1</v>
      </c>
      <c r="G27" s="115">
        <v>1</v>
      </c>
      <c r="H27" s="115">
        <v>0</v>
      </c>
      <c r="I27" s="115">
        <v>2</v>
      </c>
      <c r="J27" s="114">
        <v>0</v>
      </c>
      <c r="K27" s="114">
        <v>2</v>
      </c>
      <c r="L27" s="114">
        <v>10</v>
      </c>
      <c r="M27" s="114">
        <v>1</v>
      </c>
      <c r="N27" s="114">
        <v>2</v>
      </c>
      <c r="O27" s="115">
        <v>0</v>
      </c>
      <c r="P27" s="115">
        <v>0</v>
      </c>
      <c r="Q27" s="115">
        <v>0</v>
      </c>
      <c r="R27" s="115">
        <v>0</v>
      </c>
      <c r="S27" s="115">
        <v>0</v>
      </c>
      <c r="T27" s="114">
        <v>0</v>
      </c>
      <c r="U27" s="114">
        <v>2</v>
      </c>
      <c r="V27" s="114">
        <v>2</v>
      </c>
      <c r="W27" s="114">
        <v>2</v>
      </c>
      <c r="X27" s="114">
        <v>2</v>
      </c>
      <c r="Y27" s="114">
        <v>0</v>
      </c>
      <c r="Z27" s="114">
        <v>3</v>
      </c>
      <c r="AA27" s="114">
        <v>0</v>
      </c>
      <c r="AB27" s="114">
        <v>3</v>
      </c>
      <c r="AC27" s="114">
        <v>2</v>
      </c>
      <c r="AD27" s="114">
        <v>0</v>
      </c>
      <c r="AE27" s="114">
        <v>1</v>
      </c>
      <c r="AF27" s="116">
        <v>0</v>
      </c>
      <c r="AG27" s="99"/>
      <c r="AH27" s="99"/>
    </row>
    <row r="28" spans="1:34" ht="18" customHeight="1">
      <c r="A28" s="112" t="s">
        <v>33</v>
      </c>
      <c r="B28" s="108"/>
      <c r="C28" s="113">
        <v>0</v>
      </c>
      <c r="D28" s="114">
        <v>2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4">
        <v>0</v>
      </c>
      <c r="K28" s="114">
        <v>0</v>
      </c>
      <c r="L28" s="114">
        <v>3</v>
      </c>
      <c r="M28" s="114">
        <v>0</v>
      </c>
      <c r="N28" s="114">
        <v>0</v>
      </c>
      <c r="O28" s="115">
        <v>0</v>
      </c>
      <c r="P28" s="115">
        <v>1</v>
      </c>
      <c r="Q28" s="115">
        <v>0</v>
      </c>
      <c r="R28" s="115">
        <v>0</v>
      </c>
      <c r="S28" s="115">
        <v>1</v>
      </c>
      <c r="T28" s="114">
        <v>0</v>
      </c>
      <c r="U28" s="114">
        <v>2</v>
      </c>
      <c r="V28" s="114">
        <v>10</v>
      </c>
      <c r="W28" s="114">
        <v>10</v>
      </c>
      <c r="X28" s="114">
        <v>3</v>
      </c>
      <c r="Y28" s="114">
        <v>0</v>
      </c>
      <c r="Z28" s="114">
        <v>3</v>
      </c>
      <c r="AA28" s="114">
        <v>0</v>
      </c>
      <c r="AB28" s="114">
        <v>10</v>
      </c>
      <c r="AC28" s="114">
        <v>10</v>
      </c>
      <c r="AD28" s="114">
        <v>0</v>
      </c>
      <c r="AE28" s="114">
        <v>0</v>
      </c>
      <c r="AF28" s="116">
        <v>0</v>
      </c>
      <c r="AG28" s="99"/>
      <c r="AH28" s="99"/>
    </row>
    <row r="29" spans="1:34" ht="18" customHeight="1">
      <c r="A29" s="112" t="s">
        <v>34</v>
      </c>
      <c r="B29" s="108"/>
      <c r="C29" s="113">
        <v>0</v>
      </c>
      <c r="D29" s="114">
        <v>1</v>
      </c>
      <c r="E29" s="115">
        <v>0</v>
      </c>
      <c r="F29" s="115">
        <v>1</v>
      </c>
      <c r="G29" s="115">
        <v>0</v>
      </c>
      <c r="H29" s="115">
        <v>0</v>
      </c>
      <c r="I29" s="115">
        <v>0</v>
      </c>
      <c r="J29" s="114">
        <v>2</v>
      </c>
      <c r="K29" s="114">
        <v>0</v>
      </c>
      <c r="L29" s="114">
        <v>0</v>
      </c>
      <c r="M29" s="114">
        <v>1</v>
      </c>
      <c r="N29" s="114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4">
        <v>0</v>
      </c>
      <c r="U29" s="114">
        <v>2</v>
      </c>
      <c r="V29" s="114">
        <v>3</v>
      </c>
      <c r="W29" s="114">
        <v>3</v>
      </c>
      <c r="X29" s="114">
        <v>3</v>
      </c>
      <c r="Y29" s="114">
        <v>0</v>
      </c>
      <c r="Z29" s="114">
        <v>3</v>
      </c>
      <c r="AA29" s="114">
        <v>0</v>
      </c>
      <c r="AB29" s="114">
        <v>10</v>
      </c>
      <c r="AC29" s="114">
        <v>3</v>
      </c>
      <c r="AD29" s="114">
        <v>0</v>
      </c>
      <c r="AE29" s="114">
        <v>0</v>
      </c>
      <c r="AF29" s="116">
        <v>0</v>
      </c>
      <c r="AG29" s="99"/>
      <c r="AH29" s="99"/>
    </row>
    <row r="30" spans="1:34" ht="18" customHeight="1">
      <c r="A30" s="112" t="s">
        <v>24</v>
      </c>
      <c r="B30" s="108"/>
      <c r="C30" s="113">
        <v>0</v>
      </c>
      <c r="D30" s="114">
        <v>1</v>
      </c>
      <c r="E30" s="115">
        <v>0</v>
      </c>
      <c r="F30" s="115">
        <v>0</v>
      </c>
      <c r="G30" s="115">
        <v>1</v>
      </c>
      <c r="H30" s="115">
        <v>0</v>
      </c>
      <c r="I30" s="115">
        <v>2</v>
      </c>
      <c r="J30" s="114">
        <v>2</v>
      </c>
      <c r="K30" s="114">
        <v>3</v>
      </c>
      <c r="L30" s="114">
        <v>0</v>
      </c>
      <c r="M30" s="114">
        <v>0</v>
      </c>
      <c r="N30" s="114">
        <v>1</v>
      </c>
      <c r="O30" s="115">
        <v>0</v>
      </c>
      <c r="P30" s="115">
        <v>0</v>
      </c>
      <c r="Q30" s="115">
        <v>0</v>
      </c>
      <c r="R30" s="115">
        <v>0</v>
      </c>
      <c r="S30" s="115">
        <v>0</v>
      </c>
      <c r="T30" s="114">
        <v>0</v>
      </c>
      <c r="U30" s="114">
        <v>1</v>
      </c>
      <c r="V30" s="114">
        <v>2</v>
      </c>
      <c r="W30" s="114">
        <v>2</v>
      </c>
      <c r="X30" s="114">
        <v>1</v>
      </c>
      <c r="Y30" s="114">
        <v>0</v>
      </c>
      <c r="Z30" s="114">
        <v>1</v>
      </c>
      <c r="AA30" s="114">
        <v>2</v>
      </c>
      <c r="AB30" s="114">
        <v>2</v>
      </c>
      <c r="AC30" s="114">
        <v>1</v>
      </c>
      <c r="AD30" s="114">
        <v>10</v>
      </c>
      <c r="AE30" s="114">
        <v>0</v>
      </c>
      <c r="AF30" s="116">
        <v>0</v>
      </c>
      <c r="AG30" s="99"/>
      <c r="AH30" s="99"/>
    </row>
    <row r="31" spans="1:34" ht="18" customHeight="1">
      <c r="A31" s="112" t="s">
        <v>22</v>
      </c>
      <c r="B31" s="108"/>
      <c r="C31" s="113">
        <v>0</v>
      </c>
      <c r="D31" s="114">
        <v>1</v>
      </c>
      <c r="E31" s="115">
        <v>0</v>
      </c>
      <c r="F31" s="115">
        <v>0</v>
      </c>
      <c r="G31" s="115">
        <v>1</v>
      </c>
      <c r="H31" s="115">
        <v>0</v>
      </c>
      <c r="I31" s="115">
        <v>1</v>
      </c>
      <c r="J31" s="114">
        <v>0</v>
      </c>
      <c r="K31" s="114">
        <v>1</v>
      </c>
      <c r="L31" s="114">
        <v>1</v>
      </c>
      <c r="M31" s="114">
        <v>0</v>
      </c>
      <c r="N31" s="114">
        <v>3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114">
        <v>1</v>
      </c>
      <c r="U31" s="114">
        <v>2</v>
      </c>
      <c r="V31" s="114">
        <v>2</v>
      </c>
      <c r="W31" s="114">
        <v>2</v>
      </c>
      <c r="X31" s="114">
        <v>3</v>
      </c>
      <c r="Y31" s="114">
        <v>2</v>
      </c>
      <c r="Z31" s="114">
        <v>3</v>
      </c>
      <c r="AA31" s="114">
        <v>3</v>
      </c>
      <c r="AB31" s="114">
        <v>10</v>
      </c>
      <c r="AC31" s="114">
        <v>2</v>
      </c>
      <c r="AD31" s="114">
        <v>0</v>
      </c>
      <c r="AE31" s="114">
        <v>0</v>
      </c>
      <c r="AF31" s="116">
        <v>1</v>
      </c>
      <c r="AG31" s="99"/>
      <c r="AH31" s="99"/>
    </row>
    <row r="32" spans="1:34" ht="18" customHeight="1" thickBot="1">
      <c r="A32" s="124" t="s">
        <v>25</v>
      </c>
      <c r="B32" s="125"/>
      <c r="C32" s="126">
        <v>0</v>
      </c>
      <c r="D32" s="127">
        <v>2</v>
      </c>
      <c r="E32" s="128">
        <v>0</v>
      </c>
      <c r="F32" s="128">
        <v>0</v>
      </c>
      <c r="G32" s="128">
        <v>0</v>
      </c>
      <c r="H32" s="128">
        <v>0</v>
      </c>
      <c r="I32" s="128">
        <v>0</v>
      </c>
      <c r="J32" s="127">
        <v>0</v>
      </c>
      <c r="K32" s="127">
        <v>2</v>
      </c>
      <c r="L32" s="127">
        <v>0</v>
      </c>
      <c r="M32" s="127">
        <v>0</v>
      </c>
      <c r="N32" s="127">
        <v>0</v>
      </c>
      <c r="O32" s="128">
        <v>0</v>
      </c>
      <c r="P32" s="128">
        <v>0</v>
      </c>
      <c r="Q32" s="128">
        <v>0</v>
      </c>
      <c r="R32" s="128">
        <v>0</v>
      </c>
      <c r="S32" s="128">
        <v>0</v>
      </c>
      <c r="T32" s="127">
        <v>0</v>
      </c>
      <c r="U32" s="127">
        <v>2</v>
      </c>
      <c r="V32" s="127">
        <v>10</v>
      </c>
      <c r="W32" s="127">
        <v>10</v>
      </c>
      <c r="X32" s="127">
        <v>2</v>
      </c>
      <c r="Y32" s="127">
        <v>0</v>
      </c>
      <c r="Z32" s="127">
        <v>0</v>
      </c>
      <c r="AA32" s="127">
        <v>0</v>
      </c>
      <c r="AB32" s="127">
        <v>10</v>
      </c>
      <c r="AC32" s="127">
        <v>1</v>
      </c>
      <c r="AD32" s="127">
        <v>0</v>
      </c>
      <c r="AE32" s="127">
        <v>0</v>
      </c>
      <c r="AF32" s="129">
        <v>0</v>
      </c>
      <c r="AG32" s="99"/>
      <c r="AH32" s="99"/>
    </row>
    <row r="33" spans="1:34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</row>
    <row r="34" spans="1:34">
      <c r="A34" s="99"/>
      <c r="B34" s="99"/>
      <c r="C34" s="130" t="s">
        <v>9</v>
      </c>
      <c r="D34" s="130"/>
      <c r="E34" s="130"/>
      <c r="F34" s="130"/>
      <c r="G34" s="130"/>
      <c r="H34" s="130"/>
      <c r="I34" s="130"/>
      <c r="J34" s="130"/>
      <c r="K34" s="130"/>
      <c r="L34" s="99"/>
      <c r="M34" s="99"/>
      <c r="N34" s="99"/>
      <c r="O34" s="99"/>
      <c r="P34" s="99"/>
      <c r="Q34" s="99"/>
      <c r="R34" s="99"/>
      <c r="S34" s="99"/>
      <c r="T34" s="130"/>
      <c r="U34" s="130"/>
      <c r="V34" s="130"/>
      <c r="W34" s="130"/>
      <c r="X34" s="130"/>
      <c r="Y34" s="99"/>
      <c r="Z34" s="130"/>
      <c r="AA34" s="99"/>
      <c r="AB34" s="99"/>
      <c r="AC34" s="130"/>
      <c r="AD34" s="99"/>
      <c r="AE34" s="99"/>
      <c r="AF34" s="99"/>
      <c r="AG34" s="99"/>
      <c r="AH34" s="99"/>
    </row>
    <row r="35" spans="1:34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</row>
    <row r="36" spans="1:34">
      <c r="A36" s="99"/>
      <c r="B36" s="99" t="s">
        <v>167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</row>
    <row r="37" spans="1:34">
      <c r="A37" s="107" t="s">
        <v>166</v>
      </c>
      <c r="B37" s="99">
        <v>10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</row>
    <row r="38" spans="1:34">
      <c r="A38" s="64" t="s">
        <v>166</v>
      </c>
      <c r="B38" s="10">
        <v>5</v>
      </c>
    </row>
    <row r="39" spans="1:34">
      <c r="A39" s="65" t="s">
        <v>166</v>
      </c>
      <c r="B39" s="10">
        <v>3</v>
      </c>
    </row>
    <row r="40" spans="1:34">
      <c r="A40" s="10" t="s">
        <v>166</v>
      </c>
      <c r="B40" s="10">
        <v>1</v>
      </c>
    </row>
    <row r="49" spans="1:32">
      <c r="A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</row>
    <row r="50" spans="1:32">
      <c r="A50" s="66"/>
    </row>
    <row r="54" spans="1:32">
      <c r="A54" s="66"/>
    </row>
    <row r="55" spans="1:32">
      <c r="A55" s="66"/>
    </row>
    <row r="56" spans="1:32">
      <c r="A56" s="66"/>
    </row>
    <row r="57" spans="1:32">
      <c r="A57" s="66"/>
    </row>
    <row r="58" spans="1:32">
      <c r="A58" s="66"/>
    </row>
    <row r="59" spans="1:32">
      <c r="A59" s="66"/>
    </row>
    <row r="60" spans="1:32">
      <c r="A60" s="66"/>
    </row>
    <row r="61" spans="1:32">
      <c r="A61" s="66"/>
    </row>
    <row r="62" spans="1:32">
      <c r="A62" s="66"/>
    </row>
    <row r="63" spans="1:32">
      <c r="A63" s="66"/>
    </row>
    <row r="64" spans="1:32">
      <c r="A64" s="66"/>
    </row>
    <row r="65" spans="1:1">
      <c r="A65" s="66"/>
    </row>
    <row r="66" spans="1:1">
      <c r="A66" s="66"/>
    </row>
    <row r="67" spans="1:1">
      <c r="A67" s="66"/>
    </row>
    <row r="68" spans="1:1">
      <c r="A68" s="66"/>
    </row>
    <row r="69" spans="1:1">
      <c r="A69" s="66"/>
    </row>
    <row r="70" spans="1:1">
      <c r="A70" s="66"/>
    </row>
    <row r="71" spans="1:1">
      <c r="A71" s="66"/>
    </row>
    <row r="72" spans="1:1">
      <c r="A72" s="66"/>
    </row>
    <row r="73" spans="1:1">
      <c r="A73" s="66"/>
    </row>
    <row r="74" spans="1:1">
      <c r="A74" s="66"/>
    </row>
    <row r="75" spans="1:1">
      <c r="A75" s="66"/>
    </row>
    <row r="76" spans="1:1">
      <c r="A76" s="66"/>
    </row>
    <row r="77" spans="1:1">
      <c r="A77" s="66"/>
    </row>
  </sheetData>
  <sheetProtection sheet="1" objects="1" scenarios="1"/>
  <pageMargins left="0.7" right="0.7" top="0.75" bottom="0.75" header="0.3" footer="0.3"/>
  <pageSetup paperSize="9" orientation="landscape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B32" sqref="B32"/>
    </sheetView>
  </sheetViews>
  <sheetFormatPr baseColWidth="10" defaultColWidth="11.5" defaultRowHeight="14" x14ac:dyDescent="0"/>
  <cols>
    <col min="1" max="1" width="66.6640625" bestFit="1" customWidth="1"/>
    <col min="2" max="2" width="39.5" bestFit="1" customWidth="1"/>
    <col min="3" max="3" width="21.83203125" customWidth="1"/>
    <col min="4" max="4" width="32.1640625" bestFit="1" customWidth="1"/>
    <col min="5" max="5" width="9" bestFit="1" customWidth="1"/>
    <col min="6" max="7" width="21.6640625" customWidth="1"/>
  </cols>
  <sheetData>
    <row r="1" spans="1:7" ht="15">
      <c r="A1" s="37" t="s">
        <v>109</v>
      </c>
      <c r="B1" s="19" t="s">
        <v>110</v>
      </c>
      <c r="C1" s="19" t="s">
        <v>196</v>
      </c>
      <c r="D1" s="19" t="s">
        <v>181</v>
      </c>
      <c r="E1" s="19" t="s">
        <v>196</v>
      </c>
      <c r="F1" s="19" t="s">
        <v>111</v>
      </c>
      <c r="G1" s="19" t="s">
        <v>112</v>
      </c>
    </row>
    <row r="2" spans="1:7">
      <c r="A2" t="str">
        <f>'Symptomen (alle)'!A2</f>
        <v>Fish Lice(Argulus/Livoneca)</v>
      </c>
      <c r="B2" s="88" t="s">
        <v>143</v>
      </c>
      <c r="C2" s="20" t="s">
        <v>144</v>
      </c>
      <c r="D2" s="88"/>
      <c r="F2" s="20"/>
      <c r="G2" s="20"/>
    </row>
    <row r="3" spans="1:7">
      <c r="A3" t="str">
        <f>'Symptomen (alle)'!A3</f>
        <v>Anchor worm (Lernaea)</v>
      </c>
      <c r="B3" s="88" t="s">
        <v>143</v>
      </c>
      <c r="C3" s="20" t="s">
        <v>144</v>
      </c>
      <c r="D3" s="88"/>
      <c r="E3" s="20"/>
      <c r="F3" s="20"/>
      <c r="G3" s="20"/>
    </row>
    <row r="4" spans="1:7">
      <c r="A4" t="str">
        <f>'Symptomen (alle)'!A7</f>
        <v>Skin fluke (i.e. Gyrodactylus)</v>
      </c>
      <c r="B4" s="88" t="s">
        <v>183</v>
      </c>
      <c r="C4" s="20" t="s">
        <v>144</v>
      </c>
      <c r="D4" s="88" t="s">
        <v>184</v>
      </c>
      <c r="E4" s="20" t="s">
        <v>378</v>
      </c>
      <c r="F4" s="20"/>
      <c r="G4" s="20"/>
    </row>
    <row r="5" spans="1:7">
      <c r="A5" t="str">
        <f>'Symptomen (alle)'!A8</f>
        <v>Gill fluke (i.e. Dactylogyrus)</v>
      </c>
      <c r="B5" s="88" t="s">
        <v>183</v>
      </c>
      <c r="C5" s="20" t="s">
        <v>144</v>
      </c>
      <c r="D5" s="88" t="s">
        <v>184</v>
      </c>
      <c r="E5" s="20" t="s">
        <v>378</v>
      </c>
      <c r="F5" s="20"/>
      <c r="G5" s="20"/>
    </row>
    <row r="6" spans="1:7">
      <c r="A6" t="str">
        <f>'Symptomen (alle)'!A4</f>
        <v>Camallanus</v>
      </c>
      <c r="B6" s="88" t="s">
        <v>183</v>
      </c>
      <c r="C6" s="20" t="s">
        <v>144</v>
      </c>
      <c r="D6" s="88" t="s">
        <v>184</v>
      </c>
      <c r="E6" s="20" t="s">
        <v>378</v>
      </c>
      <c r="F6" s="20"/>
      <c r="G6" s="20"/>
    </row>
    <row r="7" spans="1:7">
      <c r="A7" t="str">
        <f>'Symptomen (alle)'!A5</f>
        <v>Worms Internal/Camallanus/Capillaria/Nematode/other worms</v>
      </c>
      <c r="B7" s="88" t="s">
        <v>183</v>
      </c>
      <c r="C7" s="20" t="s">
        <v>144</v>
      </c>
      <c r="D7" s="88" t="s">
        <v>184</v>
      </c>
      <c r="E7" s="20" t="s">
        <v>378</v>
      </c>
      <c r="F7" s="20"/>
      <c r="G7" s="20"/>
    </row>
    <row r="8" spans="1:7">
      <c r="A8" t="str">
        <f>'Symptomen (alle)'!A17</f>
        <v>Fungus (mostly Saprolegnia)</v>
      </c>
      <c r="B8" s="88" t="s">
        <v>147</v>
      </c>
      <c r="C8" s="20" t="s">
        <v>144</v>
      </c>
      <c r="D8" s="88"/>
      <c r="E8" s="20"/>
      <c r="F8" s="20"/>
      <c r="G8" s="20"/>
    </row>
    <row r="9" spans="1:7">
      <c r="A9" t="str">
        <f>'Symptomen (alle)'!A26</f>
        <v>Discus /Angel fish pest</v>
      </c>
      <c r="B9" s="61" t="s">
        <v>192</v>
      </c>
      <c r="C9" s="20" t="s">
        <v>144</v>
      </c>
      <c r="D9" s="88" t="s">
        <v>191</v>
      </c>
      <c r="E9" s="81" t="s">
        <v>378</v>
      </c>
      <c r="F9" s="20"/>
      <c r="G9" s="20"/>
    </row>
    <row r="10" spans="1:7">
      <c r="A10" t="str">
        <f>'Symptomen (alle)'!A13</f>
        <v>Chilodonella/(Ichthyobodo/Costia)/Trichodina</v>
      </c>
      <c r="B10" s="88" t="s">
        <v>145</v>
      </c>
      <c r="C10" s="20" t="s">
        <v>144</v>
      </c>
      <c r="D10" s="88"/>
      <c r="E10" s="20"/>
      <c r="F10" s="20"/>
      <c r="G10" s="20"/>
    </row>
    <row r="11" spans="1:7">
      <c r="A11" t="str">
        <f>'Symptomen (alle)'!A9</f>
        <v>ICH/White spot disease_x000D_(Ichthyophthirius)</v>
      </c>
      <c r="B11" s="88" t="s">
        <v>145</v>
      </c>
      <c r="C11" s="20" t="s">
        <v>144</v>
      </c>
      <c r="D11" s="88" t="s">
        <v>195</v>
      </c>
      <c r="E11" s="20" t="s">
        <v>378</v>
      </c>
      <c r="F11" s="20"/>
      <c r="G11" s="20"/>
    </row>
    <row r="12" spans="1:7">
      <c r="A12" t="str">
        <f>'Symptomen (alle)'!A14</f>
        <v>Tetrahymena (also called Guppy-killer)</v>
      </c>
      <c r="B12" s="88" t="s">
        <v>146</v>
      </c>
      <c r="C12" s="20" t="s">
        <v>144</v>
      </c>
      <c r="D12" s="88"/>
      <c r="E12" s="20"/>
      <c r="F12" s="20"/>
      <c r="G12" s="20"/>
    </row>
    <row r="13" spans="1:7">
      <c r="A13" t="str">
        <f>'Symptomen (alle)'!A18</f>
        <v>False Fungal Parasites (Stalked ciliates)</v>
      </c>
      <c r="B13" s="88" t="s">
        <v>146</v>
      </c>
      <c r="C13" s="20" t="s">
        <v>144</v>
      </c>
      <c r="D13" s="88"/>
      <c r="E13" s="20"/>
      <c r="F13" s="20"/>
      <c r="G13" s="20"/>
    </row>
    <row r="14" spans="1:7">
      <c r="A14" t="str">
        <f>'Symptomen (alle)'!A15</f>
        <v>Hole-in-the-head/HLLS/Head-and-Lateral-Line-Syndrome</v>
      </c>
      <c r="B14" s="88" t="s">
        <v>187</v>
      </c>
      <c r="C14" s="20" t="s">
        <v>144</v>
      </c>
      <c r="D14" s="88" t="s">
        <v>188</v>
      </c>
      <c r="E14" s="20" t="s">
        <v>378</v>
      </c>
      <c r="F14" s="20"/>
      <c r="G14" s="20"/>
    </row>
    <row r="15" spans="1:7">
      <c r="A15" t="str">
        <f>'Symptomen (alle)'!A16</f>
        <v>Spironucleus/Hexamita</v>
      </c>
      <c r="B15" s="88" t="s">
        <v>187</v>
      </c>
      <c r="C15" s="20" t="s">
        <v>144</v>
      </c>
      <c r="D15" s="88" t="s">
        <v>188</v>
      </c>
      <c r="E15" s="20" t="s">
        <v>378</v>
      </c>
      <c r="F15" s="20"/>
      <c r="G15" s="20"/>
    </row>
    <row r="16" spans="1:7">
      <c r="A16" t="str">
        <f>'Symptomen (alle)'!A30</f>
        <v>Aggression</v>
      </c>
      <c r="B16" s="61" t="s">
        <v>182</v>
      </c>
      <c r="C16" s="20"/>
      <c r="D16" s="88" t="s">
        <v>149</v>
      </c>
      <c r="E16" s="20"/>
      <c r="F16" s="20"/>
      <c r="G16" s="20"/>
    </row>
    <row r="17" spans="1:7">
      <c r="A17" t="str">
        <f>'Symptomen (alle)'!A25</f>
        <v>Lymphocystis/Cauliflower disease</v>
      </c>
      <c r="B17" s="61" t="s">
        <v>182</v>
      </c>
      <c r="C17" s="20"/>
      <c r="D17" s="88" t="s">
        <v>162</v>
      </c>
      <c r="E17" s="20" t="s">
        <v>378</v>
      </c>
      <c r="F17" s="20"/>
      <c r="G17" s="20"/>
    </row>
    <row r="18" spans="1:7">
      <c r="A18" t="str">
        <f>'Symptomen (alle)'!A23</f>
        <v>Mycobacteria, Fish tuberculosis, TB, FishTB, FishMB</v>
      </c>
      <c r="B18" s="61" t="s">
        <v>182</v>
      </c>
      <c r="C18" s="20"/>
      <c r="D18" s="88" t="s">
        <v>148</v>
      </c>
      <c r="E18" s="20" t="s">
        <v>378</v>
      </c>
      <c r="F18" s="20"/>
      <c r="G18" s="20"/>
    </row>
    <row r="19" spans="1:7">
      <c r="A19" t="str">
        <f>'Symptomen (alle)'!A32</f>
        <v>Nutritional deficiency/lack of (good) food</v>
      </c>
      <c r="B19" s="61" t="s">
        <v>182</v>
      </c>
      <c r="C19" s="20"/>
      <c r="D19" s="88" t="s">
        <v>151</v>
      </c>
      <c r="E19" s="20"/>
      <c r="F19" s="20"/>
      <c r="G19" s="20"/>
    </row>
    <row r="20" spans="1:7">
      <c r="A20" t="str">
        <f>'Symptomen (alle)'!A31</f>
        <v>Poor Water Quality= verwijderen???= beter bij analyse:water waardes</v>
      </c>
      <c r="B20" s="61" t="s">
        <v>182</v>
      </c>
      <c r="C20" s="20"/>
      <c r="D20" s="88" t="s">
        <v>150</v>
      </c>
      <c r="E20" s="20"/>
      <c r="F20" s="20"/>
      <c r="G20" s="20"/>
    </row>
    <row r="21" spans="1:7">
      <c r="A21" t="str">
        <f>'Symptomen (alle)'!A6</f>
        <v>Swellings (Cancers, Trematodes, Nematodes, Sporozoa, etc.)</v>
      </c>
      <c r="B21" s="88" t="s">
        <v>182</v>
      </c>
      <c r="C21" s="20"/>
      <c r="D21" s="88" t="s">
        <v>186</v>
      </c>
      <c r="E21" s="20" t="s">
        <v>378</v>
      </c>
      <c r="F21" s="20"/>
      <c r="G21" s="20"/>
    </row>
    <row r="22" spans="1:7">
      <c r="A22" t="str">
        <f>'Symptomen (alle)'!A11</f>
        <v>Black spot disease (mostly encapsulated worm larvae)</v>
      </c>
      <c r="B22" s="88" t="s">
        <v>182</v>
      </c>
      <c r="C22" s="20"/>
      <c r="D22" s="88" t="s">
        <v>186</v>
      </c>
      <c r="E22" s="20" t="s">
        <v>378</v>
      </c>
      <c r="F22" s="20"/>
      <c r="G22" s="20"/>
    </row>
    <row r="23" spans="1:7">
      <c r="A23" t="str">
        <f>'Symptomen (alle)'!A12</f>
        <v>White grub disease (encapsulated worm larvae, NO ICH)</v>
      </c>
      <c r="B23" s="88" t="s">
        <v>182</v>
      </c>
      <c r="C23" s="20"/>
      <c r="D23" s="88" t="s">
        <v>186</v>
      </c>
      <c r="E23" s="20" t="s">
        <v>378</v>
      </c>
      <c r="F23" s="20"/>
      <c r="G23" s="20"/>
    </row>
    <row r="24" spans="1:7">
      <c r="A24" t="str">
        <f>'Symptomen (alle)'!A19</f>
        <v>Sporozoa parasites</v>
      </c>
      <c r="B24" s="88" t="s">
        <v>182</v>
      </c>
      <c r="C24" s="20"/>
      <c r="D24" s="88" t="s">
        <v>148</v>
      </c>
      <c r="E24" s="20" t="s">
        <v>378</v>
      </c>
      <c r="F24" s="20"/>
      <c r="G24" s="20"/>
    </row>
    <row r="25" spans="1:7">
      <c r="A25" t="str">
        <f>'Symptomen (alle)'!A20</f>
        <v>Plistophora (real Neon disease)</v>
      </c>
      <c r="B25" s="88" t="s">
        <v>182</v>
      </c>
      <c r="C25" s="20"/>
      <c r="D25" s="88" t="s">
        <v>148</v>
      </c>
      <c r="E25" s="20" t="s">
        <v>378</v>
      </c>
      <c r="F25" s="20"/>
      <c r="G25" s="20"/>
    </row>
    <row r="26" spans="1:7">
      <c r="A26" t="str">
        <f>'Symptomen (alle)'!A27</f>
        <v>KHV (Kou Herpes Virus)=coldwater</v>
      </c>
      <c r="B26" s="151" t="s">
        <v>182</v>
      </c>
      <c r="C26" s="20"/>
      <c r="D26" s="88" t="s">
        <v>189</v>
      </c>
      <c r="E26" s="20" t="s">
        <v>378</v>
      </c>
      <c r="F26" s="20"/>
      <c r="G26" s="20"/>
    </row>
    <row r="27" spans="1:7">
      <c r="A27" t="str">
        <f>'Symptomen (alle)'!A28</f>
        <v>Goldfish Herpes Virus=coldwater</v>
      </c>
      <c r="B27" s="88" t="s">
        <v>182</v>
      </c>
      <c r="C27" s="20"/>
      <c r="D27" s="88" t="s">
        <v>189</v>
      </c>
      <c r="E27" s="20" t="s">
        <v>378</v>
      </c>
      <c r="F27" s="20"/>
      <c r="G27" s="20"/>
    </row>
    <row r="28" spans="1:7">
      <c r="A28" t="str">
        <f>'Symptomen (alle)'!A10</f>
        <v>Oodinium/Velvet disease</v>
      </c>
      <c r="B28" s="88" t="s">
        <v>190</v>
      </c>
      <c r="C28" s="20" t="s">
        <v>144</v>
      </c>
      <c r="D28" s="88" t="s">
        <v>195</v>
      </c>
      <c r="E28" s="20" t="s">
        <v>378</v>
      </c>
      <c r="F28" s="20"/>
      <c r="G28" s="20"/>
    </row>
    <row r="29" spans="1:7">
      <c r="A29" t="str">
        <f>'Symptomen (alle)'!A24</f>
        <v>Bacterial infection, Other</v>
      </c>
      <c r="B29" s="88" t="s">
        <v>193</v>
      </c>
      <c r="C29" s="20" t="s">
        <v>144</v>
      </c>
      <c r="D29" s="88" t="s">
        <v>217</v>
      </c>
      <c r="E29" s="20" t="s">
        <v>378</v>
      </c>
      <c r="F29" s="20"/>
      <c r="G29" s="20"/>
    </row>
    <row r="30" spans="1:7">
      <c r="A30" t="str">
        <f>'Symptomen (alle)'!A21</f>
        <v>Columnaris/Flavobacteria (also: false neon disease)</v>
      </c>
      <c r="B30" s="88" t="s">
        <v>193</v>
      </c>
      <c r="C30" s="20" t="s">
        <v>144</v>
      </c>
      <c r="D30" s="88" t="s">
        <v>218</v>
      </c>
      <c r="E30" s="20" t="s">
        <v>378</v>
      </c>
      <c r="F30" s="20"/>
      <c r="G30" s="20"/>
    </row>
    <row r="31" spans="1:7">
      <c r="A31" t="str">
        <f>'Symptomen (alle)'!A22</f>
        <v xml:space="preserve">Dropsy/Septicaemia/Ascites </v>
      </c>
      <c r="B31" s="88" t="s">
        <v>193</v>
      </c>
      <c r="C31" s="20" t="s">
        <v>144</v>
      </c>
      <c r="D31" s="88" t="s">
        <v>194</v>
      </c>
      <c r="E31" s="20" t="s">
        <v>378</v>
      </c>
      <c r="F31" s="20"/>
      <c r="G31" s="20"/>
    </row>
    <row r="32" spans="1:7">
      <c r="A32" s="61" t="str">
        <f>'Symptomen (alle)'!A29</f>
        <v>Carp Pox Virus (Carp Herpes)= coldwater</v>
      </c>
      <c r="B32" s="88" t="s">
        <v>182</v>
      </c>
      <c r="C32" s="88"/>
      <c r="D32" s="88" t="s">
        <v>377</v>
      </c>
      <c r="E32" s="88" t="s">
        <v>378</v>
      </c>
      <c r="F32" s="20"/>
      <c r="G32" s="20"/>
    </row>
    <row r="33" spans="1:5">
      <c r="E33" s="20"/>
    </row>
    <row r="34" spans="1:5">
      <c r="A34" t="s">
        <v>185</v>
      </c>
    </row>
  </sheetData>
  <sortState ref="A2:F31">
    <sortCondition ref="B2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8" sqref="B8"/>
    </sheetView>
  </sheetViews>
  <sheetFormatPr baseColWidth="10" defaultColWidth="11.5" defaultRowHeight="14" x14ac:dyDescent="0"/>
  <cols>
    <col min="1" max="1" width="42.5" bestFit="1" customWidth="1"/>
    <col min="2" max="2" width="11.6640625" bestFit="1" customWidth="1"/>
    <col min="3" max="3" width="43.33203125" customWidth="1"/>
    <col min="4" max="4" width="12.33203125" bestFit="1" customWidth="1"/>
    <col min="5" max="5" width="48.1640625" bestFit="1" customWidth="1"/>
  </cols>
  <sheetData>
    <row r="1" spans="1:7">
      <c r="B1" s="19" t="s">
        <v>131</v>
      </c>
      <c r="C1" s="19" t="s">
        <v>137</v>
      </c>
      <c r="D1" s="19" t="s">
        <v>163</v>
      </c>
      <c r="E1" s="19" t="s">
        <v>142</v>
      </c>
      <c r="F1" s="19" t="s">
        <v>132</v>
      </c>
    </row>
    <row r="2" spans="1:7">
      <c r="A2" s="146" t="str">
        <f>'Symptomen (alle)'!C1</f>
        <v>Pathogen visible to_x000D_ naked eye</v>
      </c>
      <c r="B2" s="20">
        <v>10</v>
      </c>
      <c r="D2" s="20" t="s">
        <v>140</v>
      </c>
      <c r="E2" s="20"/>
      <c r="F2">
        <v>10</v>
      </c>
      <c r="G2" t="s">
        <v>133</v>
      </c>
    </row>
    <row r="3" spans="1:7">
      <c r="A3" s="146" t="str">
        <f>'Symptomen (alle)'!D1</f>
        <v>Colour_x000D_change/Darkening</v>
      </c>
      <c r="B3" s="20">
        <v>3</v>
      </c>
      <c r="D3" s="20" t="s">
        <v>140</v>
      </c>
      <c r="E3" s="20"/>
      <c r="F3">
        <v>5</v>
      </c>
      <c r="G3" t="s">
        <v>134</v>
      </c>
    </row>
    <row r="4" spans="1:7">
      <c r="A4" s="146" t="str">
        <f>'Symptomen (alle)'!E1</f>
        <v>Pop-eye</v>
      </c>
      <c r="B4" s="20">
        <v>5</v>
      </c>
      <c r="D4" s="20" t="s">
        <v>140</v>
      </c>
      <c r="E4" s="20"/>
      <c r="F4">
        <v>3</v>
      </c>
      <c r="G4" t="s">
        <v>135</v>
      </c>
    </row>
    <row r="5" spans="1:7">
      <c r="A5" s="146" t="str">
        <f>'Symptomen (alle)'!F1</f>
        <v>Swollen Belly/Dropsy/ascites</v>
      </c>
      <c r="B5" s="20">
        <v>5</v>
      </c>
      <c r="D5" s="20" t="s">
        <v>140</v>
      </c>
      <c r="E5" s="20"/>
      <c r="F5">
        <v>1</v>
      </c>
      <c r="G5" t="s">
        <v>139</v>
      </c>
    </row>
    <row r="6" spans="1:7">
      <c r="A6" s="146" t="str">
        <f>'Symptomen (alle)'!G1</f>
        <v>Reddish wounds/Skin ulcer/heamorrhage/Bleeding skin</v>
      </c>
      <c r="B6" s="20">
        <v>5</v>
      </c>
      <c r="D6" s="20" t="s">
        <v>140</v>
      </c>
      <c r="E6" s="20"/>
    </row>
    <row r="7" spans="1:7">
      <c r="A7" s="146" t="str">
        <f>'Symptomen (alle)'!H1</f>
        <v>Extra growth/swelling on body/skin/little creature</v>
      </c>
      <c r="B7" s="20">
        <v>5</v>
      </c>
      <c r="D7" s="20" t="s">
        <v>140</v>
      </c>
      <c r="E7" s="20"/>
    </row>
    <row r="8" spans="1:7">
      <c r="A8" s="146" t="str">
        <f>'Symptomen (alle)'!I1</f>
        <v>Body Whitish/Necrotic lesion/Holes</v>
      </c>
      <c r="B8" s="20">
        <v>5</v>
      </c>
      <c r="D8" s="20" t="s">
        <v>140</v>
      </c>
      <c r="E8" s="20"/>
    </row>
    <row r="9" spans="1:7">
      <c r="A9" s="146" t="str">
        <f>'Symptomen (alle)'!J1</f>
        <v>Scale loss</v>
      </c>
      <c r="B9" s="20">
        <v>1</v>
      </c>
      <c r="D9" s="20" t="s">
        <v>140</v>
      </c>
      <c r="E9" s="20"/>
    </row>
    <row r="10" spans="1:7">
      <c r="A10" s="146" t="str">
        <f>'Symptomen (alle)'!K1</f>
        <v>Fin rot/damage</v>
      </c>
      <c r="B10" s="20">
        <v>3</v>
      </c>
      <c r="D10" s="20" t="s">
        <v>140</v>
      </c>
      <c r="E10" s="20"/>
    </row>
    <row r="11" spans="1:7">
      <c r="A11" s="146" t="str">
        <f>'Symptomen (alle)'!L1</f>
        <v>White Mucus/Extra Slime/Cloudy/Turbid skin</v>
      </c>
      <c r="B11" s="20">
        <v>1</v>
      </c>
      <c r="D11" s="20" t="s">
        <v>140</v>
      </c>
      <c r="E11" s="20"/>
    </row>
    <row r="12" spans="1:7">
      <c r="A12" s="146" t="str">
        <f>'Symptomen (alle)'!M1</f>
        <v>Faecal cast/Excrement strings at anus</v>
      </c>
      <c r="B12" s="20">
        <v>1</v>
      </c>
      <c r="D12" s="20" t="s">
        <v>140</v>
      </c>
      <c r="E12" s="20"/>
    </row>
    <row r="13" spans="1:7">
      <c r="A13" s="146" t="str">
        <f>'Symptomen (alle)'!N1</f>
        <v>Clamped/Fraying fins</v>
      </c>
      <c r="B13" s="20">
        <v>1</v>
      </c>
      <c r="D13" s="20" t="s">
        <v>141</v>
      </c>
      <c r="E13" s="20"/>
    </row>
    <row r="14" spans="1:7">
      <c r="A14" s="146" t="str">
        <f>'Symptomen (alle)'!O1</f>
        <v>Cotton growth</v>
      </c>
      <c r="B14" s="20">
        <v>5</v>
      </c>
      <c r="D14" s="20" t="s">
        <v>140</v>
      </c>
      <c r="E14" s="20"/>
    </row>
    <row r="15" spans="1:7">
      <c r="A15" s="146" t="str">
        <f>'Symptomen (alle)'!P1</f>
        <v>White spots</v>
      </c>
      <c r="B15" s="20">
        <v>5</v>
      </c>
      <c r="D15" s="20" t="s">
        <v>140</v>
      </c>
      <c r="E15" s="20"/>
    </row>
    <row r="16" spans="1:7">
      <c r="A16" s="146" t="str">
        <f>'Symptomen (alle)'!Q1</f>
        <v>White large specks/growths</v>
      </c>
      <c r="B16" s="20">
        <v>5</v>
      </c>
      <c r="D16" s="20" t="s">
        <v>140</v>
      </c>
      <c r="E16" s="20"/>
    </row>
    <row r="17" spans="1:5">
      <c r="A17" s="146" t="str">
        <f>'Symptomen (alle)'!R1</f>
        <v>Black spots</v>
      </c>
      <c r="B17" s="20">
        <v>5</v>
      </c>
      <c r="D17" s="20" t="s">
        <v>140</v>
      </c>
      <c r="E17" s="20"/>
    </row>
    <row r="18" spans="1:5">
      <c r="A18" s="146" t="str">
        <f>'Symptomen (alle)'!S1</f>
        <v>Dusty look/fine pepper spots</v>
      </c>
      <c r="B18" s="20">
        <v>5</v>
      </c>
      <c r="D18" s="20" t="s">
        <v>140</v>
      </c>
      <c r="E18" s="20"/>
    </row>
    <row r="19" spans="1:5">
      <c r="A19" s="146" t="str">
        <f>'Symptomen (alle)'!T1</f>
        <v>Listless(V): Laying on bottom</v>
      </c>
      <c r="B19" s="20">
        <v>1</v>
      </c>
      <c r="D19" s="20" t="s">
        <v>140</v>
      </c>
      <c r="E19" s="20"/>
    </row>
    <row r="20" spans="1:5">
      <c r="A20" s="146" t="str">
        <f>'Symptomen (alle)'!U1</f>
        <v>Listless(V): hanging at surface</v>
      </c>
      <c r="B20" s="20">
        <v>1</v>
      </c>
      <c r="D20" s="20" t="s">
        <v>141</v>
      </c>
      <c r="E20" s="20"/>
    </row>
    <row r="21" spans="1:5">
      <c r="A21" s="146" t="str">
        <f>'Symptomen (alle)'!V1</f>
        <v>Scraping(V)</v>
      </c>
      <c r="B21" s="20">
        <v>1</v>
      </c>
      <c r="D21" s="20" t="s">
        <v>141</v>
      </c>
      <c r="E21" s="20"/>
    </row>
    <row r="22" spans="1:5">
      <c r="A22" s="146" t="str">
        <f>'Symptomen (alle)'!W1</f>
        <v>Respiratory problems(V)</v>
      </c>
      <c r="B22" s="20">
        <v>1</v>
      </c>
      <c r="D22" s="20" t="s">
        <v>141</v>
      </c>
      <c r="E22" s="20"/>
    </row>
    <row r="23" spans="1:5">
      <c r="A23" s="146" t="str">
        <f>'Symptomen (alle)'!X1</f>
        <v>"Abnormal"/stressbehavior(V)</v>
      </c>
      <c r="B23" s="20">
        <v>1</v>
      </c>
      <c r="D23" s="20" t="s">
        <v>141</v>
      </c>
      <c r="E23" s="20"/>
    </row>
    <row r="24" spans="1:5">
      <c r="A24" s="146" t="str">
        <f>'Symptomen (alle)'!Y1</f>
        <v>Increased mortalitities(uit???)</v>
      </c>
      <c r="B24" s="20">
        <v>1</v>
      </c>
      <c r="D24" s="20" t="s">
        <v>141</v>
      </c>
      <c r="E24" s="20"/>
    </row>
    <row r="25" spans="1:5">
      <c r="A25" s="146" t="str">
        <f>'Symptomen (alle)'!Z1</f>
        <v>Fighting (v)</v>
      </c>
      <c r="B25" s="20">
        <v>1</v>
      </c>
      <c r="D25" s="20" t="s">
        <v>140</v>
      </c>
      <c r="E25" s="20" t="s">
        <v>180</v>
      </c>
    </row>
    <row r="26" spans="1:5">
      <c r="A26" s="146" t="str">
        <f>'Symptomen (alle)'!AA1</f>
        <v>Coughing (v)</v>
      </c>
      <c r="B26" s="20">
        <v>1</v>
      </c>
      <c r="D26" s="20" t="s">
        <v>140</v>
      </c>
      <c r="E26" s="20"/>
    </row>
    <row r="27" spans="1:5">
      <c r="A27" s="146" t="str">
        <f>'Symptomen (alle)'!AB1</f>
        <v>Emaciation/Exhaustion Progress</v>
      </c>
      <c r="B27" s="20">
        <v>1</v>
      </c>
      <c r="D27" s="20" t="s">
        <v>141</v>
      </c>
    </row>
    <row r="28" spans="1:5">
      <c r="A28" s="146" t="str">
        <f>'Symptomen (alle)'!AC1</f>
        <v>Less appetite/less eating</v>
      </c>
      <c r="B28" s="20">
        <v>1</v>
      </c>
    </row>
    <row r="31" spans="1:5">
      <c r="D31" s="62" t="s">
        <v>164</v>
      </c>
    </row>
    <row r="32" spans="1:5">
      <c r="D32" s="62" t="s">
        <v>165</v>
      </c>
    </row>
  </sheetData>
  <sheetProtection sheet="1" objects="1" scenarios="1"/>
  <dataValidations count="2">
    <dataValidation type="list" allowBlank="1" showInputMessage="1" showErrorMessage="1" sqref="D2:D27">
      <formula1>"ja,nee,beide,geen van beide"</formula1>
    </dataValidation>
    <dataValidation type="list" allowBlank="1" showInputMessage="1" showErrorMessage="1" sqref="B2:B28">
      <formula1>$F$2:$F$5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N2" sqref="N2"/>
    </sheetView>
  </sheetViews>
  <sheetFormatPr baseColWidth="10" defaultColWidth="8.83203125" defaultRowHeight="14" x14ac:dyDescent="0"/>
  <cols>
    <col min="1" max="1" width="47.1640625" bestFit="1" customWidth="1"/>
    <col min="2" max="18" width="6.5" customWidth="1"/>
    <col min="19" max="19" width="5.6640625" style="10" customWidth="1"/>
    <col min="20" max="21" width="6.5" customWidth="1"/>
  </cols>
  <sheetData>
    <row r="1" spans="1:21" ht="287">
      <c r="A1" s="3" t="s">
        <v>40</v>
      </c>
      <c r="B1" s="4" t="s">
        <v>248</v>
      </c>
      <c r="C1" s="5" t="s">
        <v>336</v>
      </c>
      <c r="D1" s="6" t="s">
        <v>249</v>
      </c>
      <c r="E1" s="9" t="s">
        <v>250</v>
      </c>
      <c r="F1" s="4" t="s">
        <v>251</v>
      </c>
      <c r="G1" s="6" t="s">
        <v>337</v>
      </c>
      <c r="H1" s="6" t="s">
        <v>252</v>
      </c>
      <c r="I1" s="7" t="s">
        <v>253</v>
      </c>
      <c r="J1" s="6" t="s">
        <v>254</v>
      </c>
      <c r="K1" s="6" t="s">
        <v>255</v>
      </c>
      <c r="L1" s="6" t="s">
        <v>256</v>
      </c>
      <c r="M1" s="6" t="s">
        <v>257</v>
      </c>
      <c r="N1" s="6" t="s">
        <v>258</v>
      </c>
      <c r="O1" s="6" t="s">
        <v>259</v>
      </c>
      <c r="P1" s="6" t="s">
        <v>260</v>
      </c>
      <c r="Q1" s="6" t="s">
        <v>261</v>
      </c>
      <c r="R1" s="7" t="s">
        <v>262</v>
      </c>
      <c r="S1" s="12" t="s">
        <v>263</v>
      </c>
      <c r="T1" s="6" t="s">
        <v>338</v>
      </c>
      <c r="U1" s="6"/>
    </row>
    <row r="2" spans="1:21">
      <c r="A2" s="8" t="str">
        <f>'Symptomen (alle)'!A2</f>
        <v>Fish Lice(Argulus/Livoneca)</v>
      </c>
      <c r="B2" s="25">
        <v>3</v>
      </c>
      <c r="C2" s="25">
        <v>0</v>
      </c>
      <c r="D2" s="25">
        <v>3</v>
      </c>
      <c r="E2" s="25">
        <v>3</v>
      </c>
      <c r="F2" s="25">
        <v>3</v>
      </c>
      <c r="G2" s="25">
        <v>3</v>
      </c>
      <c r="H2" s="25">
        <v>0</v>
      </c>
      <c r="I2" s="25">
        <v>0</v>
      </c>
      <c r="J2" s="25">
        <v>0</v>
      </c>
      <c r="K2" s="25">
        <v>0</v>
      </c>
      <c r="L2" s="25">
        <v>3</v>
      </c>
      <c r="M2" s="25">
        <v>10</v>
      </c>
      <c r="N2" s="25">
        <v>10</v>
      </c>
      <c r="O2" s="25">
        <v>3</v>
      </c>
      <c r="P2" s="25">
        <v>0</v>
      </c>
      <c r="Q2" s="25">
        <v>0</v>
      </c>
      <c r="R2" s="25">
        <v>0</v>
      </c>
      <c r="S2" s="26">
        <v>0</v>
      </c>
      <c r="T2" s="1">
        <v>1</v>
      </c>
      <c r="U2" s="1"/>
    </row>
    <row r="3" spans="1:21">
      <c r="A3" s="8" t="str">
        <f>'Symptomen (alle)'!A3</f>
        <v>Anchor worm (Lernaea)</v>
      </c>
      <c r="B3" s="25">
        <v>0</v>
      </c>
      <c r="C3" s="25">
        <v>0</v>
      </c>
      <c r="D3" s="25">
        <v>3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10</v>
      </c>
      <c r="N3" s="25">
        <v>10</v>
      </c>
      <c r="O3" s="25">
        <v>3</v>
      </c>
      <c r="P3" s="25">
        <v>0</v>
      </c>
      <c r="Q3" s="25">
        <v>0</v>
      </c>
      <c r="R3" s="25">
        <v>0</v>
      </c>
      <c r="S3" s="27">
        <v>0</v>
      </c>
      <c r="T3" s="1">
        <v>1</v>
      </c>
      <c r="U3" s="1"/>
    </row>
    <row r="4" spans="1:21">
      <c r="A4" s="8" t="str">
        <f>'Symptomen (alle)'!A4</f>
        <v>Camallanus</v>
      </c>
      <c r="B4" s="25">
        <v>3</v>
      </c>
      <c r="C4" s="25">
        <v>0</v>
      </c>
      <c r="D4" s="25">
        <v>10</v>
      </c>
      <c r="E4" s="25">
        <v>0</v>
      </c>
      <c r="F4" s="25">
        <v>3</v>
      </c>
      <c r="G4" s="25">
        <v>0</v>
      </c>
      <c r="H4" s="25">
        <v>3</v>
      </c>
      <c r="I4" s="25">
        <v>0</v>
      </c>
      <c r="J4" s="25">
        <v>0</v>
      </c>
      <c r="K4" s="25">
        <v>10</v>
      </c>
      <c r="L4" s="25">
        <v>10</v>
      </c>
      <c r="M4" s="25">
        <v>0</v>
      </c>
      <c r="N4" s="25">
        <v>0</v>
      </c>
      <c r="O4" s="25">
        <v>0</v>
      </c>
      <c r="P4" s="25">
        <v>3</v>
      </c>
      <c r="Q4" s="25">
        <v>0</v>
      </c>
      <c r="R4" s="25">
        <v>0</v>
      </c>
      <c r="S4" s="27">
        <v>3</v>
      </c>
      <c r="T4" s="1">
        <v>1</v>
      </c>
      <c r="U4" s="1"/>
    </row>
    <row r="5" spans="1:21">
      <c r="A5" s="8" t="str">
        <f>'Symptomen (alle)'!A5</f>
        <v>Worms Internal/Camallanus/Capillaria/Nematode/other worms</v>
      </c>
      <c r="B5" s="25">
        <v>3</v>
      </c>
      <c r="C5" s="25">
        <v>3</v>
      </c>
      <c r="D5" s="25">
        <v>10</v>
      </c>
      <c r="E5" s="25">
        <v>1</v>
      </c>
      <c r="F5" s="25">
        <v>10</v>
      </c>
      <c r="G5" s="25">
        <v>3</v>
      </c>
      <c r="H5" s="25">
        <v>3</v>
      </c>
      <c r="I5" s="25">
        <v>3</v>
      </c>
      <c r="J5" s="25">
        <v>3</v>
      </c>
      <c r="K5" s="25">
        <v>10</v>
      </c>
      <c r="L5" s="25">
        <v>10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7">
        <v>3</v>
      </c>
      <c r="T5" s="1">
        <v>1</v>
      </c>
      <c r="U5" s="1"/>
    </row>
    <row r="6" spans="1:21">
      <c r="A6" s="8" t="str">
        <f>'Symptomen (alle)'!A6</f>
        <v>Swellings (Cancers, Trematodes, Nematodes, Sporozoa, etc.)</v>
      </c>
      <c r="B6" s="25">
        <v>3</v>
      </c>
      <c r="C6" s="25">
        <v>3</v>
      </c>
      <c r="D6" s="25">
        <v>3</v>
      </c>
      <c r="E6" s="25">
        <v>3</v>
      </c>
      <c r="F6" s="25">
        <v>3</v>
      </c>
      <c r="G6" s="25">
        <v>3</v>
      </c>
      <c r="H6" s="25">
        <v>3</v>
      </c>
      <c r="I6" s="25">
        <v>3</v>
      </c>
      <c r="J6" s="25">
        <v>3</v>
      </c>
      <c r="K6" s="25">
        <v>3</v>
      </c>
      <c r="L6" s="25">
        <v>3</v>
      </c>
      <c r="M6" s="25">
        <v>3</v>
      </c>
      <c r="N6" s="25">
        <v>3</v>
      </c>
      <c r="O6" s="25">
        <v>3</v>
      </c>
      <c r="P6" s="25">
        <v>3</v>
      </c>
      <c r="Q6" s="25">
        <v>3</v>
      </c>
      <c r="R6" s="25">
        <v>3</v>
      </c>
      <c r="S6" s="25">
        <v>3</v>
      </c>
      <c r="T6" s="1">
        <v>1</v>
      </c>
      <c r="U6" s="1"/>
    </row>
    <row r="7" spans="1:21">
      <c r="A7" s="8" t="str">
        <f>'Symptomen (alle)'!A7</f>
        <v>Skin fluke (i.e. Gyrodactylus)</v>
      </c>
      <c r="B7" s="25">
        <v>0</v>
      </c>
      <c r="C7" s="25">
        <v>3</v>
      </c>
      <c r="D7" s="25">
        <v>10</v>
      </c>
      <c r="E7" s="25">
        <v>3</v>
      </c>
      <c r="F7" s="25">
        <v>3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3</v>
      </c>
      <c r="M7" s="25">
        <v>10</v>
      </c>
      <c r="N7" s="25">
        <v>10</v>
      </c>
      <c r="O7" s="25">
        <v>10</v>
      </c>
      <c r="P7" s="25">
        <v>0</v>
      </c>
      <c r="Q7" s="25">
        <v>0</v>
      </c>
      <c r="R7" s="25">
        <v>3</v>
      </c>
      <c r="S7" s="27">
        <v>0</v>
      </c>
      <c r="T7" s="1">
        <v>1</v>
      </c>
      <c r="U7" s="1"/>
    </row>
    <row r="8" spans="1:21">
      <c r="A8" s="8" t="str">
        <f>'Symptomen (alle)'!A8</f>
        <v>Gill fluke (i.e. Dactylogyrus)</v>
      </c>
      <c r="B8" s="25">
        <v>0</v>
      </c>
      <c r="C8" s="25">
        <v>3</v>
      </c>
      <c r="D8" s="25">
        <v>3</v>
      </c>
      <c r="E8" s="25">
        <v>3</v>
      </c>
      <c r="F8" s="25">
        <v>3</v>
      </c>
      <c r="G8" s="25">
        <v>3</v>
      </c>
      <c r="H8" s="25">
        <v>0</v>
      </c>
      <c r="I8" s="25">
        <v>0</v>
      </c>
      <c r="J8" s="25">
        <v>0</v>
      </c>
      <c r="K8" s="25">
        <v>3</v>
      </c>
      <c r="L8" s="25">
        <v>10</v>
      </c>
      <c r="M8" s="25">
        <v>10</v>
      </c>
      <c r="N8" s="25">
        <v>10</v>
      </c>
      <c r="O8" s="25">
        <v>10</v>
      </c>
      <c r="P8" s="25">
        <v>3</v>
      </c>
      <c r="Q8" s="25">
        <v>0</v>
      </c>
      <c r="R8" s="25">
        <v>3</v>
      </c>
      <c r="S8" s="27">
        <v>3</v>
      </c>
      <c r="T8" s="1">
        <v>1</v>
      </c>
      <c r="U8" s="1"/>
    </row>
    <row r="9" spans="1:21">
      <c r="A9" s="8" t="str">
        <f>'Symptomen (alle)'!A9</f>
        <v>ICH/White spot disease_x000D_(Ichthyophthirius)</v>
      </c>
      <c r="B9" s="25">
        <v>10</v>
      </c>
      <c r="C9" s="25">
        <v>10</v>
      </c>
      <c r="D9" s="25">
        <v>3</v>
      </c>
      <c r="E9" s="25">
        <v>3</v>
      </c>
      <c r="F9" s="25">
        <v>3</v>
      </c>
      <c r="G9" s="25">
        <v>3</v>
      </c>
      <c r="H9" s="25">
        <v>3</v>
      </c>
      <c r="I9" s="25">
        <v>3</v>
      </c>
      <c r="J9" s="25">
        <v>3</v>
      </c>
      <c r="K9" s="25">
        <v>3</v>
      </c>
      <c r="L9" s="25">
        <v>3</v>
      </c>
      <c r="M9" s="25">
        <v>3</v>
      </c>
      <c r="N9" s="25">
        <v>3</v>
      </c>
      <c r="O9" s="25">
        <v>3</v>
      </c>
      <c r="P9" s="28">
        <v>10</v>
      </c>
      <c r="Q9" s="28">
        <v>3</v>
      </c>
      <c r="R9" s="28">
        <v>10</v>
      </c>
      <c r="S9" s="27">
        <v>3</v>
      </c>
      <c r="T9" s="1">
        <v>1</v>
      </c>
      <c r="U9" s="1"/>
    </row>
    <row r="10" spans="1:21">
      <c r="A10" s="8" t="str">
        <f>'Symptomen (alle)'!A10</f>
        <v>Oodinium/Velvet disease</v>
      </c>
      <c r="B10" s="25">
        <v>3</v>
      </c>
      <c r="C10" s="25">
        <v>10</v>
      </c>
      <c r="D10" s="25">
        <v>0</v>
      </c>
      <c r="E10" s="25">
        <v>3</v>
      </c>
      <c r="F10" s="25">
        <v>3</v>
      </c>
      <c r="G10" s="25">
        <v>3</v>
      </c>
      <c r="H10" s="25">
        <v>3</v>
      </c>
      <c r="I10" s="25">
        <v>0</v>
      </c>
      <c r="J10" s="25">
        <v>3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3</v>
      </c>
      <c r="Q10" s="25">
        <v>10</v>
      </c>
      <c r="R10" s="25">
        <v>10</v>
      </c>
      <c r="S10" s="27">
        <v>0</v>
      </c>
      <c r="T10" s="1">
        <v>1</v>
      </c>
      <c r="U10" s="1"/>
    </row>
    <row r="11" spans="1:21">
      <c r="A11" s="8" t="str">
        <f>'Symptomen (alle)'!A11</f>
        <v>Black spot disease (mostly encapsulated worm larvae)</v>
      </c>
      <c r="B11" s="25">
        <v>3</v>
      </c>
      <c r="C11" s="25">
        <v>3</v>
      </c>
      <c r="D11" s="25">
        <v>3</v>
      </c>
      <c r="E11" s="25">
        <v>10</v>
      </c>
      <c r="F11" s="25">
        <v>3</v>
      </c>
      <c r="G11" s="25">
        <v>3</v>
      </c>
      <c r="H11" s="25">
        <v>3</v>
      </c>
      <c r="I11" s="25">
        <v>10</v>
      </c>
      <c r="J11" s="25">
        <v>3</v>
      </c>
      <c r="K11" s="25">
        <v>10</v>
      </c>
      <c r="L11" s="25">
        <v>10</v>
      </c>
      <c r="M11" s="25">
        <v>0</v>
      </c>
      <c r="N11" s="25">
        <v>0</v>
      </c>
      <c r="O11" s="25">
        <v>0</v>
      </c>
      <c r="P11" s="25">
        <v>3</v>
      </c>
      <c r="Q11" s="25">
        <v>3</v>
      </c>
      <c r="R11" s="25">
        <v>3</v>
      </c>
      <c r="S11" s="25">
        <v>3</v>
      </c>
      <c r="T11" s="1">
        <v>1</v>
      </c>
      <c r="U11" s="1"/>
    </row>
    <row r="12" spans="1:21">
      <c r="A12" s="8" t="str">
        <f>'Symptomen (alle)'!A12</f>
        <v>White grub disease (encapsulated worm larvae, NO ICH)</v>
      </c>
      <c r="B12" s="25">
        <v>3</v>
      </c>
      <c r="C12" s="25">
        <v>3</v>
      </c>
      <c r="D12" s="25">
        <v>10</v>
      </c>
      <c r="E12" s="25">
        <v>10</v>
      </c>
      <c r="F12" s="25">
        <v>3</v>
      </c>
      <c r="G12" s="25">
        <v>3</v>
      </c>
      <c r="H12" s="25">
        <v>3</v>
      </c>
      <c r="I12" s="25">
        <v>3</v>
      </c>
      <c r="J12" s="25">
        <v>3</v>
      </c>
      <c r="K12" s="25">
        <v>3</v>
      </c>
      <c r="L12" s="25">
        <v>3</v>
      </c>
      <c r="M12" s="25">
        <v>0</v>
      </c>
      <c r="N12" s="25">
        <v>0</v>
      </c>
      <c r="O12" s="25">
        <v>0</v>
      </c>
      <c r="P12" s="25">
        <v>0</v>
      </c>
      <c r="Q12" s="25">
        <v>3</v>
      </c>
      <c r="R12" s="25">
        <v>3</v>
      </c>
      <c r="S12" s="25">
        <v>3</v>
      </c>
      <c r="T12" s="1">
        <v>1</v>
      </c>
      <c r="U12" s="1"/>
    </row>
    <row r="13" spans="1:21">
      <c r="A13" s="8" t="str">
        <f>'Symptomen (alle)'!A13</f>
        <v>Chilodonella/(Ichthyobodo/Costia)/Trichodina</v>
      </c>
      <c r="B13" s="25">
        <v>3</v>
      </c>
      <c r="C13" s="25">
        <v>3</v>
      </c>
      <c r="D13" s="25">
        <v>3</v>
      </c>
      <c r="E13" s="25">
        <v>3</v>
      </c>
      <c r="F13" s="28">
        <v>3</v>
      </c>
      <c r="G13" s="28">
        <v>3</v>
      </c>
      <c r="H13" s="25">
        <v>3</v>
      </c>
      <c r="I13" s="25">
        <v>3</v>
      </c>
      <c r="J13" s="25">
        <v>0</v>
      </c>
      <c r="K13" s="25">
        <v>3</v>
      </c>
      <c r="L13" s="25">
        <v>3</v>
      </c>
      <c r="M13" s="25">
        <v>3</v>
      </c>
      <c r="N13" s="25">
        <v>3</v>
      </c>
      <c r="O13" s="25">
        <v>3</v>
      </c>
      <c r="P13" s="25">
        <v>3</v>
      </c>
      <c r="Q13" s="25">
        <v>3</v>
      </c>
      <c r="R13" s="25">
        <v>3</v>
      </c>
      <c r="S13" s="27">
        <v>3</v>
      </c>
      <c r="T13" s="1">
        <v>1</v>
      </c>
      <c r="U13" s="1"/>
    </row>
    <row r="14" spans="1:21">
      <c r="A14" s="8" t="str">
        <f>'Symptomen (alle)'!A14</f>
        <v>Tetrahymena (also called Guppy-killer)</v>
      </c>
      <c r="B14" s="25">
        <v>0</v>
      </c>
      <c r="C14" s="25">
        <v>0</v>
      </c>
      <c r="D14" s="25">
        <v>10</v>
      </c>
      <c r="E14" s="25">
        <v>3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3</v>
      </c>
      <c r="L14" s="25">
        <v>3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3</v>
      </c>
      <c r="S14" s="27">
        <v>0</v>
      </c>
      <c r="T14" s="1">
        <v>1</v>
      </c>
      <c r="U14" s="1"/>
    </row>
    <row r="15" spans="1:21">
      <c r="A15" s="8" t="str">
        <f>'Symptomen (alle)'!A15</f>
        <v>Hole-in-the-head/HLLS/Head-and-Lateral-Line-Syndrome</v>
      </c>
      <c r="B15" s="25">
        <v>3</v>
      </c>
      <c r="C15" s="25">
        <v>0</v>
      </c>
      <c r="D15" s="25">
        <v>0</v>
      </c>
      <c r="E15" s="25">
        <v>3</v>
      </c>
      <c r="F15" s="25">
        <v>0</v>
      </c>
      <c r="G15" s="25">
        <v>10</v>
      </c>
      <c r="H15" s="25">
        <v>10</v>
      </c>
      <c r="I15" s="25">
        <v>10</v>
      </c>
      <c r="J15" s="25">
        <v>10</v>
      </c>
      <c r="K15" s="25">
        <v>10</v>
      </c>
      <c r="L15" s="25">
        <v>10</v>
      </c>
      <c r="M15" s="25">
        <v>0</v>
      </c>
      <c r="N15" s="25">
        <v>0</v>
      </c>
      <c r="O15" s="25">
        <v>0</v>
      </c>
      <c r="P15" s="25">
        <v>3</v>
      </c>
      <c r="Q15" s="25">
        <v>0</v>
      </c>
      <c r="R15" s="25">
        <v>0</v>
      </c>
      <c r="S15" s="27">
        <v>0</v>
      </c>
      <c r="T15" s="1">
        <v>1</v>
      </c>
      <c r="U15" s="1"/>
    </row>
    <row r="16" spans="1:21">
      <c r="A16" s="8" t="str">
        <f>'Symptomen (alle)'!A16</f>
        <v>Spironucleus/Hexamita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87">
        <v>1</v>
      </c>
      <c r="U16" s="21"/>
    </row>
    <row r="17" spans="1:21">
      <c r="A17" s="8" t="str">
        <f>'Symptomen (alle)'!A17</f>
        <v>Fungus (mostly Saprolegnia)</v>
      </c>
      <c r="B17" s="25">
        <v>3</v>
      </c>
      <c r="C17" s="25">
        <v>3</v>
      </c>
      <c r="D17" s="25">
        <v>3</v>
      </c>
      <c r="E17" s="25">
        <v>3</v>
      </c>
      <c r="F17" s="25">
        <v>3</v>
      </c>
      <c r="G17" s="25">
        <v>3</v>
      </c>
      <c r="H17" s="25">
        <v>3</v>
      </c>
      <c r="I17" s="25">
        <v>3</v>
      </c>
      <c r="J17" s="25">
        <v>3</v>
      </c>
      <c r="K17" s="25">
        <v>3</v>
      </c>
      <c r="L17" s="25">
        <v>3</v>
      </c>
      <c r="M17" s="25">
        <v>3</v>
      </c>
      <c r="N17" s="25">
        <v>3</v>
      </c>
      <c r="O17" s="25">
        <v>3</v>
      </c>
      <c r="P17" s="25">
        <v>3</v>
      </c>
      <c r="Q17" s="25">
        <v>3</v>
      </c>
      <c r="R17" s="25">
        <v>3</v>
      </c>
      <c r="S17" s="27">
        <v>3</v>
      </c>
      <c r="T17" s="1">
        <v>1</v>
      </c>
      <c r="U17" s="1"/>
    </row>
    <row r="18" spans="1:21">
      <c r="A18" s="8" t="str">
        <f>'Symptomen (alle)'!A18</f>
        <v>False Fungal Parasites (Stalked ciliates)</v>
      </c>
      <c r="B18" s="25">
        <v>0</v>
      </c>
      <c r="C18" s="25">
        <v>0</v>
      </c>
      <c r="D18" s="25">
        <v>0</v>
      </c>
      <c r="E18" s="25">
        <v>3</v>
      </c>
      <c r="F18" s="25">
        <v>3</v>
      </c>
      <c r="G18" s="25">
        <v>3</v>
      </c>
      <c r="H18" s="25">
        <v>0</v>
      </c>
      <c r="I18" s="25">
        <v>0</v>
      </c>
      <c r="J18" s="25">
        <v>0</v>
      </c>
      <c r="K18" s="25">
        <v>3</v>
      </c>
      <c r="L18" s="25">
        <v>3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3</v>
      </c>
      <c r="S18" s="27">
        <v>0</v>
      </c>
      <c r="T18" s="1">
        <v>1</v>
      </c>
      <c r="U18" s="1"/>
    </row>
    <row r="19" spans="1:21">
      <c r="A19" s="8" t="str">
        <f>'Symptomen (alle)'!A19</f>
        <v>Sporozoa parasites</v>
      </c>
      <c r="B19" s="25">
        <v>10</v>
      </c>
      <c r="C19" s="25">
        <v>3</v>
      </c>
      <c r="D19" s="25">
        <v>3</v>
      </c>
      <c r="E19" s="25">
        <v>3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1</v>
      </c>
      <c r="O19" s="25">
        <v>0</v>
      </c>
      <c r="P19" s="25">
        <v>0</v>
      </c>
      <c r="Q19" s="25">
        <v>0</v>
      </c>
      <c r="R19" s="25">
        <v>0</v>
      </c>
      <c r="S19" s="27">
        <v>10</v>
      </c>
      <c r="T19" s="1">
        <v>1</v>
      </c>
      <c r="U19" s="1"/>
    </row>
    <row r="20" spans="1:21">
      <c r="A20" s="8" t="str">
        <f>'Symptomen (alle)'!A20</f>
        <v>Plistophora (real Neon disease)</v>
      </c>
      <c r="B20" s="25">
        <v>10</v>
      </c>
      <c r="C20" s="25">
        <v>3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1</v>
      </c>
      <c r="O20" s="25">
        <v>0</v>
      </c>
      <c r="P20" s="25">
        <v>0</v>
      </c>
      <c r="Q20" s="25">
        <v>0</v>
      </c>
      <c r="R20" s="25">
        <v>0</v>
      </c>
      <c r="S20" s="27">
        <v>0</v>
      </c>
      <c r="T20" s="1">
        <v>1</v>
      </c>
      <c r="U20" s="1"/>
    </row>
    <row r="21" spans="1:21">
      <c r="A21" s="8" t="str">
        <f>'Symptomen (alle)'!A21</f>
        <v>Columnaris/Flavobacteria (also: false neon disease)</v>
      </c>
      <c r="B21" s="25">
        <v>10</v>
      </c>
      <c r="C21" s="25">
        <v>3</v>
      </c>
      <c r="D21" s="25">
        <v>10</v>
      </c>
      <c r="E21" s="25">
        <v>3</v>
      </c>
      <c r="F21" s="25">
        <v>3</v>
      </c>
      <c r="G21" s="25">
        <v>3</v>
      </c>
      <c r="H21" s="25">
        <v>3</v>
      </c>
      <c r="I21" s="25">
        <v>3</v>
      </c>
      <c r="J21" s="25">
        <v>3</v>
      </c>
      <c r="K21" s="25">
        <v>3</v>
      </c>
      <c r="L21" s="25">
        <v>3</v>
      </c>
      <c r="M21" s="25">
        <v>3</v>
      </c>
      <c r="N21" s="25">
        <v>3</v>
      </c>
      <c r="O21" s="25">
        <v>3</v>
      </c>
      <c r="P21" s="25">
        <v>3</v>
      </c>
      <c r="Q21" s="25">
        <v>3</v>
      </c>
      <c r="R21" s="25">
        <v>3</v>
      </c>
      <c r="S21" s="27">
        <v>3</v>
      </c>
      <c r="T21" s="1">
        <v>1</v>
      </c>
      <c r="U21" s="1"/>
    </row>
    <row r="22" spans="1:21">
      <c r="A22" s="8" t="str">
        <f>'Symptomen (alle)'!A22</f>
        <v xml:space="preserve">Dropsy/Septicaemia/Ascites </v>
      </c>
      <c r="B22" s="25">
        <v>3</v>
      </c>
      <c r="C22" s="25">
        <v>3</v>
      </c>
      <c r="D22" s="25">
        <v>3</v>
      </c>
      <c r="E22" s="25">
        <v>3</v>
      </c>
      <c r="F22" s="25">
        <v>3</v>
      </c>
      <c r="G22" s="25">
        <v>3</v>
      </c>
      <c r="H22" s="25">
        <v>3</v>
      </c>
      <c r="I22" s="25">
        <v>3</v>
      </c>
      <c r="J22" s="25">
        <v>3</v>
      </c>
      <c r="K22" s="25">
        <v>3</v>
      </c>
      <c r="L22" s="25">
        <v>3</v>
      </c>
      <c r="M22" s="25">
        <v>3</v>
      </c>
      <c r="N22" s="25">
        <v>3</v>
      </c>
      <c r="O22" s="25">
        <v>3</v>
      </c>
      <c r="P22" s="25">
        <v>10</v>
      </c>
      <c r="Q22" s="25">
        <v>0</v>
      </c>
      <c r="R22" s="25">
        <v>3</v>
      </c>
      <c r="S22" s="27">
        <v>0</v>
      </c>
      <c r="T22" s="1">
        <v>1</v>
      </c>
      <c r="U22" s="1"/>
    </row>
    <row r="23" spans="1:21">
      <c r="A23" s="8" t="str">
        <f>'Symptomen (alle)'!A23</f>
        <v>Mycobacteria, Fish tuberculosis, TB, FishTB, FishMB</v>
      </c>
      <c r="B23" s="25">
        <v>3</v>
      </c>
      <c r="C23" s="25">
        <v>3</v>
      </c>
      <c r="D23" s="25">
        <v>3</v>
      </c>
      <c r="E23" s="25">
        <v>3</v>
      </c>
      <c r="F23" s="25">
        <v>3</v>
      </c>
      <c r="G23" s="25">
        <v>0</v>
      </c>
      <c r="H23" s="25">
        <v>3</v>
      </c>
      <c r="I23" s="25">
        <v>3</v>
      </c>
      <c r="J23" s="25">
        <v>3</v>
      </c>
      <c r="K23" s="25">
        <v>10</v>
      </c>
      <c r="L23" s="25">
        <v>10</v>
      </c>
      <c r="M23" s="25">
        <v>3</v>
      </c>
      <c r="N23" s="25">
        <v>3</v>
      </c>
      <c r="O23" s="25">
        <v>0</v>
      </c>
      <c r="P23" s="25">
        <v>0</v>
      </c>
      <c r="Q23" s="25">
        <v>0</v>
      </c>
      <c r="R23" s="25">
        <v>10</v>
      </c>
      <c r="S23" s="27">
        <v>0</v>
      </c>
      <c r="T23" s="1">
        <v>1</v>
      </c>
      <c r="U23" s="1"/>
    </row>
    <row r="24" spans="1:21">
      <c r="A24" s="8" t="str">
        <f>'Symptomen (alle)'!A24</f>
        <v>Bacterial infection, Other</v>
      </c>
      <c r="B24" s="25">
        <v>3</v>
      </c>
      <c r="C24" s="25">
        <v>3</v>
      </c>
      <c r="D24" s="25">
        <v>3</v>
      </c>
      <c r="E24" s="25">
        <v>3</v>
      </c>
      <c r="F24" s="25">
        <v>3</v>
      </c>
      <c r="G24" s="25">
        <v>3</v>
      </c>
      <c r="H24" s="25">
        <v>3</v>
      </c>
      <c r="I24" s="25">
        <v>3</v>
      </c>
      <c r="J24" s="25">
        <v>3</v>
      </c>
      <c r="K24" s="25">
        <v>3</v>
      </c>
      <c r="L24" s="25">
        <v>3</v>
      </c>
      <c r="M24" s="25">
        <v>3</v>
      </c>
      <c r="N24" s="25">
        <v>3</v>
      </c>
      <c r="O24" s="25">
        <v>3</v>
      </c>
      <c r="P24" s="25">
        <v>3</v>
      </c>
      <c r="Q24" s="25">
        <v>3</v>
      </c>
      <c r="R24" s="25">
        <v>3</v>
      </c>
      <c r="S24" s="27">
        <v>3</v>
      </c>
      <c r="T24" s="1">
        <v>1</v>
      </c>
      <c r="U24" s="1"/>
    </row>
    <row r="25" spans="1:21">
      <c r="A25" s="8" t="str">
        <f>'Symptomen (alle)'!A25</f>
        <v>Lymphocystis/Cauliflower disease</v>
      </c>
      <c r="B25" s="25">
        <v>0</v>
      </c>
      <c r="C25" s="25">
        <v>0</v>
      </c>
      <c r="D25" s="25">
        <v>0</v>
      </c>
      <c r="E25" s="25">
        <v>10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3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7">
        <v>0</v>
      </c>
      <c r="T25" s="1">
        <v>1</v>
      </c>
      <c r="U25" s="1"/>
    </row>
    <row r="26" spans="1:21">
      <c r="A26" s="8" t="str">
        <f>'Symptomen (alle)'!A26</f>
        <v>Discus /Angel fish pest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10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7">
        <v>0</v>
      </c>
      <c r="T26" s="1">
        <v>0</v>
      </c>
      <c r="U26" s="1"/>
    </row>
    <row r="27" spans="1:21">
      <c r="A27" s="8" t="str">
        <f>'Symptomen (alle)'!A27</f>
        <v>KHV (Kou Herpes Virus)=coldwater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10</v>
      </c>
      <c r="P27" s="25">
        <v>0</v>
      </c>
      <c r="Q27" s="25">
        <v>0</v>
      </c>
      <c r="R27" s="25">
        <v>0</v>
      </c>
      <c r="S27" s="27">
        <v>0</v>
      </c>
      <c r="T27" s="1">
        <v>0</v>
      </c>
      <c r="U27" s="1"/>
    </row>
    <row r="28" spans="1:21">
      <c r="A28" s="8" t="str">
        <f>'Symptomen (alle)'!A28</f>
        <v>Goldfish Herpes Virus=coldwater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10</v>
      </c>
      <c r="N28" s="25">
        <v>10</v>
      </c>
      <c r="O28" s="25">
        <v>0</v>
      </c>
      <c r="P28" s="25">
        <v>0</v>
      </c>
      <c r="Q28" s="25">
        <v>0</v>
      </c>
      <c r="R28" s="25">
        <v>0</v>
      </c>
      <c r="S28" s="27">
        <v>0</v>
      </c>
      <c r="T28" s="1">
        <v>1</v>
      </c>
      <c r="U28" s="1"/>
    </row>
    <row r="29" spans="1:21">
      <c r="A29" s="8" t="str">
        <f>'Symptomen (alle)'!A29</f>
        <v>Carp Pox Virus (Carp Herpes)= coldwater</v>
      </c>
      <c r="B29" s="148">
        <v>0</v>
      </c>
      <c r="C29" s="148">
        <v>0</v>
      </c>
      <c r="D29" s="148">
        <v>0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10</v>
      </c>
      <c r="N29" s="148">
        <v>10</v>
      </c>
      <c r="O29" s="148">
        <v>10</v>
      </c>
      <c r="P29" s="148">
        <v>0</v>
      </c>
      <c r="Q29" s="148">
        <v>0</v>
      </c>
      <c r="R29" s="148">
        <v>0</v>
      </c>
      <c r="S29" s="149">
        <v>0</v>
      </c>
      <c r="T29" s="150">
        <v>1</v>
      </c>
      <c r="U29" s="1"/>
    </row>
    <row r="30" spans="1:21">
      <c r="A30" s="8" t="str">
        <f>'Symptomen (alle)'!A30</f>
        <v>Aggression</v>
      </c>
      <c r="B30" s="25">
        <v>3</v>
      </c>
      <c r="C30" s="25">
        <v>3</v>
      </c>
      <c r="D30" s="25">
        <v>0</v>
      </c>
      <c r="E30" s="25">
        <v>0</v>
      </c>
      <c r="F30" s="25">
        <v>0</v>
      </c>
      <c r="G30" s="25">
        <v>0</v>
      </c>
      <c r="H30" s="25">
        <v>3</v>
      </c>
      <c r="I30" s="25">
        <v>3</v>
      </c>
      <c r="J30" s="25">
        <v>3</v>
      </c>
      <c r="K30" s="25">
        <v>3</v>
      </c>
      <c r="L30" s="25">
        <v>3</v>
      </c>
      <c r="M30" s="25">
        <v>0</v>
      </c>
      <c r="N30" s="25">
        <v>0</v>
      </c>
      <c r="O30" s="25">
        <v>0</v>
      </c>
      <c r="P30" s="25">
        <v>0</v>
      </c>
      <c r="Q30" s="25">
        <v>3</v>
      </c>
      <c r="R30" s="25">
        <v>0</v>
      </c>
      <c r="S30" s="27">
        <v>0</v>
      </c>
      <c r="T30" s="1">
        <v>1</v>
      </c>
      <c r="U30" s="1"/>
    </row>
    <row r="31" spans="1:21">
      <c r="A31" s="8" t="str">
        <f>'Symptomen (alle)'!A31</f>
        <v>Poor Water Quality= verwijderen???= beter bij analyse:water waardes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87">
        <v>1</v>
      </c>
      <c r="U31" s="21"/>
    </row>
    <row r="32" spans="1:21">
      <c r="A32" s="8" t="str">
        <f>'Symptomen (alle)'!A32</f>
        <v>Nutritional deficiency/lack of (good) food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87">
        <v>1</v>
      </c>
      <c r="U32" s="21"/>
    </row>
    <row r="34" spans="1:21">
      <c r="B34" s="2" t="s">
        <v>9</v>
      </c>
      <c r="C34" s="2"/>
      <c r="D34" s="2"/>
      <c r="E34" s="2"/>
      <c r="F34" s="2"/>
      <c r="G34" s="2"/>
      <c r="H34" s="2"/>
      <c r="N34" s="2"/>
      <c r="O34" s="2"/>
      <c r="P34" s="2"/>
      <c r="R34" s="2"/>
      <c r="U34" s="2"/>
    </row>
    <row r="37" spans="1:21">
      <c r="A37" t="s">
        <v>44</v>
      </c>
    </row>
    <row r="38" spans="1:21">
      <c r="A38" s="13" t="s">
        <v>248</v>
      </c>
    </row>
    <row r="39" spans="1:21">
      <c r="A39" s="13" t="s">
        <v>336</v>
      </c>
    </row>
    <row r="40" spans="1:21">
      <c r="A40" s="14" t="s">
        <v>249</v>
      </c>
    </row>
    <row r="41" spans="1:21">
      <c r="A41" s="15" t="s">
        <v>250</v>
      </c>
    </row>
    <row r="42" spans="1:21">
      <c r="A42" s="13" t="s">
        <v>251</v>
      </c>
    </row>
    <row r="43" spans="1:21">
      <c r="A43" s="13" t="s">
        <v>337</v>
      </c>
    </row>
    <row r="44" spans="1:21">
      <c r="A44" s="14" t="s">
        <v>252</v>
      </c>
    </row>
    <row r="45" spans="1:21">
      <c r="A45" s="16" t="s">
        <v>253</v>
      </c>
    </row>
    <row r="46" spans="1:21">
      <c r="A46" s="14" t="s">
        <v>254</v>
      </c>
    </row>
    <row r="47" spans="1:21">
      <c r="A47" s="14" t="s">
        <v>255</v>
      </c>
    </row>
    <row r="48" spans="1:21">
      <c r="A48" s="14" t="s">
        <v>256</v>
      </c>
    </row>
    <row r="49" spans="1:1">
      <c r="A49" s="14" t="s">
        <v>257</v>
      </c>
    </row>
    <row r="50" spans="1:1">
      <c r="A50" s="14" t="s">
        <v>258</v>
      </c>
    </row>
    <row r="51" spans="1:1">
      <c r="A51" s="14" t="s">
        <v>259</v>
      </c>
    </row>
    <row r="52" spans="1:1">
      <c r="A52" s="14" t="s">
        <v>260</v>
      </c>
    </row>
    <row r="53" spans="1:1">
      <c r="A53" s="14" t="s">
        <v>261</v>
      </c>
    </row>
    <row r="54" spans="1:1">
      <c r="A54" s="16" t="s">
        <v>262</v>
      </c>
    </row>
    <row r="55" spans="1:1">
      <c r="A55" s="17" t="s">
        <v>263</v>
      </c>
    </row>
    <row r="56" spans="1:1">
      <c r="A56" s="17" t="s">
        <v>338</v>
      </c>
    </row>
  </sheetData>
  <sheetProtection sheet="1" objects="1" scenarios="1"/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49"/>
  <sheetViews>
    <sheetView topLeftCell="A3" workbookViewId="0">
      <pane xSplit="2" ySplit="4" topLeftCell="AD7" activePane="bottomRight" state="frozen"/>
      <selection activeCell="A46" sqref="A46"/>
      <selection pane="topRight" activeCell="A46" sqref="A46"/>
      <selection pane="bottomLeft" activeCell="A46" sqref="A46"/>
      <selection pane="bottomRight" activeCell="B4" sqref="B4"/>
    </sheetView>
  </sheetViews>
  <sheetFormatPr baseColWidth="10" defaultColWidth="11.5" defaultRowHeight="14" x14ac:dyDescent="0"/>
  <cols>
    <col min="1" max="1" width="29" bestFit="1" customWidth="1"/>
    <col min="2" max="2" width="65.5" customWidth="1"/>
    <col min="3" max="24" width="4" customWidth="1"/>
    <col min="25" max="25" width="4.6640625" customWidth="1"/>
    <col min="26" max="29" width="4" customWidth="1"/>
    <col min="30" max="30" width="7.83203125" customWidth="1"/>
    <col min="31" max="31" width="10.5" bestFit="1" customWidth="1"/>
    <col min="32" max="32" width="4.1640625" customWidth="1"/>
    <col min="33" max="33" width="7.1640625" customWidth="1"/>
    <col min="34" max="34" width="10.5" bestFit="1" customWidth="1"/>
    <col min="35" max="35" width="10.5" customWidth="1"/>
    <col min="36" max="37" width="7.5" customWidth="1"/>
    <col min="38" max="39" width="10.5" bestFit="1" customWidth="1"/>
    <col min="40" max="40" width="3.5" bestFit="1" customWidth="1"/>
  </cols>
  <sheetData>
    <row r="1" spans="1:39">
      <c r="A1" t="s">
        <v>41</v>
      </c>
    </row>
    <row r="2" spans="1:39">
      <c r="C2" t="s">
        <v>42</v>
      </c>
      <c r="AI2" t="s">
        <v>370</v>
      </c>
    </row>
    <row r="3" spans="1:39" ht="257">
      <c r="A3" t="s">
        <v>47</v>
      </c>
      <c r="B3" t="s">
        <v>43</v>
      </c>
      <c r="C3" s="18" t="str">
        <f>'Symptomen (alle)'!C1</f>
        <v>Pathogen visible to_x000D_ naked eye</v>
      </c>
      <c r="D3" s="18" t="str">
        <f>'Symptomen (alle)'!D1</f>
        <v>Colour_x000D_change/Darkening</v>
      </c>
      <c r="E3" s="18" t="str">
        <f>'Symptomen (alle)'!E1</f>
        <v>Pop-eye</v>
      </c>
      <c r="F3" s="18" t="str">
        <f>'Symptomen (alle)'!F1</f>
        <v>Swollen Belly/Dropsy/ascites</v>
      </c>
      <c r="G3" s="18" t="str">
        <f>'Symptomen (alle)'!G1</f>
        <v>Reddish wounds/Skin ulcer/heamorrhage/Bleeding skin</v>
      </c>
      <c r="H3" s="18" t="str">
        <f>'Symptomen (alle)'!H1</f>
        <v>Extra growth/swelling on body/skin/little creature</v>
      </c>
      <c r="I3" s="18" t="str">
        <f>'Symptomen (alle)'!I1</f>
        <v>Body Whitish/Necrotic lesion/Holes</v>
      </c>
      <c r="J3" s="18" t="str">
        <f>'Symptomen (alle)'!J1</f>
        <v>Scale loss</v>
      </c>
      <c r="K3" s="18" t="str">
        <f>'Symptomen (alle)'!K1</f>
        <v>Fin rot/damage</v>
      </c>
      <c r="L3" s="18" t="str">
        <f>'Symptomen (alle)'!L1</f>
        <v>White Mucus/Extra Slime/Cloudy/Turbid skin</v>
      </c>
      <c r="M3" s="18" t="str">
        <f>'Symptomen (alle)'!M1</f>
        <v>Faecal cast/Excrement strings at anus</v>
      </c>
      <c r="N3" s="18" t="str">
        <f>'Symptomen (alle)'!N1</f>
        <v>Clamped/Fraying fins</v>
      </c>
      <c r="O3" s="18" t="str">
        <f>'Symptomen (alle)'!O1</f>
        <v>Cotton growth</v>
      </c>
      <c r="P3" s="18" t="str">
        <f>'Symptomen (alle)'!P1</f>
        <v>White spots</v>
      </c>
      <c r="Q3" s="18" t="str">
        <f>'Symptomen (alle)'!Q1</f>
        <v>White large specks/growths</v>
      </c>
      <c r="R3" s="18" t="str">
        <f>'Symptomen (alle)'!R1</f>
        <v>Black spots</v>
      </c>
      <c r="S3" s="18" t="str">
        <f>'Symptomen (alle)'!S1</f>
        <v>Dusty look/fine pepper spots</v>
      </c>
      <c r="T3" s="18" t="str">
        <f>'Symptomen (alle)'!T1</f>
        <v>Listless(V): Laying on bottom</v>
      </c>
      <c r="U3" s="18" t="str">
        <f>'Symptomen (alle)'!U1</f>
        <v>Listless(V): hanging at surface</v>
      </c>
      <c r="V3" s="18" t="str">
        <f>'Symptomen (alle)'!V1</f>
        <v>Scraping(V)</v>
      </c>
      <c r="W3" s="18" t="str">
        <f>'Symptomen (alle)'!W1</f>
        <v>Respiratory problems(V)</v>
      </c>
      <c r="X3" s="18" t="str">
        <f>'Symptomen (alle)'!X1</f>
        <v>"Abnormal"/stressbehavior(V)</v>
      </c>
      <c r="Y3" s="18" t="str">
        <f>'Symptomen (alle)'!Y1</f>
        <v>Increased mortalitities(uit???)</v>
      </c>
      <c r="Z3" s="18" t="str">
        <f>'Symptomen (alle)'!Z1</f>
        <v>Fighting (v)</v>
      </c>
      <c r="AA3" s="18" t="str">
        <f>'Symptomen (alle)'!AA1</f>
        <v>Coughing (v)</v>
      </c>
      <c r="AB3" s="18" t="str">
        <f>'Symptomen (alle)'!AB1</f>
        <v>Emaciation/Exhaustion Progress</v>
      </c>
      <c r="AC3" s="18" t="str">
        <f>'Symptomen (alle)'!AC1</f>
        <v>Less appetite/less eating</v>
      </c>
      <c r="AD3" s="18" t="s">
        <v>45</v>
      </c>
      <c r="AE3" s="18" t="s">
        <v>79</v>
      </c>
      <c r="AF3" s="29" t="s">
        <v>78</v>
      </c>
      <c r="AG3" s="29" t="s">
        <v>48</v>
      </c>
      <c r="AH3" s="18" t="s">
        <v>74</v>
      </c>
      <c r="AI3" s="57" t="s">
        <v>371</v>
      </c>
      <c r="AJ3" s="18" t="s">
        <v>199</v>
      </c>
      <c r="AK3" s="18" t="s">
        <v>373</v>
      </c>
      <c r="AL3" s="18" t="s">
        <v>80</v>
      </c>
      <c r="AM3" s="18" t="s">
        <v>75</v>
      </c>
    </row>
    <row r="4" spans="1:39">
      <c r="A4" s="10" t="s">
        <v>114</v>
      </c>
      <c r="B4" s="20" t="s">
        <v>254</v>
      </c>
      <c r="C4" s="147"/>
      <c r="D4" s="20"/>
      <c r="E4" s="20"/>
      <c r="F4" s="20"/>
      <c r="G4" s="20"/>
      <c r="H4" s="20"/>
      <c r="I4" s="20" t="s">
        <v>90</v>
      </c>
      <c r="J4" s="20"/>
      <c r="K4" s="20"/>
      <c r="L4" s="20"/>
      <c r="M4" s="20"/>
      <c r="N4" s="20"/>
      <c r="O4" s="20"/>
      <c r="P4" s="20"/>
      <c r="Q4" s="20"/>
      <c r="R4" s="20"/>
      <c r="S4" s="20" t="s">
        <v>90</v>
      </c>
      <c r="T4" s="20"/>
      <c r="U4" s="20"/>
      <c r="V4" s="20" t="s">
        <v>90</v>
      </c>
      <c r="W4" s="20"/>
      <c r="X4" s="20" t="s">
        <v>90</v>
      </c>
      <c r="Y4" s="20"/>
      <c r="Z4" s="20"/>
      <c r="AA4" s="20"/>
      <c r="AB4" s="20"/>
      <c r="AC4" s="20"/>
      <c r="AE4" s="30"/>
      <c r="AF4" s="30"/>
    </row>
    <row r="5" spans="1:39" hidden="1">
      <c r="B5" s="19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54</v>
      </c>
      <c r="H5" t="s">
        <v>179</v>
      </c>
      <c r="I5" t="s">
        <v>55</v>
      </c>
      <c r="J5" t="s">
        <v>94</v>
      </c>
      <c r="K5" t="s">
        <v>56</v>
      </c>
      <c r="L5" t="s">
        <v>57</v>
      </c>
      <c r="M5" t="s">
        <v>58</v>
      </c>
      <c r="N5" t="s">
        <v>59</v>
      </c>
      <c r="O5" t="s">
        <v>60</v>
      </c>
      <c r="P5" t="s">
        <v>61</v>
      </c>
      <c r="Q5" t="s">
        <v>178</v>
      </c>
      <c r="R5" t="s">
        <v>177</v>
      </c>
      <c r="S5" t="s">
        <v>62</v>
      </c>
      <c r="T5" t="s">
        <v>63</v>
      </c>
      <c r="U5" t="s">
        <v>160</v>
      </c>
      <c r="V5" t="s">
        <v>161</v>
      </c>
      <c r="W5" t="s">
        <v>64</v>
      </c>
      <c r="X5" t="s">
        <v>65</v>
      </c>
      <c r="Y5" t="s">
        <v>66</v>
      </c>
      <c r="Z5" t="s">
        <v>67</v>
      </c>
      <c r="AA5" t="s">
        <v>68</v>
      </c>
      <c r="AB5" t="s">
        <v>97</v>
      </c>
      <c r="AC5" t="s">
        <v>96</v>
      </c>
      <c r="AD5" t="s">
        <v>69</v>
      </c>
      <c r="AE5" t="s">
        <v>70</v>
      </c>
      <c r="AF5" s="30" t="s">
        <v>71</v>
      </c>
      <c r="AG5" s="30" t="s">
        <v>72</v>
      </c>
      <c r="AH5" t="s">
        <v>73</v>
      </c>
      <c r="AI5" t="s">
        <v>99</v>
      </c>
      <c r="AJ5" t="s">
        <v>98</v>
      </c>
      <c r="AK5" t="s">
        <v>372</v>
      </c>
      <c r="AL5" t="s">
        <v>77</v>
      </c>
      <c r="AM5" t="s">
        <v>76</v>
      </c>
    </row>
    <row r="6" spans="1:39">
      <c r="B6" s="24" t="s">
        <v>46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31"/>
      <c r="AG6" s="31"/>
      <c r="AH6" s="22"/>
      <c r="AI6" s="22"/>
      <c r="AJ6" s="22"/>
      <c r="AK6" s="22"/>
      <c r="AL6" s="22"/>
      <c r="AM6" s="22"/>
    </row>
    <row r="7" spans="1:39">
      <c r="B7" s="21" t="str">
        <f>'Symptomen (alle)'!A2</f>
        <v>Fish Lice(Argulus/Livoneca)</v>
      </c>
      <c r="C7" s="34" t="str">
        <f>'Symptomen (alle)'!C2</f>
        <v>x</v>
      </c>
      <c r="D7" s="21">
        <f>IF(D$4="x",'Symptomen (alle, 3,2,1)'!D2,0)</f>
        <v>0</v>
      </c>
      <c r="E7" s="21">
        <f>IF(E$4="x",'Symptomen (alle, 3,2,1)'!E2,0)</f>
        <v>0</v>
      </c>
      <c r="F7" s="21">
        <f>IF(F$4="x",'Symptomen (alle, 3,2,1)'!F2,0)</f>
        <v>0</v>
      </c>
      <c r="G7" s="21">
        <f>IF(G$4="x",'Symptomen (alle, 3,2,1)'!G2,0)</f>
        <v>0</v>
      </c>
      <c r="H7" s="21">
        <f>IF(H$4="x",'Symptomen (alle, 3,2,1)'!H2,0)</f>
        <v>0</v>
      </c>
      <c r="I7" s="21">
        <f>IF(I$4="x",'Symptomen (alle, 3,2,1)'!I2,0)</f>
        <v>0</v>
      </c>
      <c r="J7" s="21">
        <f>IF(J$4="x",'Symptomen (alle, 3,2,1)'!J2,0)</f>
        <v>0</v>
      </c>
      <c r="K7" s="21">
        <f>IF(K$4="x",'Symptomen (alle, 3,2,1)'!K2,0)</f>
        <v>0</v>
      </c>
      <c r="L7" s="21">
        <f>IF(L$4="x",'Symptomen (alle, 3,2,1)'!L2,0)</f>
        <v>0</v>
      </c>
      <c r="M7" s="21">
        <f>IF(M$4="x",'Symptomen (alle, 3,2,1)'!M2,0)</f>
        <v>0</v>
      </c>
      <c r="N7" s="21">
        <f>IF(N$4="x",'Symptomen (alle, 3,2,1)'!N2,0)</f>
        <v>0</v>
      </c>
      <c r="O7" s="21">
        <f>IF(O$4="x",'Symptomen (alle, 3,2,1)'!O2,0)</f>
        <v>0</v>
      </c>
      <c r="P7" s="21">
        <f>IF(P$4="x",'Symptomen (alle, 3,2,1)'!P2,0)</f>
        <v>0</v>
      </c>
      <c r="Q7" s="21">
        <f>IF(Q$4="x",'Symptomen (alle, 3,2,1)'!Q2,0)</f>
        <v>0</v>
      </c>
      <c r="R7" s="21">
        <f>IF(R$4="x",'Symptomen (alle, 3,2,1)'!R2,0)</f>
        <v>0</v>
      </c>
      <c r="S7" s="21">
        <f>IF(S$4="x",'Symptomen (alle, 3,2,1)'!S2,0)</f>
        <v>0</v>
      </c>
      <c r="T7" s="21">
        <f>IF(T$4="x",'Symptomen (alle, 3,2,1)'!T2,0)</f>
        <v>0</v>
      </c>
      <c r="U7" s="21">
        <f>IF(U$4="x",'Symptomen (alle, 3,2,1)'!U2,0)</f>
        <v>0</v>
      </c>
      <c r="V7" s="21">
        <f>IF(V$4="x",'Symptomen (alle, 3,2,1)'!V2,0)</f>
        <v>2</v>
      </c>
      <c r="W7" s="21">
        <f>IF(W$4="x",'Symptomen (alle, 3,2,1)'!W2,0)</f>
        <v>0</v>
      </c>
      <c r="X7" s="21">
        <f>IF(X$4="x",'Symptomen (alle, 3,2,1)'!X2,0)</f>
        <v>1</v>
      </c>
      <c r="Y7" s="21">
        <f>IF(Y$4="x",'Symptomen (alle, 3,2,1)'!Y2,0)</f>
        <v>0</v>
      </c>
      <c r="Z7" s="21">
        <f>IF(Z$4="x",'Symptomen (alle, 3,2,1)'!Z2,0)</f>
        <v>0</v>
      </c>
      <c r="AA7" s="21">
        <f>IF(AA$4="x",'Symptomen (alle, 3,2,1)'!AA2,0)</f>
        <v>0</v>
      </c>
      <c r="AB7" s="21">
        <f>IF(AB$4="x",'Symptomen (alle, 3,2,1)'!AB2,0)</f>
        <v>0</v>
      </c>
      <c r="AC7" s="21">
        <f>IF(AC$4="x",'Symptomen (alle, 3,2,1)'!AC2,0)</f>
        <v>0</v>
      </c>
      <c r="AD7" s="21">
        <f>SUM(D7:AC7)</f>
        <v>3</v>
      </c>
      <c r="AE7" s="21">
        <f>HLOOKUP($B$4,ZiekteFam!$B$1:$T$32,AF7,FALSE)</f>
        <v>0</v>
      </c>
      <c r="AF7" s="32">
        <f>ROW(AE7)-5</f>
        <v>2</v>
      </c>
      <c r="AG7" s="32">
        <f>SUM('Symptomen (alle)'!D2:AC2)</f>
        <v>18</v>
      </c>
      <c r="AH7" s="22">
        <f>Tabel4[[#This Row],[Kolom25]]/Tabel4[[#This Row],[Kolom28]]</f>
        <v>0.16666666666666666</v>
      </c>
      <c r="AI7" s="22">
        <f>Tabel42[[#This Row],[Kolom29]]</f>
        <v>0.27777777777777779</v>
      </c>
      <c r="AJ7" s="36">
        <f>_xlfn.RANK.EQ(Tabel4[[#This Row],[Kolom29]],$AH$7:$AH$36)</f>
        <v>3</v>
      </c>
      <c r="AK7" s="36">
        <f>_xlfn.RANK.EQ(Tabel4[[#This Row],[Kolom294]],$AI$7:$AI$36)</f>
        <v>5</v>
      </c>
      <c r="AL7" s="22">
        <f>Tabel4[[#This Row],[Kolom29]]</f>
        <v>0.16666666666666666</v>
      </c>
      <c r="AM7" s="23"/>
    </row>
    <row r="8" spans="1:39">
      <c r="B8" s="21" t="str">
        <f>'Symptomen (alle)'!A3</f>
        <v>Anchor worm (Lernaea)</v>
      </c>
      <c r="C8" s="34" t="str">
        <f>'Symptomen (alle)'!C3</f>
        <v>x</v>
      </c>
      <c r="D8" s="21">
        <f>IF(D$4="x",'Symptomen (alle, 3,2,1)'!D3,0)</f>
        <v>0</v>
      </c>
      <c r="E8" s="21">
        <f>IF(E$4="x",'Symptomen (alle, 3,2,1)'!E3,0)</f>
        <v>0</v>
      </c>
      <c r="F8" s="21">
        <f>IF(F$4="x",'Symptomen (alle, 3,2,1)'!F3,0)</f>
        <v>0</v>
      </c>
      <c r="G8" s="21">
        <f>IF(G$4="x",'Symptomen (alle, 3,2,1)'!G3,0)</f>
        <v>0</v>
      </c>
      <c r="H8" s="21">
        <f>IF(H$4="x",'Symptomen (alle, 3,2,1)'!H3,0)</f>
        <v>0</v>
      </c>
      <c r="I8" s="21">
        <f>IF(I$4="x",'Symptomen (alle, 3,2,1)'!I3,0)</f>
        <v>1</v>
      </c>
      <c r="J8" s="21">
        <f>IF(J$4="x",'Symptomen (alle, 3,2,1)'!J3,0)</f>
        <v>0</v>
      </c>
      <c r="K8" s="21">
        <f>IF(K$4="x",'Symptomen (alle, 3,2,1)'!K3,0)</f>
        <v>0</v>
      </c>
      <c r="L8" s="21">
        <f>IF(L$4="x",'Symptomen (alle, 3,2,1)'!L3,0)</f>
        <v>0</v>
      </c>
      <c r="M8" s="21">
        <f>IF(M$4="x",'Symptomen (alle, 3,2,1)'!M3,0)</f>
        <v>0</v>
      </c>
      <c r="N8" s="21">
        <f>IF(N$4="x",'Symptomen (alle, 3,2,1)'!N3,0)</f>
        <v>0</v>
      </c>
      <c r="O8" s="21">
        <f>IF(O$4="x",'Symptomen (alle, 3,2,1)'!O3,0)</f>
        <v>0</v>
      </c>
      <c r="P8" s="21">
        <f>IF(P$4="x",'Symptomen (alle, 3,2,1)'!P3,0)</f>
        <v>0</v>
      </c>
      <c r="Q8" s="21">
        <f>IF(Q$4="x",'Symptomen (alle, 3,2,1)'!Q3,0)</f>
        <v>0</v>
      </c>
      <c r="R8" s="21">
        <f>IF(R$4="x",'Symptomen (alle, 3,2,1)'!R3,0)</f>
        <v>0</v>
      </c>
      <c r="S8" s="21">
        <f>IF(S$4="x",'Symptomen (alle, 3,2,1)'!S3,0)</f>
        <v>0</v>
      </c>
      <c r="T8" s="21">
        <f>IF(T$4="x",'Symptomen (alle, 3,2,1)'!T3,0)</f>
        <v>0</v>
      </c>
      <c r="U8" s="21">
        <f>IF(U$4="x",'Symptomen (alle, 3,2,1)'!U3,0)</f>
        <v>0</v>
      </c>
      <c r="V8" s="21">
        <f>IF(V$4="x",'Symptomen (alle, 3,2,1)'!V3,0)</f>
        <v>2</v>
      </c>
      <c r="W8" s="21">
        <f>IF(W$4="x",'Symptomen (alle, 3,2,1)'!W3,0)</f>
        <v>0</v>
      </c>
      <c r="X8" s="21">
        <f>IF(X$4="x",'Symptomen (alle, 3,2,1)'!X3,0)</f>
        <v>1</v>
      </c>
      <c r="Y8" s="21">
        <f>IF(Y$4="x",'Symptomen (alle, 3,2,1)'!Y3,0)</f>
        <v>0</v>
      </c>
      <c r="Z8" s="21">
        <f>IF(Z$4="x",'Symptomen (alle, 3,2,1)'!Z3,0)</f>
        <v>0</v>
      </c>
      <c r="AA8" s="21">
        <f>IF(AA$4="x",'Symptomen (alle, 3,2,1)'!AA3,0)</f>
        <v>0</v>
      </c>
      <c r="AB8" s="21">
        <f>IF(AB$4="x",'Symptomen (alle, 3,2,1)'!AB3,0)</f>
        <v>0</v>
      </c>
      <c r="AC8" s="21">
        <f>IF(AC$4="x",'Symptomen (alle, 3,2,1)'!AC3,0)</f>
        <v>0</v>
      </c>
      <c r="AD8" s="21">
        <f t="shared" ref="AD8:AD36" si="0">SUM(D8:AC8)</f>
        <v>4</v>
      </c>
      <c r="AE8" s="21">
        <f>HLOOKUP($B$4,ZiekteFam!$B$1:$T$32,AF8,FALSE)</f>
        <v>0</v>
      </c>
      <c r="AF8" s="32">
        <f t="shared" ref="AF8:AF36" si="1">ROW(AE8)-5</f>
        <v>3</v>
      </c>
      <c r="AG8" s="32">
        <f>SUM('Symptomen (alle)'!D3:AC3)</f>
        <v>29</v>
      </c>
      <c r="AH8" s="22">
        <f>Tabel4[[#This Row],[Kolom25]]/Tabel4[[#This Row],[Kolom28]]</f>
        <v>0.13793103448275862</v>
      </c>
      <c r="AI8" s="22">
        <f>Tabel42[[#This Row],[Kolom29]]</f>
        <v>0.20689655172413793</v>
      </c>
      <c r="AJ8" s="36">
        <f>_xlfn.RANK.EQ(Tabel4[[#This Row],[Kolom29]],$AH$7:$AH$36)</f>
        <v>4</v>
      </c>
      <c r="AK8" s="36">
        <f>_xlfn.RANK.EQ(Tabel4[[#This Row],[Kolom294]],$AI$7:$AI$36)</f>
        <v>7</v>
      </c>
      <c r="AL8" s="22">
        <f>Tabel4[[#This Row],[Kolom29]]</f>
        <v>0.13793103448275862</v>
      </c>
      <c r="AM8" s="23"/>
    </row>
    <row r="9" spans="1:39">
      <c r="B9" s="21" t="str">
        <f>'Symptomen (alle)'!A4</f>
        <v>Camallanus</v>
      </c>
      <c r="C9" s="34" t="str">
        <f>'Symptomen (alle)'!C4</f>
        <v>x</v>
      </c>
      <c r="D9" s="21">
        <f>IF(D$4="x",'Symptomen (alle, 3,2,1)'!D4,0)</f>
        <v>0</v>
      </c>
      <c r="E9" s="21">
        <f>IF(E$4="x",'Symptomen (alle, 3,2,1)'!E4,0)</f>
        <v>0</v>
      </c>
      <c r="F9" s="21">
        <f>IF(F$4="x",'Symptomen (alle, 3,2,1)'!F4,0)</f>
        <v>0</v>
      </c>
      <c r="G9" s="21">
        <f>IF(G$4="x",'Symptomen (alle, 3,2,1)'!G4,0)</f>
        <v>0</v>
      </c>
      <c r="H9" s="21">
        <f>IF(H$4="x",'Symptomen (alle, 3,2,1)'!H4,0)</f>
        <v>0</v>
      </c>
      <c r="I9" s="21">
        <f>IF(I$4="x",'Symptomen (alle, 3,2,1)'!I4,0)</f>
        <v>0</v>
      </c>
      <c r="J9" s="21">
        <f>IF(J$4="x",'Symptomen (alle, 3,2,1)'!J4,0)</f>
        <v>0</v>
      </c>
      <c r="K9" s="21">
        <f>IF(K$4="x",'Symptomen (alle, 3,2,1)'!K4,0)</f>
        <v>0</v>
      </c>
      <c r="L9" s="21">
        <f>IF(L$4="x",'Symptomen (alle, 3,2,1)'!L4,0)</f>
        <v>0</v>
      </c>
      <c r="M9" s="21">
        <f>IF(M$4="x",'Symptomen (alle, 3,2,1)'!M4,0)</f>
        <v>0</v>
      </c>
      <c r="N9" s="21">
        <f>IF(N$4="x",'Symptomen (alle, 3,2,1)'!N4,0)</f>
        <v>0</v>
      </c>
      <c r="O9" s="21">
        <f>IF(O$4="x",'Symptomen (alle, 3,2,1)'!O4,0)</f>
        <v>0</v>
      </c>
      <c r="P9" s="21">
        <f>IF(P$4="x",'Symptomen (alle, 3,2,1)'!P4,0)</f>
        <v>0</v>
      </c>
      <c r="Q9" s="21">
        <f>IF(Q$4="x",'Symptomen (alle, 3,2,1)'!Q4,0)</f>
        <v>0</v>
      </c>
      <c r="R9" s="21">
        <f>IF(R$4="x",'Symptomen (alle, 3,2,1)'!R4,0)</f>
        <v>0</v>
      </c>
      <c r="S9" s="21">
        <f>IF(S$4="x",'Symptomen (alle, 3,2,1)'!S4,0)</f>
        <v>0</v>
      </c>
      <c r="T9" s="21">
        <f>IF(T$4="x",'Symptomen (alle, 3,2,1)'!T4,0)</f>
        <v>0</v>
      </c>
      <c r="U9" s="21">
        <f>IF(U$4="x",'Symptomen (alle, 3,2,1)'!U4,0)</f>
        <v>0</v>
      </c>
      <c r="V9" s="21">
        <f>IF(V$4="x",'Symptomen (alle, 3,2,1)'!V4,0)</f>
        <v>0</v>
      </c>
      <c r="W9" s="21">
        <f>IF(W$4="x",'Symptomen (alle, 3,2,1)'!W4,0)</f>
        <v>0</v>
      </c>
      <c r="X9" s="21">
        <f>IF(X$4="x",'Symptomen (alle, 3,2,1)'!X4,0)</f>
        <v>0</v>
      </c>
      <c r="Y9" s="21">
        <f>IF(Y$4="x",'Symptomen (alle, 3,2,1)'!Y4,0)</f>
        <v>0</v>
      </c>
      <c r="Z9" s="21">
        <f>IF(Z$4="x",'Symptomen (alle, 3,2,1)'!Z4,0)</f>
        <v>0</v>
      </c>
      <c r="AA9" s="21">
        <f>IF(AA$4="x",'Symptomen (alle, 3,2,1)'!AA4,0)</f>
        <v>0</v>
      </c>
      <c r="AB9" s="21">
        <f>IF(AB$4="x",'Symptomen (alle, 3,2,1)'!AB4,0)</f>
        <v>0</v>
      </c>
      <c r="AC9" s="21">
        <f>IF(AC$4="x",'Symptomen (alle, 3,2,1)'!AC4,0)</f>
        <v>0</v>
      </c>
      <c r="AD9" s="21">
        <f t="shared" si="0"/>
        <v>0</v>
      </c>
      <c r="AE9" s="21">
        <f>HLOOKUP($B$4,ZiekteFam!$B$1:$T$32,AF9,FALSE)</f>
        <v>0</v>
      </c>
      <c r="AF9" s="32">
        <f t="shared" si="1"/>
        <v>4</v>
      </c>
      <c r="AG9" s="32">
        <f>SUM('Symptomen (alle)'!D4:AC4)</f>
        <v>18</v>
      </c>
      <c r="AH9" s="22">
        <f>Tabel4[[#This Row],[Kolom25]]/Tabel4[[#This Row],[Kolom28]]</f>
        <v>0</v>
      </c>
      <c r="AI9" s="22">
        <f>Tabel42[[#This Row],[Kolom29]]</f>
        <v>0</v>
      </c>
      <c r="AJ9" s="36">
        <f>_xlfn.RANK.EQ(Tabel4[[#This Row],[Kolom29]],$AH$7:$AH$36)</f>
        <v>26</v>
      </c>
      <c r="AK9" s="36">
        <f>_xlfn.RANK.EQ(Tabel4[[#This Row],[Kolom294]],$AI$7:$AI$36)</f>
        <v>27</v>
      </c>
      <c r="AL9" s="22">
        <f>Tabel4[[#This Row],[Kolom29]]</f>
        <v>0</v>
      </c>
      <c r="AM9" s="23"/>
    </row>
    <row r="10" spans="1:39">
      <c r="B10" s="21" t="str">
        <f>'Symptomen (alle)'!A5</f>
        <v>Worms Internal/Camallanus/Capillaria/Nematode/other worms</v>
      </c>
      <c r="C10" s="34">
        <f>'Symptomen (alle)'!C5</f>
        <v>0</v>
      </c>
      <c r="D10" s="21">
        <f>IF(D$4="x",'Symptomen (alle, 3,2,1)'!D5,0)</f>
        <v>0</v>
      </c>
      <c r="E10" s="21">
        <f>IF(E$4="x",'Symptomen (alle, 3,2,1)'!E5,0)</f>
        <v>0</v>
      </c>
      <c r="F10" s="21">
        <f>IF(F$4="x",'Symptomen (alle, 3,2,1)'!F5,0)</f>
        <v>0</v>
      </c>
      <c r="G10" s="21">
        <f>IF(G$4="x",'Symptomen (alle, 3,2,1)'!G5,0)</f>
        <v>0</v>
      </c>
      <c r="H10" s="21">
        <f>IF(H$4="x",'Symptomen (alle, 3,2,1)'!H5,0)</f>
        <v>0</v>
      </c>
      <c r="I10" s="21">
        <f>IF(I$4="x",'Symptomen (alle, 3,2,1)'!I5,0)</f>
        <v>0</v>
      </c>
      <c r="J10" s="21">
        <f>IF(J$4="x",'Symptomen (alle, 3,2,1)'!J5,0)</f>
        <v>0</v>
      </c>
      <c r="K10" s="21">
        <f>IF(K$4="x",'Symptomen (alle, 3,2,1)'!K5,0)</f>
        <v>0</v>
      </c>
      <c r="L10" s="21">
        <f>IF(L$4="x",'Symptomen (alle, 3,2,1)'!L5,0)</f>
        <v>0</v>
      </c>
      <c r="M10" s="21">
        <f>IF(M$4="x",'Symptomen (alle, 3,2,1)'!M5,0)</f>
        <v>0</v>
      </c>
      <c r="N10" s="21">
        <f>IF(N$4="x",'Symptomen (alle, 3,2,1)'!N5,0)</f>
        <v>0</v>
      </c>
      <c r="O10" s="21">
        <f>IF(O$4="x",'Symptomen (alle, 3,2,1)'!O5,0)</f>
        <v>0</v>
      </c>
      <c r="P10" s="21">
        <f>IF(P$4="x",'Symptomen (alle, 3,2,1)'!P5,0)</f>
        <v>0</v>
      </c>
      <c r="Q10" s="21">
        <f>IF(Q$4="x",'Symptomen (alle, 3,2,1)'!Q5,0)</f>
        <v>0</v>
      </c>
      <c r="R10" s="21">
        <f>IF(R$4="x",'Symptomen (alle, 3,2,1)'!R5,0)</f>
        <v>0</v>
      </c>
      <c r="S10" s="21">
        <f>IF(S$4="x",'Symptomen (alle, 3,2,1)'!S5,0)</f>
        <v>0</v>
      </c>
      <c r="T10" s="21">
        <f>IF(T$4="x",'Symptomen (alle, 3,2,1)'!T5,0)</f>
        <v>0</v>
      </c>
      <c r="U10" s="21">
        <f>IF(U$4="x",'Symptomen (alle, 3,2,1)'!U5,0)</f>
        <v>0</v>
      </c>
      <c r="V10" s="21">
        <f>IF(V$4="x",'Symptomen (alle, 3,2,1)'!V5,0)</f>
        <v>0</v>
      </c>
      <c r="W10" s="21">
        <f>IF(W$4="x",'Symptomen (alle, 3,2,1)'!W5,0)</f>
        <v>0</v>
      </c>
      <c r="X10" s="21">
        <f>IF(X$4="x",'Symptomen (alle, 3,2,1)'!X5,0)</f>
        <v>0</v>
      </c>
      <c r="Y10" s="21">
        <f>IF(Y$4="x",'Symptomen (alle, 3,2,1)'!Y5,0)</f>
        <v>0</v>
      </c>
      <c r="Z10" s="21">
        <f>IF(Z$4="x",'Symptomen (alle, 3,2,1)'!Z5,0)</f>
        <v>0</v>
      </c>
      <c r="AA10" s="21">
        <f>IF(AA$4="x",'Symptomen (alle, 3,2,1)'!AA5,0)</f>
        <v>0</v>
      </c>
      <c r="AB10" s="21">
        <f>IF(AB$4="x",'Symptomen (alle, 3,2,1)'!AB5,0)</f>
        <v>0</v>
      </c>
      <c r="AC10" s="21">
        <f>IF(AC$4="x",'Symptomen (alle, 3,2,1)'!AC5,0)</f>
        <v>0</v>
      </c>
      <c r="AD10" s="21">
        <f t="shared" si="0"/>
        <v>0</v>
      </c>
      <c r="AE10" s="21">
        <f>HLOOKUP($B$4,ZiekteFam!$B$1:$T$32,AF10,FALSE)</f>
        <v>3</v>
      </c>
      <c r="AF10" s="32">
        <f t="shared" si="1"/>
        <v>5</v>
      </c>
      <c r="AG10" s="32">
        <f>SUM('Symptomen (alle)'!D5:AC5)</f>
        <v>15</v>
      </c>
      <c r="AH10" s="22">
        <f>Tabel4[[#This Row],[Kolom25]]/Tabel4[[#This Row],[Kolom28]]</f>
        <v>0</v>
      </c>
      <c r="AI10" s="22">
        <f>Tabel42[[#This Row],[Kolom29]]</f>
        <v>0</v>
      </c>
      <c r="AJ10" s="36">
        <f>_xlfn.RANK.EQ(Tabel4[[#This Row],[Kolom29]],$AH$7:$AH$36)</f>
        <v>26</v>
      </c>
      <c r="AK10" s="36">
        <f>_xlfn.RANK.EQ(Tabel4[[#This Row],[Kolom294]],$AI$7:$AI$36)</f>
        <v>27</v>
      </c>
      <c r="AL10" s="22">
        <f>Tabel4[[#This Row],[Kolom29]]</f>
        <v>0</v>
      </c>
      <c r="AM10" s="23"/>
    </row>
    <row r="11" spans="1:39">
      <c r="B11" s="21" t="str">
        <f>'Symptomen (alle)'!A6</f>
        <v>Swellings (Cancers, Trematodes, Nematodes, Sporozoa, etc.)</v>
      </c>
      <c r="C11" s="34">
        <f>'Symptomen (alle)'!C6</f>
        <v>0</v>
      </c>
      <c r="D11" s="21">
        <f>IF(D$4="x",'Symptomen (alle, 3,2,1)'!D6,0)</f>
        <v>0</v>
      </c>
      <c r="E11" s="21">
        <f>IF(E$4="x",'Symptomen (alle, 3,2,1)'!E6,0)</f>
        <v>0</v>
      </c>
      <c r="F11" s="21">
        <f>IF(F$4="x",'Symptomen (alle, 3,2,1)'!F6,0)</f>
        <v>0</v>
      </c>
      <c r="G11" s="21">
        <f>IF(G$4="x",'Symptomen (alle, 3,2,1)'!G6,0)</f>
        <v>0</v>
      </c>
      <c r="H11" s="21">
        <f>IF(H$4="x",'Symptomen (alle, 3,2,1)'!H6,0)</f>
        <v>0</v>
      </c>
      <c r="I11" s="21">
        <f>IF(I$4="x",'Symptomen (alle, 3,2,1)'!I6,0)</f>
        <v>0</v>
      </c>
      <c r="J11" s="21">
        <f>IF(J$4="x",'Symptomen (alle, 3,2,1)'!J6,0)</f>
        <v>0</v>
      </c>
      <c r="K11" s="21">
        <f>IF(K$4="x",'Symptomen (alle, 3,2,1)'!K6,0)</f>
        <v>0</v>
      </c>
      <c r="L11" s="21">
        <f>IF(L$4="x",'Symptomen (alle, 3,2,1)'!L6,0)</f>
        <v>0</v>
      </c>
      <c r="M11" s="21">
        <f>IF(M$4="x",'Symptomen (alle, 3,2,1)'!M6,0)</f>
        <v>0</v>
      </c>
      <c r="N11" s="21">
        <f>IF(N$4="x",'Symptomen (alle, 3,2,1)'!N6,0)</f>
        <v>0</v>
      </c>
      <c r="O11" s="21">
        <f>IF(O$4="x",'Symptomen (alle, 3,2,1)'!O6,0)</f>
        <v>0</v>
      </c>
      <c r="P11" s="21">
        <f>IF(P$4="x",'Symptomen (alle, 3,2,1)'!P6,0)</f>
        <v>0</v>
      </c>
      <c r="Q11" s="21">
        <f>IF(Q$4="x",'Symptomen (alle, 3,2,1)'!Q6,0)</f>
        <v>0</v>
      </c>
      <c r="R11" s="21">
        <f>IF(R$4="x",'Symptomen (alle, 3,2,1)'!R6,0)</f>
        <v>0</v>
      </c>
      <c r="S11" s="21">
        <f>IF(S$4="x",'Symptomen (alle, 3,2,1)'!S6,0)</f>
        <v>0</v>
      </c>
      <c r="T11" s="21">
        <f>IF(T$4="x",'Symptomen (alle, 3,2,1)'!T6,0)</f>
        <v>0</v>
      </c>
      <c r="U11" s="21">
        <f>IF(U$4="x",'Symptomen (alle, 3,2,1)'!U6,0)</f>
        <v>0</v>
      </c>
      <c r="V11" s="21">
        <f>IF(V$4="x",'Symptomen (alle, 3,2,1)'!V6,0)</f>
        <v>1</v>
      </c>
      <c r="W11" s="21">
        <f>IF(W$4="x",'Symptomen (alle, 3,2,1)'!W6,0)</f>
        <v>0</v>
      </c>
      <c r="X11" s="21">
        <f>IF(X$4="x",'Symptomen (alle, 3,2,1)'!X6,0)</f>
        <v>1</v>
      </c>
      <c r="Y11" s="21">
        <f>IF(Y$4="x",'Symptomen (alle, 3,2,1)'!Y6,0)</f>
        <v>0</v>
      </c>
      <c r="Z11" s="21">
        <f>IF(Z$4="x",'Symptomen (alle, 3,2,1)'!Z6,0)</f>
        <v>0</v>
      </c>
      <c r="AA11" s="21">
        <f>IF(AA$4="x",'Symptomen (alle, 3,2,1)'!AA6,0)</f>
        <v>0</v>
      </c>
      <c r="AB11" s="21">
        <f>IF(AB$4="x",'Symptomen (alle, 3,2,1)'!AB6,0)</f>
        <v>0</v>
      </c>
      <c r="AC11" s="21">
        <f>IF(AC$4="x",'Symptomen (alle, 3,2,1)'!AC6,0)</f>
        <v>0</v>
      </c>
      <c r="AD11" s="21">
        <f t="shared" si="0"/>
        <v>2</v>
      </c>
      <c r="AE11" s="21">
        <f>HLOOKUP($B$4,ZiekteFam!$B$1:$T$32,AF11,FALSE)</f>
        <v>3</v>
      </c>
      <c r="AF11" s="32">
        <f t="shared" ref="AF11" si="2">ROW(AE11)-5</f>
        <v>6</v>
      </c>
      <c r="AG11" s="32">
        <f>SUM('Symptomen (alle)'!D6:AC6)</f>
        <v>25</v>
      </c>
      <c r="AH11" s="22">
        <f>Tabel4[[#This Row],[Kolom25]]/Tabel4[[#This Row],[Kolom28]]</f>
        <v>0.08</v>
      </c>
      <c r="AI11" s="22">
        <f>Tabel42[[#This Row],[Kolom29]]</f>
        <v>0.12</v>
      </c>
      <c r="AJ11" s="36">
        <f>_xlfn.RANK.EQ(Tabel4[[#This Row],[Kolom29]],$AH$7:$AH$36)</f>
        <v>13</v>
      </c>
      <c r="AK11" s="36">
        <f>_xlfn.RANK.EQ(Tabel4[[#This Row],[Kolom294]],$AI$7:$AI$36)</f>
        <v>16</v>
      </c>
      <c r="AL11" s="22">
        <f>Tabel4[[#This Row],[Kolom29]]</f>
        <v>0.08</v>
      </c>
      <c r="AM11" s="23"/>
    </row>
    <row r="12" spans="1:39">
      <c r="B12" s="21" t="str">
        <f>'Symptomen (alle)'!A7</f>
        <v>Skin fluke (i.e. Gyrodactylus)</v>
      </c>
      <c r="C12" s="34">
        <f>'Symptomen (alle)'!C7</f>
        <v>0</v>
      </c>
      <c r="D12" s="21">
        <f>IF(D$4="x",'Symptomen (alle, 3,2,1)'!D7,0)</f>
        <v>0</v>
      </c>
      <c r="E12" s="21">
        <f>IF(E$4="x",'Symptomen (alle, 3,2,1)'!E7,0)</f>
        <v>0</v>
      </c>
      <c r="F12" s="21">
        <f>IF(F$4="x",'Symptomen (alle, 3,2,1)'!F7,0)</f>
        <v>0</v>
      </c>
      <c r="G12" s="21">
        <f>IF(G$4="x",'Symptomen (alle, 3,2,1)'!G7,0)</f>
        <v>0</v>
      </c>
      <c r="H12" s="21">
        <f>IF(H$4="x",'Symptomen (alle, 3,2,1)'!H7,0)</f>
        <v>0</v>
      </c>
      <c r="I12" s="21">
        <f>IF(I$4="x",'Symptomen (alle, 3,2,1)'!I7,0)</f>
        <v>1</v>
      </c>
      <c r="J12" s="21">
        <f>IF(J$4="x",'Symptomen (alle, 3,2,1)'!J7,0)</f>
        <v>0</v>
      </c>
      <c r="K12" s="21">
        <f>IF(K$4="x",'Symptomen (alle, 3,2,1)'!K7,0)</f>
        <v>0</v>
      </c>
      <c r="L12" s="21">
        <f>IF(L$4="x",'Symptomen (alle, 3,2,1)'!L7,0)</f>
        <v>0</v>
      </c>
      <c r="M12" s="21">
        <f>IF(M$4="x",'Symptomen (alle, 3,2,1)'!M7,0)</f>
        <v>0</v>
      </c>
      <c r="N12" s="21">
        <f>IF(N$4="x",'Symptomen (alle, 3,2,1)'!N7,0)</f>
        <v>0</v>
      </c>
      <c r="O12" s="21">
        <f>IF(O$4="x",'Symptomen (alle, 3,2,1)'!O7,0)</f>
        <v>0</v>
      </c>
      <c r="P12" s="21">
        <f>IF(P$4="x",'Symptomen (alle, 3,2,1)'!P7,0)</f>
        <v>0</v>
      </c>
      <c r="Q12" s="21">
        <f>IF(Q$4="x",'Symptomen (alle, 3,2,1)'!Q7,0)</f>
        <v>0</v>
      </c>
      <c r="R12" s="21">
        <f>IF(R$4="x",'Symptomen (alle, 3,2,1)'!R7,0)</f>
        <v>0</v>
      </c>
      <c r="S12" s="21">
        <f>IF(S$4="x",'Symptomen (alle, 3,2,1)'!S7,0)</f>
        <v>1</v>
      </c>
      <c r="T12" s="21">
        <f>IF(T$4="x",'Symptomen (alle, 3,2,1)'!T7,0)</f>
        <v>0</v>
      </c>
      <c r="U12" s="21">
        <f>IF(U$4="x",'Symptomen (alle, 3,2,1)'!U7,0)</f>
        <v>0</v>
      </c>
      <c r="V12" s="21">
        <f>IF(V$4="x",'Symptomen (alle, 3,2,1)'!V7,0)</f>
        <v>2</v>
      </c>
      <c r="W12" s="21">
        <f>IF(W$4="x",'Symptomen (alle, 3,2,1)'!W7,0)</f>
        <v>0</v>
      </c>
      <c r="X12" s="21">
        <f>IF(X$4="x",'Symptomen (alle, 3,2,1)'!X7,0)</f>
        <v>0</v>
      </c>
      <c r="Y12" s="21">
        <f>IF(Y$4="x",'Symptomen (alle, 3,2,1)'!Y7,0)</f>
        <v>0</v>
      </c>
      <c r="Z12" s="21">
        <f>IF(Z$4="x",'Symptomen (alle, 3,2,1)'!Z7,0)</f>
        <v>0</v>
      </c>
      <c r="AA12" s="21">
        <f>IF(AA$4="x",'Symptomen (alle, 3,2,1)'!AA7,0)</f>
        <v>0</v>
      </c>
      <c r="AB12" s="21">
        <f>IF(AB$4="x",'Symptomen (alle, 3,2,1)'!AB7,0)</f>
        <v>0</v>
      </c>
      <c r="AC12" s="21">
        <f>IF(AC$4="x",'Symptomen (alle, 3,2,1)'!AC7,0)</f>
        <v>0</v>
      </c>
      <c r="AD12" s="21">
        <f t="shared" si="0"/>
        <v>4</v>
      </c>
      <c r="AE12" s="21">
        <f>HLOOKUP($B$4,ZiekteFam!$B$1:$T$32,AF12,FALSE)</f>
        <v>0</v>
      </c>
      <c r="AF12" s="32">
        <f t="shared" si="1"/>
        <v>7</v>
      </c>
      <c r="AG12" s="32">
        <f>SUM('Symptomen (alle)'!D7:AC7)</f>
        <v>48</v>
      </c>
      <c r="AH12" s="22">
        <f>Tabel4[[#This Row],[Kolom25]]/Tabel4[[#This Row],[Kolom28]]</f>
        <v>8.3333333333333329E-2</v>
      </c>
      <c r="AI12" s="22">
        <f>Tabel42[[#This Row],[Kolom29]]</f>
        <v>0.14583333333333334</v>
      </c>
      <c r="AJ12" s="36">
        <f>_xlfn.RANK.EQ(Tabel4[[#This Row],[Kolom29]],$AH$7:$AH$36)</f>
        <v>12</v>
      </c>
      <c r="AK12" s="36">
        <f>_xlfn.RANK.EQ(Tabel4[[#This Row],[Kolom294]],$AI$7:$AI$36)</f>
        <v>12</v>
      </c>
      <c r="AL12" s="22">
        <f>Tabel4[[#This Row],[Kolom29]]</f>
        <v>8.3333333333333329E-2</v>
      </c>
      <c r="AM12" s="23"/>
    </row>
    <row r="13" spans="1:39">
      <c r="B13" s="21" t="str">
        <f>'Symptomen (alle)'!A8</f>
        <v>Gill fluke (i.e. Dactylogyrus)</v>
      </c>
      <c r="C13" s="34">
        <f>'Symptomen (alle)'!C8</f>
        <v>0</v>
      </c>
      <c r="D13" s="21">
        <f>IF(D$4="x",'Symptomen (alle, 3,2,1)'!D8,0)</f>
        <v>0</v>
      </c>
      <c r="E13" s="21">
        <f>IF(E$4="x",'Symptomen (alle, 3,2,1)'!E8,0)</f>
        <v>0</v>
      </c>
      <c r="F13" s="21">
        <f>IF(F$4="x",'Symptomen (alle, 3,2,1)'!F8,0)</f>
        <v>0</v>
      </c>
      <c r="G13" s="21">
        <f>IF(G$4="x",'Symptomen (alle, 3,2,1)'!G8,0)</f>
        <v>0</v>
      </c>
      <c r="H13" s="21">
        <f>IF(H$4="x",'Symptomen (alle, 3,2,1)'!H8,0)</f>
        <v>0</v>
      </c>
      <c r="I13" s="21">
        <f>IF(I$4="x",'Symptomen (alle, 3,2,1)'!I8,0)</f>
        <v>0</v>
      </c>
      <c r="J13" s="21">
        <f>IF(J$4="x",'Symptomen (alle, 3,2,1)'!J8,0)</f>
        <v>0</v>
      </c>
      <c r="K13" s="21">
        <f>IF(K$4="x",'Symptomen (alle, 3,2,1)'!K8,0)</f>
        <v>0</v>
      </c>
      <c r="L13" s="21">
        <f>IF(L$4="x",'Symptomen (alle, 3,2,1)'!L8,0)</f>
        <v>0</v>
      </c>
      <c r="M13" s="21">
        <f>IF(M$4="x",'Symptomen (alle, 3,2,1)'!M8,0)</f>
        <v>0</v>
      </c>
      <c r="N13" s="21">
        <f>IF(N$4="x",'Symptomen (alle, 3,2,1)'!N8,0)</f>
        <v>0</v>
      </c>
      <c r="O13" s="21">
        <f>IF(O$4="x",'Symptomen (alle, 3,2,1)'!O8,0)</f>
        <v>0</v>
      </c>
      <c r="P13" s="21">
        <f>IF(P$4="x",'Symptomen (alle, 3,2,1)'!P8,0)</f>
        <v>0</v>
      </c>
      <c r="Q13" s="21">
        <f>IF(Q$4="x",'Symptomen (alle, 3,2,1)'!Q8,0)</f>
        <v>0</v>
      </c>
      <c r="R13" s="21">
        <f>IF(R$4="x",'Symptomen (alle, 3,2,1)'!R8,0)</f>
        <v>0</v>
      </c>
      <c r="S13" s="21">
        <f>IF(S$4="x",'Symptomen (alle, 3,2,1)'!S8,0)</f>
        <v>0</v>
      </c>
      <c r="T13" s="21">
        <f>IF(T$4="x",'Symptomen (alle, 3,2,1)'!T8,0)</f>
        <v>0</v>
      </c>
      <c r="U13" s="21">
        <f>IF(U$4="x",'Symptomen (alle, 3,2,1)'!U8,0)</f>
        <v>0</v>
      </c>
      <c r="V13" s="21">
        <f>IF(V$4="x",'Symptomen (alle, 3,2,1)'!V8,0)</f>
        <v>2</v>
      </c>
      <c r="W13" s="21">
        <f>IF(W$4="x",'Symptomen (alle, 3,2,1)'!W8,0)</f>
        <v>0</v>
      </c>
      <c r="X13" s="21">
        <f>IF(X$4="x",'Symptomen (alle, 3,2,1)'!X8,0)</f>
        <v>0</v>
      </c>
      <c r="Y13" s="21">
        <f>IF(Y$4="x",'Symptomen (alle, 3,2,1)'!Y8,0)</f>
        <v>0</v>
      </c>
      <c r="Z13" s="21">
        <f>IF(Z$4="x",'Symptomen (alle, 3,2,1)'!Z8,0)</f>
        <v>0</v>
      </c>
      <c r="AA13" s="21">
        <f>IF(AA$4="x",'Symptomen (alle, 3,2,1)'!AA8,0)</f>
        <v>0</v>
      </c>
      <c r="AB13" s="21">
        <f>IF(AB$4="x",'Symptomen (alle, 3,2,1)'!AB8,0)</f>
        <v>0</v>
      </c>
      <c r="AC13" s="21">
        <f>IF(AC$4="x",'Symptomen (alle, 3,2,1)'!AC8,0)</f>
        <v>0</v>
      </c>
      <c r="AD13" s="21">
        <f t="shared" si="0"/>
        <v>2</v>
      </c>
      <c r="AE13" s="21">
        <f>HLOOKUP($B$4,ZiekteFam!$B$1:$T$32,AF13,FALSE)</f>
        <v>0</v>
      </c>
      <c r="AF13" s="32">
        <f t="shared" si="1"/>
        <v>8</v>
      </c>
      <c r="AG13" s="32">
        <f>SUM('Symptomen (alle)'!D8:AC8)</f>
        <v>33</v>
      </c>
      <c r="AH13" s="22">
        <f>Tabel4[[#This Row],[Kolom25]]/Tabel4[[#This Row],[Kolom28]]</f>
        <v>6.0606060606060608E-2</v>
      </c>
      <c r="AI13" s="22">
        <f>Tabel42[[#This Row],[Kolom29]]</f>
        <v>9.0909090909090912E-2</v>
      </c>
      <c r="AJ13" s="36">
        <f>_xlfn.RANK.EQ(Tabel4[[#This Row],[Kolom29]],$AH$7:$AH$36)</f>
        <v>17</v>
      </c>
      <c r="AK13" s="36">
        <f>_xlfn.RANK.EQ(Tabel4[[#This Row],[Kolom294]],$AI$7:$AI$36)</f>
        <v>18</v>
      </c>
      <c r="AL13" s="22">
        <f>Tabel4[[#This Row],[Kolom29]]</f>
        <v>6.0606060606060608E-2</v>
      </c>
      <c r="AM13" s="23"/>
    </row>
    <row r="14" spans="1:39">
      <c r="B14" s="21" t="str">
        <f>'Symptomen (alle)'!A9</f>
        <v>ICH/White spot disease_x000D_(Ichthyophthirius)</v>
      </c>
      <c r="C14" s="34" t="str">
        <f>'Symptomen (alle)'!C9</f>
        <v>x</v>
      </c>
      <c r="D14" s="21">
        <f>IF(D$4="x",'Symptomen (alle, 3,2,1)'!D9,0)</f>
        <v>0</v>
      </c>
      <c r="E14" s="21">
        <f>IF(E$4="x",'Symptomen (alle, 3,2,1)'!E9,0)</f>
        <v>0</v>
      </c>
      <c r="F14" s="21">
        <f>IF(F$4="x",'Symptomen (alle, 3,2,1)'!F9,0)</f>
        <v>0</v>
      </c>
      <c r="G14" s="21">
        <f>IF(G$4="x",'Symptomen (alle, 3,2,1)'!G9,0)</f>
        <v>0</v>
      </c>
      <c r="H14" s="21">
        <f>IF(H$4="x",'Symptomen (alle, 3,2,1)'!H9,0)</f>
        <v>0</v>
      </c>
      <c r="I14" s="21">
        <f>IF(I$4="x",'Symptomen (alle, 3,2,1)'!I9,0)</f>
        <v>1</v>
      </c>
      <c r="J14" s="21">
        <f>IF(J$4="x",'Symptomen (alle, 3,2,1)'!J9,0)</f>
        <v>0</v>
      </c>
      <c r="K14" s="21">
        <f>IF(K$4="x",'Symptomen (alle, 3,2,1)'!K9,0)</f>
        <v>0</v>
      </c>
      <c r="L14" s="21">
        <f>IF(L$4="x",'Symptomen (alle, 3,2,1)'!L9,0)</f>
        <v>0</v>
      </c>
      <c r="M14" s="21">
        <f>IF(M$4="x",'Symptomen (alle, 3,2,1)'!M9,0)</f>
        <v>0</v>
      </c>
      <c r="N14" s="21">
        <f>IF(N$4="x",'Symptomen (alle, 3,2,1)'!N9,0)</f>
        <v>0</v>
      </c>
      <c r="O14" s="21">
        <f>IF(O$4="x",'Symptomen (alle, 3,2,1)'!O9,0)</f>
        <v>0</v>
      </c>
      <c r="P14" s="21">
        <f>IF(P$4="x",'Symptomen (alle, 3,2,1)'!P9,0)</f>
        <v>0</v>
      </c>
      <c r="Q14" s="21">
        <f>IF(Q$4="x",'Symptomen (alle, 3,2,1)'!Q9,0)</f>
        <v>0</v>
      </c>
      <c r="R14" s="21">
        <f>IF(R$4="x",'Symptomen (alle, 3,2,1)'!R9,0)</f>
        <v>0</v>
      </c>
      <c r="S14" s="21">
        <f>IF(S$4="x",'Symptomen (alle, 3,2,1)'!S9,0)</f>
        <v>1</v>
      </c>
      <c r="T14" s="21">
        <f>IF(T$4="x",'Symptomen (alle, 3,2,1)'!T9,0)</f>
        <v>0</v>
      </c>
      <c r="U14" s="21">
        <f>IF(U$4="x",'Symptomen (alle, 3,2,1)'!U9,0)</f>
        <v>0</v>
      </c>
      <c r="V14" s="21">
        <f>IF(V$4="x",'Symptomen (alle, 3,2,1)'!V9,0)</f>
        <v>1</v>
      </c>
      <c r="W14" s="21">
        <f>IF(W$4="x",'Symptomen (alle, 3,2,1)'!W9,0)</f>
        <v>0</v>
      </c>
      <c r="X14" s="21">
        <f>IF(X$4="x",'Symptomen (alle, 3,2,1)'!X9,0)</f>
        <v>0</v>
      </c>
      <c r="Y14" s="21">
        <f>IF(Y$4="x",'Symptomen (alle, 3,2,1)'!Y9,0)</f>
        <v>0</v>
      </c>
      <c r="Z14" s="21">
        <f>IF(Z$4="x",'Symptomen (alle, 3,2,1)'!Z9,0)</f>
        <v>0</v>
      </c>
      <c r="AA14" s="21">
        <f>IF(AA$4="x",'Symptomen (alle, 3,2,1)'!AA9,0)</f>
        <v>0</v>
      </c>
      <c r="AB14" s="21">
        <f>IF(AB$4="x",'Symptomen (alle, 3,2,1)'!AB9,0)</f>
        <v>0</v>
      </c>
      <c r="AC14" s="21">
        <f>IF(AC$4="x",'Symptomen (alle, 3,2,1)'!AC9,0)</f>
        <v>0</v>
      </c>
      <c r="AD14" s="21">
        <f t="shared" si="0"/>
        <v>3</v>
      </c>
      <c r="AE14" s="21">
        <f>HLOOKUP($B$4,ZiekteFam!$B$1:$T$32,AF14,FALSE)</f>
        <v>3</v>
      </c>
      <c r="AF14" s="32">
        <f t="shared" si="1"/>
        <v>9</v>
      </c>
      <c r="AG14" s="32">
        <f>SUM('Symptomen (alle)'!D9:AC9)</f>
        <v>43</v>
      </c>
      <c r="AH14" s="22">
        <f>Tabel4[[#This Row],[Kolom25]]/Tabel4[[#This Row],[Kolom28]]</f>
        <v>6.9767441860465115E-2</v>
      </c>
      <c r="AI14" s="22">
        <f>Tabel42[[#This Row],[Kolom29]]</f>
        <v>0.13953488372093023</v>
      </c>
      <c r="AJ14" s="36">
        <f>_xlfn.RANK.EQ(Tabel4[[#This Row],[Kolom29]],$AH$7:$AH$36)</f>
        <v>15</v>
      </c>
      <c r="AK14" s="36">
        <f>_xlfn.RANK.EQ(Tabel4[[#This Row],[Kolom294]],$AI$7:$AI$36)</f>
        <v>13</v>
      </c>
      <c r="AL14" s="22">
        <f>Tabel4[[#This Row],[Kolom29]]</f>
        <v>6.9767441860465115E-2</v>
      </c>
      <c r="AM14" s="23"/>
    </row>
    <row r="15" spans="1:39">
      <c r="B15" s="21" t="str">
        <f>'Symptomen (alle)'!A10</f>
        <v>Oodinium/Velvet disease</v>
      </c>
      <c r="C15" s="34" t="str">
        <f>'Symptomen (alle)'!C10</f>
        <v>x</v>
      </c>
      <c r="D15" s="21">
        <f>IF(D$4="x",'Symptomen (alle, 3,2,1)'!D10,0)</f>
        <v>0</v>
      </c>
      <c r="E15" s="21">
        <f>IF(E$4="x",'Symptomen (alle, 3,2,1)'!E10,0)</f>
        <v>0</v>
      </c>
      <c r="F15" s="21">
        <f>IF(F$4="x",'Symptomen (alle, 3,2,1)'!F10,0)</f>
        <v>0</v>
      </c>
      <c r="G15" s="21">
        <f>IF(G$4="x",'Symptomen (alle, 3,2,1)'!G10,0)</f>
        <v>0</v>
      </c>
      <c r="H15" s="21">
        <f>IF(H$4="x",'Symptomen (alle, 3,2,1)'!H10,0)</f>
        <v>0</v>
      </c>
      <c r="I15" s="21">
        <f>IF(I$4="x",'Symptomen (alle, 3,2,1)'!I10,0)</f>
        <v>1</v>
      </c>
      <c r="J15" s="21">
        <f>IF(J$4="x",'Symptomen (alle, 3,2,1)'!J10,0)</f>
        <v>0</v>
      </c>
      <c r="K15" s="21">
        <f>IF(K$4="x",'Symptomen (alle, 3,2,1)'!K10,0)</f>
        <v>0</v>
      </c>
      <c r="L15" s="21">
        <f>IF(L$4="x",'Symptomen (alle, 3,2,1)'!L10,0)</f>
        <v>0</v>
      </c>
      <c r="M15" s="21">
        <f>IF(M$4="x",'Symptomen (alle, 3,2,1)'!M10,0)</f>
        <v>0</v>
      </c>
      <c r="N15" s="21">
        <f>IF(N$4="x",'Symptomen (alle, 3,2,1)'!N10,0)</f>
        <v>0</v>
      </c>
      <c r="O15" s="21">
        <f>IF(O$4="x",'Symptomen (alle, 3,2,1)'!O10,0)</f>
        <v>0</v>
      </c>
      <c r="P15" s="21">
        <f>IF(P$4="x",'Symptomen (alle, 3,2,1)'!P10,0)</f>
        <v>0</v>
      </c>
      <c r="Q15" s="21">
        <f>IF(Q$4="x",'Symptomen (alle, 3,2,1)'!Q10,0)</f>
        <v>0</v>
      </c>
      <c r="R15" s="21">
        <f>IF(R$4="x",'Symptomen (alle, 3,2,1)'!R10,0)</f>
        <v>0</v>
      </c>
      <c r="S15" s="21">
        <f>IF(S$4="x",'Symptomen (alle, 3,2,1)'!S10,0)</f>
        <v>3</v>
      </c>
      <c r="T15" s="21">
        <f>IF(T$4="x",'Symptomen (alle, 3,2,1)'!T10,0)</f>
        <v>0</v>
      </c>
      <c r="U15" s="21">
        <f>IF(U$4="x",'Symptomen (alle, 3,2,1)'!U10,0)</f>
        <v>0</v>
      </c>
      <c r="V15" s="21">
        <f>IF(V$4="x",'Symptomen (alle, 3,2,1)'!V10,0)</f>
        <v>2</v>
      </c>
      <c r="W15" s="21">
        <f>IF(W$4="x",'Symptomen (alle, 3,2,1)'!W10,0)</f>
        <v>0</v>
      </c>
      <c r="X15" s="21">
        <f>IF(X$4="x",'Symptomen (alle, 3,2,1)'!X10,0)</f>
        <v>1</v>
      </c>
      <c r="Y15" s="21">
        <f>IF(Y$4="x",'Symptomen (alle, 3,2,1)'!Y10,0)</f>
        <v>0</v>
      </c>
      <c r="Z15" s="21">
        <f>IF(Z$4="x",'Symptomen (alle, 3,2,1)'!Z10,0)</f>
        <v>0</v>
      </c>
      <c r="AA15" s="21">
        <f>IF(AA$4="x",'Symptomen (alle, 3,2,1)'!AA10,0)</f>
        <v>0</v>
      </c>
      <c r="AB15" s="21">
        <f>IF(AB$4="x",'Symptomen (alle, 3,2,1)'!AB10,0)</f>
        <v>0</v>
      </c>
      <c r="AC15" s="21">
        <f>IF(AC$4="x",'Symptomen (alle, 3,2,1)'!AC10,0)</f>
        <v>0</v>
      </c>
      <c r="AD15" s="21">
        <f t="shared" si="0"/>
        <v>7</v>
      </c>
      <c r="AE15" s="21">
        <f>HLOOKUP($B$4,ZiekteFam!$B$1:$T$32,AF15,FALSE)</f>
        <v>3</v>
      </c>
      <c r="AF15" s="32">
        <f t="shared" si="1"/>
        <v>10</v>
      </c>
      <c r="AG15" s="32">
        <f>SUM('Symptomen (alle)'!D10:AC10)</f>
        <v>41</v>
      </c>
      <c r="AH15" s="22">
        <f>Tabel4[[#This Row],[Kolom25]]/Tabel4[[#This Row],[Kolom28]]</f>
        <v>0.17073170731707318</v>
      </c>
      <c r="AI15" s="22">
        <f>Tabel42[[#This Row],[Kolom29]]</f>
        <v>0.41463414634146339</v>
      </c>
      <c r="AJ15" s="36">
        <f>_xlfn.RANK.EQ(Tabel4[[#This Row],[Kolom29]],$AH$7:$AH$36)</f>
        <v>2</v>
      </c>
      <c r="AK15" s="36">
        <f>_xlfn.RANK.EQ(Tabel4[[#This Row],[Kolom294]],$AI$7:$AI$36)</f>
        <v>2</v>
      </c>
      <c r="AL15" s="22">
        <f>Tabel4[[#This Row],[Kolom29]]</f>
        <v>0.17073170731707318</v>
      </c>
      <c r="AM15" s="23"/>
    </row>
    <row r="16" spans="1:39">
      <c r="B16" s="21" t="str">
        <f>'Symptomen (alle)'!A11</f>
        <v>Black spot disease (mostly encapsulated worm larvae)</v>
      </c>
      <c r="C16" s="79" t="str">
        <f>'Symptomen (alle)'!C11</f>
        <v>x</v>
      </c>
      <c r="D16" s="21">
        <f>IF(D$4="x",'Symptomen (alle, 3,2,1)'!D11,0)</f>
        <v>0</v>
      </c>
      <c r="E16" s="21">
        <f>IF(E$4="x",'Symptomen (alle, 3,2,1)'!E11,0)</f>
        <v>0</v>
      </c>
      <c r="F16" s="21">
        <f>IF(F$4="x",'Symptomen (alle, 3,2,1)'!F11,0)</f>
        <v>0</v>
      </c>
      <c r="G16" s="21">
        <f>IF(G$4="x",'Symptomen (alle, 3,2,1)'!G11,0)</f>
        <v>0</v>
      </c>
      <c r="H16" s="21">
        <f>IF(H$4="x",'Symptomen (alle, 3,2,1)'!H11,0)</f>
        <v>0</v>
      </c>
      <c r="I16" s="21">
        <f>IF(I$4="x",'Symptomen (alle, 3,2,1)'!I11,0)</f>
        <v>1</v>
      </c>
      <c r="J16" s="21">
        <f>IF(J$4="x",'Symptomen (alle, 3,2,1)'!J11,0)</f>
        <v>0</v>
      </c>
      <c r="K16" s="21">
        <f>IF(K$4="x",'Symptomen (alle, 3,2,1)'!K11,0)</f>
        <v>0</v>
      </c>
      <c r="L16" s="21">
        <f>IF(L$4="x",'Symptomen (alle, 3,2,1)'!L11,0)</f>
        <v>0</v>
      </c>
      <c r="M16" s="21">
        <f>IF(M$4="x",'Symptomen (alle, 3,2,1)'!M11,0)</f>
        <v>0</v>
      </c>
      <c r="N16" s="21">
        <f>IF(N$4="x",'Symptomen (alle, 3,2,1)'!N11,0)</f>
        <v>0</v>
      </c>
      <c r="O16" s="21">
        <f>IF(O$4="x",'Symptomen (alle, 3,2,1)'!O11,0)</f>
        <v>0</v>
      </c>
      <c r="P16" s="21">
        <f>IF(P$4="x",'Symptomen (alle, 3,2,1)'!P11,0)</f>
        <v>0</v>
      </c>
      <c r="Q16" s="21">
        <f>IF(Q$4="x",'Symptomen (alle, 3,2,1)'!Q11,0)</f>
        <v>0</v>
      </c>
      <c r="R16" s="21">
        <f>IF(R$4="x",'Symptomen (alle, 3,2,1)'!R11,0)</f>
        <v>0</v>
      </c>
      <c r="S16" s="21">
        <f>IF(S$4="x",'Symptomen (alle, 3,2,1)'!S11,0)</f>
        <v>0</v>
      </c>
      <c r="T16" s="21">
        <f>IF(T$4="x",'Symptomen (alle, 3,2,1)'!T11,0)</f>
        <v>0</v>
      </c>
      <c r="U16" s="21">
        <f>IF(U$4="x",'Symptomen (alle, 3,2,1)'!U11,0)</f>
        <v>0</v>
      </c>
      <c r="V16" s="21">
        <f>IF(V$4="x",'Symptomen (alle, 3,2,1)'!V11,0)</f>
        <v>1</v>
      </c>
      <c r="W16" s="21">
        <f>IF(W$4="x",'Symptomen (alle, 3,2,1)'!W11,0)</f>
        <v>0</v>
      </c>
      <c r="X16" s="21">
        <f>IF(X$4="x",'Symptomen (alle, 3,2,1)'!X11,0)</f>
        <v>1</v>
      </c>
      <c r="Y16" s="21">
        <f>IF(Y$4="x",'Symptomen (alle, 3,2,1)'!Y11,0)</f>
        <v>0</v>
      </c>
      <c r="Z16" s="21">
        <f>IF(Z$4="x",'Symptomen (alle, 3,2,1)'!Z11,0)</f>
        <v>0</v>
      </c>
      <c r="AA16" s="21">
        <f>IF(AA$4="x",'Symptomen (alle, 3,2,1)'!AA11,0)</f>
        <v>0</v>
      </c>
      <c r="AB16" s="21">
        <f>IF(AB$4="x",'Symptomen (alle, 3,2,1)'!AB11,0)</f>
        <v>0</v>
      </c>
      <c r="AC16" s="21">
        <f>IF(AC$4="x",'Symptomen (alle, 3,2,1)'!AC11,0)</f>
        <v>0</v>
      </c>
      <c r="AD16" s="21">
        <f t="shared" si="0"/>
        <v>3</v>
      </c>
      <c r="AE16" s="21">
        <f>HLOOKUP($B$4,ZiekteFam!$B$1:$T$32,AF16,FALSE)</f>
        <v>3</v>
      </c>
      <c r="AF16" s="32">
        <f t="shared" ref="AF16:AF17" si="3">ROW(AE16)-5</f>
        <v>11</v>
      </c>
      <c r="AG16" s="32">
        <f>SUM('Symptomen (alle)'!D11:AC11)</f>
        <v>24</v>
      </c>
      <c r="AH16" s="22">
        <f>Tabel4[[#This Row],[Kolom25]]/Tabel4[[#This Row],[Kolom28]]</f>
        <v>0.125</v>
      </c>
      <c r="AI16" s="22">
        <f>Tabel42[[#This Row],[Kolom29]]</f>
        <v>0.125</v>
      </c>
      <c r="AJ16" s="36">
        <f>_xlfn.RANK.EQ(Tabel4[[#This Row],[Kolom29]],$AH$7:$AH$36)</f>
        <v>5</v>
      </c>
      <c r="AK16" s="36">
        <f>_xlfn.RANK.EQ(Tabel4[[#This Row],[Kolom294]],$AI$7:$AI$36)</f>
        <v>15</v>
      </c>
      <c r="AL16" s="22">
        <f>Tabel4[[#This Row],[Kolom29]]</f>
        <v>0.125</v>
      </c>
      <c r="AM16" s="23"/>
    </row>
    <row r="17" spans="1:39">
      <c r="B17" s="21" t="str">
        <f>'Symptomen (alle)'!A12</f>
        <v>White grub disease (encapsulated worm larvae, NO ICH)</v>
      </c>
      <c r="C17" s="79" t="str">
        <f>'Symptomen (alle)'!C12</f>
        <v>x</v>
      </c>
      <c r="D17" s="21">
        <f>IF(D$4="x",'Symptomen (alle, 3,2,1)'!D12,0)</f>
        <v>0</v>
      </c>
      <c r="E17" s="21">
        <f>IF(E$4="x",'Symptomen (alle, 3,2,1)'!E12,0)</f>
        <v>0</v>
      </c>
      <c r="F17" s="21">
        <f>IF(F$4="x",'Symptomen (alle, 3,2,1)'!F12,0)</f>
        <v>0</v>
      </c>
      <c r="G17" s="21">
        <f>IF(G$4="x",'Symptomen (alle, 3,2,1)'!G12,0)</f>
        <v>0</v>
      </c>
      <c r="H17" s="21">
        <f>IF(H$4="x",'Symptomen (alle, 3,2,1)'!H12,0)</f>
        <v>0</v>
      </c>
      <c r="I17" s="21">
        <f>IF(I$4="x",'Symptomen (alle, 3,2,1)'!I12,0)</f>
        <v>1</v>
      </c>
      <c r="J17" s="21">
        <f>IF(J$4="x",'Symptomen (alle, 3,2,1)'!J12,0)</f>
        <v>0</v>
      </c>
      <c r="K17" s="21">
        <f>IF(K$4="x",'Symptomen (alle, 3,2,1)'!K12,0)</f>
        <v>0</v>
      </c>
      <c r="L17" s="21">
        <f>IF(L$4="x",'Symptomen (alle, 3,2,1)'!L12,0)</f>
        <v>0</v>
      </c>
      <c r="M17" s="21">
        <f>IF(M$4="x",'Symptomen (alle, 3,2,1)'!M12,0)</f>
        <v>0</v>
      </c>
      <c r="N17" s="21">
        <f>IF(N$4="x",'Symptomen (alle, 3,2,1)'!N12,0)</f>
        <v>0</v>
      </c>
      <c r="O17" s="21">
        <f>IF(O$4="x",'Symptomen (alle, 3,2,1)'!O12,0)</f>
        <v>0</v>
      </c>
      <c r="P17" s="21">
        <f>IF(P$4="x",'Symptomen (alle, 3,2,1)'!P12,0)</f>
        <v>0</v>
      </c>
      <c r="Q17" s="21">
        <f>IF(Q$4="x",'Symptomen (alle, 3,2,1)'!Q12,0)</f>
        <v>0</v>
      </c>
      <c r="R17" s="21">
        <f>IF(R$4="x",'Symptomen (alle, 3,2,1)'!R12,0)</f>
        <v>0</v>
      </c>
      <c r="S17" s="21">
        <f>IF(S$4="x",'Symptomen (alle, 3,2,1)'!S12,0)</f>
        <v>0</v>
      </c>
      <c r="T17" s="21">
        <f>IF(T$4="x",'Symptomen (alle, 3,2,1)'!T12,0)</f>
        <v>0</v>
      </c>
      <c r="U17" s="21">
        <f>IF(U$4="x",'Symptomen (alle, 3,2,1)'!U12,0)</f>
        <v>0</v>
      </c>
      <c r="V17" s="21">
        <f>IF(V$4="x",'Symptomen (alle, 3,2,1)'!V12,0)</f>
        <v>1</v>
      </c>
      <c r="W17" s="21">
        <f>IF(W$4="x",'Symptomen (alle, 3,2,1)'!W12,0)</f>
        <v>0</v>
      </c>
      <c r="X17" s="21">
        <f>IF(X$4="x",'Symptomen (alle, 3,2,1)'!X12,0)</f>
        <v>1</v>
      </c>
      <c r="Y17" s="21">
        <f>IF(Y$4="x",'Symptomen (alle, 3,2,1)'!Y12,0)</f>
        <v>0</v>
      </c>
      <c r="Z17" s="21">
        <f>IF(Z$4="x",'Symptomen (alle, 3,2,1)'!Z12,0)</f>
        <v>0</v>
      </c>
      <c r="AA17" s="21">
        <f>IF(AA$4="x",'Symptomen (alle, 3,2,1)'!AA12,0)</f>
        <v>0</v>
      </c>
      <c r="AB17" s="21">
        <f>IF(AB$4="x",'Symptomen (alle, 3,2,1)'!AB12,0)</f>
        <v>0</v>
      </c>
      <c r="AC17" s="21">
        <f>IF(AC$4="x",'Symptomen (alle, 3,2,1)'!AC12,0)</f>
        <v>0</v>
      </c>
      <c r="AD17" s="21">
        <f t="shared" si="0"/>
        <v>3</v>
      </c>
      <c r="AE17" s="21">
        <f>HLOOKUP($B$4,ZiekteFam!$B$1:$T$32,AF17,FALSE)</f>
        <v>3</v>
      </c>
      <c r="AF17" s="32">
        <f t="shared" si="3"/>
        <v>12</v>
      </c>
      <c r="AG17" s="32">
        <f>SUM('Symptomen (alle)'!D12:AC12)</f>
        <v>25</v>
      </c>
      <c r="AH17" s="22">
        <f>Tabel4[[#This Row],[Kolom25]]/Tabel4[[#This Row],[Kolom28]]</f>
        <v>0.12</v>
      </c>
      <c r="AI17" s="22">
        <f>Tabel42[[#This Row],[Kolom29]]</f>
        <v>0.12</v>
      </c>
      <c r="AJ17" s="36">
        <f>_xlfn.RANK.EQ(Tabel4[[#This Row],[Kolom29]],$AH$7:$AH$36)</f>
        <v>7</v>
      </c>
      <c r="AK17" s="36">
        <f>_xlfn.RANK.EQ(Tabel4[[#This Row],[Kolom294]],$AI$7:$AI$36)</f>
        <v>16</v>
      </c>
      <c r="AL17" s="22">
        <f>Tabel4[[#This Row],[Kolom29]]</f>
        <v>0.12</v>
      </c>
      <c r="AM17" s="23"/>
    </row>
    <row r="18" spans="1:39">
      <c r="B18" s="21" t="str">
        <f>'Symptomen (alle)'!A13</f>
        <v>Chilodonella/(Ichthyobodo/Costia)/Trichodina</v>
      </c>
      <c r="C18" s="34">
        <f>'Symptomen (alle)'!C13</f>
        <v>0</v>
      </c>
      <c r="D18" s="21">
        <f>IF(D$4="x",'Symptomen (alle, 3,2,1)'!D13,0)</f>
        <v>0</v>
      </c>
      <c r="E18" s="21">
        <f>IF(E$4="x",'Symptomen (alle, 3,2,1)'!E13,0)</f>
        <v>0</v>
      </c>
      <c r="F18" s="21">
        <f>IF(F$4="x",'Symptomen (alle, 3,2,1)'!F13,0)</f>
        <v>0</v>
      </c>
      <c r="G18" s="21">
        <f>IF(G$4="x",'Symptomen (alle, 3,2,1)'!G13,0)</f>
        <v>0</v>
      </c>
      <c r="H18" s="21">
        <f>IF(H$4="x",'Symptomen (alle, 3,2,1)'!H13,0)</f>
        <v>0</v>
      </c>
      <c r="I18" s="21">
        <f>IF(I$4="x",'Symptomen (alle, 3,2,1)'!I13,0)</f>
        <v>1</v>
      </c>
      <c r="J18" s="21">
        <f>IF(J$4="x",'Symptomen (alle, 3,2,1)'!J13,0)</f>
        <v>0</v>
      </c>
      <c r="K18" s="21">
        <f>IF(K$4="x",'Symptomen (alle, 3,2,1)'!K13,0)</f>
        <v>0</v>
      </c>
      <c r="L18" s="21">
        <f>IF(L$4="x",'Symptomen (alle, 3,2,1)'!L13,0)</f>
        <v>0</v>
      </c>
      <c r="M18" s="21">
        <f>IF(M$4="x",'Symptomen (alle, 3,2,1)'!M13,0)</f>
        <v>0</v>
      </c>
      <c r="N18" s="21">
        <f>IF(N$4="x",'Symptomen (alle, 3,2,1)'!N13,0)</f>
        <v>0</v>
      </c>
      <c r="O18" s="21">
        <f>IF(O$4="x",'Symptomen (alle, 3,2,1)'!O13,0)</f>
        <v>0</v>
      </c>
      <c r="P18" s="21">
        <f>IF(P$4="x",'Symptomen (alle, 3,2,1)'!P13,0)</f>
        <v>0</v>
      </c>
      <c r="Q18" s="21">
        <f>IF(Q$4="x",'Symptomen (alle, 3,2,1)'!Q13,0)</f>
        <v>0</v>
      </c>
      <c r="R18" s="21">
        <f>IF(R$4="x",'Symptomen (alle, 3,2,1)'!R13,0)</f>
        <v>0</v>
      </c>
      <c r="S18" s="21">
        <f>IF(S$4="x",'Symptomen (alle, 3,2,1)'!S13,0)</f>
        <v>1</v>
      </c>
      <c r="T18" s="21">
        <f>IF(T$4="x",'Symptomen (alle, 3,2,1)'!T13,0)</f>
        <v>0</v>
      </c>
      <c r="U18" s="21">
        <f>IF(U$4="x",'Symptomen (alle, 3,2,1)'!U13,0)</f>
        <v>0</v>
      </c>
      <c r="V18" s="21">
        <f>IF(V$4="x",'Symptomen (alle, 3,2,1)'!V13,0)</f>
        <v>1</v>
      </c>
      <c r="W18" s="21">
        <f>IF(W$4="x",'Symptomen (alle, 3,2,1)'!W13,0)</f>
        <v>0</v>
      </c>
      <c r="X18" s="21">
        <f>IF(X$4="x",'Symptomen (alle, 3,2,1)'!X13,0)</f>
        <v>1</v>
      </c>
      <c r="Y18" s="21">
        <f>IF(Y$4="x",'Symptomen (alle, 3,2,1)'!Y13,0)</f>
        <v>0</v>
      </c>
      <c r="Z18" s="21">
        <f>IF(Z$4="x",'Symptomen (alle, 3,2,1)'!Z13,0)</f>
        <v>0</v>
      </c>
      <c r="AA18" s="21">
        <f>IF(AA$4="x",'Symptomen (alle, 3,2,1)'!AA13,0)</f>
        <v>0</v>
      </c>
      <c r="AB18" s="21">
        <f>IF(AB$4="x",'Symptomen (alle, 3,2,1)'!AB13,0)</f>
        <v>0</v>
      </c>
      <c r="AC18" s="21">
        <f>IF(AC$4="x",'Symptomen (alle, 3,2,1)'!AC13,0)</f>
        <v>0</v>
      </c>
      <c r="AD18" s="21">
        <f t="shared" si="0"/>
        <v>4</v>
      </c>
      <c r="AE18" s="21">
        <f>HLOOKUP($B$4,ZiekteFam!$B$1:$T$32,AF18,FALSE)</f>
        <v>0</v>
      </c>
      <c r="AF18" s="32">
        <f t="shared" si="1"/>
        <v>13</v>
      </c>
      <c r="AG18" s="32">
        <f>SUM('Symptomen (alle)'!D13:AC13)</f>
        <v>33</v>
      </c>
      <c r="AH18" s="22">
        <f>Tabel4[[#This Row],[Kolom25]]/Tabel4[[#This Row],[Kolom28]]</f>
        <v>0.12121212121212122</v>
      </c>
      <c r="AI18" s="22">
        <f>Tabel42[[#This Row],[Kolom29]]</f>
        <v>0.21212121212121213</v>
      </c>
      <c r="AJ18" s="36">
        <f>_xlfn.RANK.EQ(Tabel4[[#This Row],[Kolom29]],$AH$7:$AH$36)</f>
        <v>6</v>
      </c>
      <c r="AK18" s="36">
        <f>_xlfn.RANK.EQ(Tabel4[[#This Row],[Kolom294]],$AI$7:$AI$36)</f>
        <v>6</v>
      </c>
      <c r="AL18" s="22">
        <f>Tabel4[[#This Row],[Kolom29]]</f>
        <v>0.12121212121212122</v>
      </c>
      <c r="AM18" s="23"/>
    </row>
    <row r="19" spans="1:39">
      <c r="B19" s="21" t="str">
        <f>'Symptomen (alle)'!A14</f>
        <v>Tetrahymena (also called Guppy-killer)</v>
      </c>
      <c r="C19" s="34">
        <f>'Symptomen (alle)'!C14</f>
        <v>0</v>
      </c>
      <c r="D19" s="21">
        <f>IF(D$4="x",'Symptomen (alle, 3,2,1)'!D14,0)</f>
        <v>0</v>
      </c>
      <c r="E19" s="21">
        <f>IF(E$4="x",'Symptomen (alle, 3,2,1)'!E14,0)</f>
        <v>0</v>
      </c>
      <c r="F19" s="21">
        <f>IF(F$4="x",'Symptomen (alle, 3,2,1)'!F14,0)</f>
        <v>0</v>
      </c>
      <c r="G19" s="21">
        <f>IF(G$4="x",'Symptomen (alle, 3,2,1)'!G14,0)</f>
        <v>0</v>
      </c>
      <c r="H19" s="21">
        <f>IF(H$4="x",'Symptomen (alle, 3,2,1)'!H14,0)</f>
        <v>0</v>
      </c>
      <c r="I19" s="21">
        <f>IF(I$4="x",'Symptomen (alle, 3,2,1)'!I14,0)</f>
        <v>2</v>
      </c>
      <c r="J19" s="21">
        <f>IF(J$4="x",'Symptomen (alle, 3,2,1)'!J14,0)</f>
        <v>0</v>
      </c>
      <c r="K19" s="21">
        <f>IF(K$4="x",'Symptomen (alle, 3,2,1)'!K14,0)</f>
        <v>0</v>
      </c>
      <c r="L19" s="21">
        <f>IF(L$4="x",'Symptomen (alle, 3,2,1)'!L14,0)</f>
        <v>0</v>
      </c>
      <c r="M19" s="21">
        <f>IF(M$4="x",'Symptomen (alle, 3,2,1)'!M14,0)</f>
        <v>0</v>
      </c>
      <c r="N19" s="21">
        <f>IF(N$4="x",'Symptomen (alle, 3,2,1)'!N14,0)</f>
        <v>0</v>
      </c>
      <c r="O19" s="21">
        <f>IF(O$4="x",'Symptomen (alle, 3,2,1)'!O14,0)</f>
        <v>0</v>
      </c>
      <c r="P19" s="21">
        <f>IF(P$4="x",'Symptomen (alle, 3,2,1)'!P14,0)</f>
        <v>0</v>
      </c>
      <c r="Q19" s="21">
        <f>IF(Q$4="x",'Symptomen (alle, 3,2,1)'!Q14,0)</f>
        <v>0</v>
      </c>
      <c r="R19" s="21">
        <f>IF(R$4="x",'Symptomen (alle, 3,2,1)'!R14,0)</f>
        <v>0</v>
      </c>
      <c r="S19" s="21">
        <f>IF(S$4="x",'Symptomen (alle, 3,2,1)'!S14,0)</f>
        <v>0</v>
      </c>
      <c r="T19" s="21">
        <f>IF(T$4="x",'Symptomen (alle, 3,2,1)'!T14,0)</f>
        <v>0</v>
      </c>
      <c r="U19" s="21">
        <f>IF(U$4="x",'Symptomen (alle, 3,2,1)'!U14,0)</f>
        <v>0</v>
      </c>
      <c r="V19" s="21">
        <f>IF(V$4="x",'Symptomen (alle, 3,2,1)'!V14,0)</f>
        <v>1</v>
      </c>
      <c r="W19" s="21">
        <f>IF(W$4="x",'Symptomen (alle, 3,2,1)'!W14,0)</f>
        <v>0</v>
      </c>
      <c r="X19" s="21">
        <f>IF(X$4="x",'Symptomen (alle, 3,2,1)'!X14,0)</f>
        <v>0</v>
      </c>
      <c r="Y19" s="21">
        <f>IF(Y$4="x",'Symptomen (alle, 3,2,1)'!Y14,0)</f>
        <v>0</v>
      </c>
      <c r="Z19" s="21">
        <f>IF(Z$4="x",'Symptomen (alle, 3,2,1)'!Z14,0)</f>
        <v>0</v>
      </c>
      <c r="AA19" s="21">
        <f>IF(AA$4="x",'Symptomen (alle, 3,2,1)'!AA14,0)</f>
        <v>0</v>
      </c>
      <c r="AB19" s="21">
        <f>IF(AB$4="x",'Symptomen (alle, 3,2,1)'!AB14,0)</f>
        <v>0</v>
      </c>
      <c r="AC19" s="21">
        <f>IF(AC$4="x",'Symptomen (alle, 3,2,1)'!AC14,0)</f>
        <v>0</v>
      </c>
      <c r="AD19" s="21">
        <f t="shared" si="0"/>
        <v>3</v>
      </c>
      <c r="AE19" s="21">
        <f>HLOOKUP($B$4,ZiekteFam!$B$1:$T$32,AF19,FALSE)</f>
        <v>0</v>
      </c>
      <c r="AF19" s="32">
        <f t="shared" si="1"/>
        <v>14</v>
      </c>
      <c r="AG19" s="32">
        <f>SUM('Symptomen (alle)'!D14:AC14)</f>
        <v>27</v>
      </c>
      <c r="AH19" s="22">
        <f>Tabel4[[#This Row],[Kolom25]]/Tabel4[[#This Row],[Kolom28]]</f>
        <v>0.1111111111111111</v>
      </c>
      <c r="AI19" s="22">
        <f>Tabel42[[#This Row],[Kolom29]]</f>
        <v>0.18518518518518517</v>
      </c>
      <c r="AJ19" s="36">
        <f>_xlfn.RANK.EQ(Tabel4[[#This Row],[Kolom29]],$AH$7:$AH$36)</f>
        <v>10</v>
      </c>
      <c r="AK19" s="36">
        <f>_xlfn.RANK.EQ(Tabel4[[#This Row],[Kolom294]],$AI$7:$AI$36)</f>
        <v>8</v>
      </c>
      <c r="AL19" s="22">
        <f>Tabel4[[#This Row],[Kolom29]]</f>
        <v>0.1111111111111111</v>
      </c>
      <c r="AM19" s="23"/>
    </row>
    <row r="20" spans="1:39">
      <c r="B20" s="21" t="str">
        <f>'Symptomen (alle)'!A15</f>
        <v>Hole-in-the-head/HLLS/Head-and-Lateral-Line-Syndrome</v>
      </c>
      <c r="C20" s="34">
        <f>'Symptomen (alle)'!C15</f>
        <v>0</v>
      </c>
      <c r="D20" s="21">
        <f>IF(D$4="x",'Symptomen (alle, 3,2,1)'!D15,0)</f>
        <v>0</v>
      </c>
      <c r="E20" s="21">
        <f>IF(E$4="x",'Symptomen (alle, 3,2,1)'!E15,0)</f>
        <v>0</v>
      </c>
      <c r="F20" s="21">
        <f>IF(F$4="x",'Symptomen (alle, 3,2,1)'!F15,0)</f>
        <v>0</v>
      </c>
      <c r="G20" s="21">
        <f>IF(G$4="x",'Symptomen (alle, 3,2,1)'!G15,0)</f>
        <v>0</v>
      </c>
      <c r="H20" s="21">
        <f>IF(H$4="x",'Symptomen (alle, 3,2,1)'!H15,0)</f>
        <v>0</v>
      </c>
      <c r="I20" s="21">
        <f>IF(I$4="x",'Symptomen (alle, 3,2,1)'!I15,0)</f>
        <v>3</v>
      </c>
      <c r="J20" s="21">
        <f>IF(J$4="x",'Symptomen (alle, 3,2,1)'!J15,0)</f>
        <v>0</v>
      </c>
      <c r="K20" s="21">
        <f>IF(K$4="x",'Symptomen (alle, 3,2,1)'!K15,0)</f>
        <v>0</v>
      </c>
      <c r="L20" s="21">
        <f>IF(L$4="x",'Symptomen (alle, 3,2,1)'!L15,0)</f>
        <v>0</v>
      </c>
      <c r="M20" s="21">
        <f>IF(M$4="x",'Symptomen (alle, 3,2,1)'!M15,0)</f>
        <v>0</v>
      </c>
      <c r="N20" s="21">
        <f>IF(N$4="x",'Symptomen (alle, 3,2,1)'!N15,0)</f>
        <v>0</v>
      </c>
      <c r="O20" s="21">
        <f>IF(O$4="x",'Symptomen (alle, 3,2,1)'!O15,0)</f>
        <v>0</v>
      </c>
      <c r="P20" s="21">
        <f>IF(P$4="x",'Symptomen (alle, 3,2,1)'!P15,0)</f>
        <v>0</v>
      </c>
      <c r="Q20" s="21">
        <f>IF(Q$4="x",'Symptomen (alle, 3,2,1)'!Q15,0)</f>
        <v>0</v>
      </c>
      <c r="R20" s="21">
        <f>IF(R$4="x",'Symptomen (alle, 3,2,1)'!R15,0)</f>
        <v>0</v>
      </c>
      <c r="S20" s="21">
        <f>IF(S$4="x",'Symptomen (alle, 3,2,1)'!S15,0)</f>
        <v>0</v>
      </c>
      <c r="T20" s="21">
        <f>IF(T$4="x",'Symptomen (alle, 3,2,1)'!T15,0)</f>
        <v>0</v>
      </c>
      <c r="U20" s="21">
        <f>IF(U$4="x",'Symptomen (alle, 3,2,1)'!U15,0)</f>
        <v>0</v>
      </c>
      <c r="V20" s="21">
        <f>IF(V$4="x",'Symptomen (alle, 3,2,1)'!V15,0)</f>
        <v>0</v>
      </c>
      <c r="W20" s="21">
        <f>IF(W$4="x",'Symptomen (alle, 3,2,1)'!W15,0)</f>
        <v>0</v>
      </c>
      <c r="X20" s="21">
        <f>IF(X$4="x",'Symptomen (alle, 3,2,1)'!X15,0)</f>
        <v>0</v>
      </c>
      <c r="Y20" s="21">
        <f>IF(Y$4="x",'Symptomen (alle, 3,2,1)'!Y15,0)</f>
        <v>0</v>
      </c>
      <c r="Z20" s="21">
        <f>IF(Z$4="x",'Symptomen (alle, 3,2,1)'!Z15,0)</f>
        <v>0</v>
      </c>
      <c r="AA20" s="21">
        <f>IF(AA$4="x",'Symptomen (alle, 3,2,1)'!AA15,0)</f>
        <v>0</v>
      </c>
      <c r="AB20" s="21">
        <f>IF(AB$4="x",'Symptomen (alle, 3,2,1)'!AB15,0)</f>
        <v>0</v>
      </c>
      <c r="AC20" s="21">
        <f>IF(AC$4="x",'Symptomen (alle, 3,2,1)'!AC15,0)</f>
        <v>0</v>
      </c>
      <c r="AD20" s="21">
        <f t="shared" si="0"/>
        <v>3</v>
      </c>
      <c r="AE20" s="21">
        <f>HLOOKUP($B$4,ZiekteFam!$B$1:$T$32,AF20,FALSE)</f>
        <v>10</v>
      </c>
      <c r="AF20" s="32">
        <f t="shared" si="1"/>
        <v>15</v>
      </c>
      <c r="AG20" s="32">
        <f>SUM('Symptomen (alle)'!D15:AC15)</f>
        <v>26</v>
      </c>
      <c r="AH20" s="22">
        <f>Tabel4[[#This Row],[Kolom25]]/Tabel4[[#This Row],[Kolom28]]</f>
        <v>0.11538461538461539</v>
      </c>
      <c r="AI20" s="22">
        <f>Tabel42[[#This Row],[Kolom29]]</f>
        <v>0.38461538461538464</v>
      </c>
      <c r="AJ20" s="36">
        <f>_xlfn.RANK.EQ(Tabel4[[#This Row],[Kolom29]],$AH$7:$AH$36)</f>
        <v>8</v>
      </c>
      <c r="AK20" s="36">
        <f>_xlfn.RANK.EQ(Tabel4[[#This Row],[Kolom294]],$AI$7:$AI$36)</f>
        <v>3</v>
      </c>
      <c r="AL20" s="22">
        <f>Tabel4[[#This Row],[Kolom29]]</f>
        <v>0.11538461538461539</v>
      </c>
      <c r="AM20" s="23"/>
    </row>
    <row r="21" spans="1:39">
      <c r="B21" s="21" t="str">
        <f>'Symptomen (alle)'!A16</f>
        <v>Spironucleus/Hexamita</v>
      </c>
      <c r="C21" s="34">
        <f>'Symptomen (alle)'!C16</f>
        <v>0</v>
      </c>
      <c r="D21" s="21">
        <f>IF(D$4="x",'Symptomen (alle, 3,2,1)'!D16,0)</f>
        <v>0</v>
      </c>
      <c r="E21" s="21">
        <f>IF(E$4="x",'Symptomen (alle, 3,2,1)'!E16,0)</f>
        <v>0</v>
      </c>
      <c r="F21" s="21">
        <f>IF(F$4="x",'Symptomen (alle, 3,2,1)'!F16,0)</f>
        <v>0</v>
      </c>
      <c r="G21" s="21">
        <f>IF(G$4="x",'Symptomen (alle, 3,2,1)'!G16,0)</f>
        <v>0</v>
      </c>
      <c r="H21" s="21">
        <f>IF(H$4="x",'Symptomen (alle, 3,2,1)'!H16,0)</f>
        <v>0</v>
      </c>
      <c r="I21" s="21">
        <f>IF(I$4="x",'Symptomen (alle, 3,2,1)'!I16,0)</f>
        <v>0</v>
      </c>
      <c r="J21" s="21">
        <f>IF(J$4="x",'Symptomen (alle, 3,2,1)'!J16,0)</f>
        <v>0</v>
      </c>
      <c r="K21" s="21">
        <f>IF(K$4="x",'Symptomen (alle, 3,2,1)'!K16,0)</f>
        <v>0</v>
      </c>
      <c r="L21" s="21">
        <f>IF(L$4="x",'Symptomen (alle, 3,2,1)'!L16,0)</f>
        <v>0</v>
      </c>
      <c r="M21" s="21">
        <f>IF(M$4="x",'Symptomen (alle, 3,2,1)'!M16,0)</f>
        <v>0</v>
      </c>
      <c r="N21" s="21">
        <f>IF(N$4="x",'Symptomen (alle, 3,2,1)'!N16,0)</f>
        <v>0</v>
      </c>
      <c r="O21" s="21">
        <f>IF(O$4="x",'Symptomen (alle, 3,2,1)'!O16,0)</f>
        <v>0</v>
      </c>
      <c r="P21" s="21">
        <f>IF(P$4="x",'Symptomen (alle, 3,2,1)'!P16,0)</f>
        <v>0</v>
      </c>
      <c r="Q21" s="21">
        <f>IF(Q$4="x",'Symptomen (alle, 3,2,1)'!Q16,0)</f>
        <v>0</v>
      </c>
      <c r="R21" s="21">
        <f>IF(R$4="x",'Symptomen (alle, 3,2,1)'!R16,0)</f>
        <v>0</v>
      </c>
      <c r="S21" s="21">
        <f>IF(S$4="x",'Symptomen (alle, 3,2,1)'!S16,0)</f>
        <v>0</v>
      </c>
      <c r="T21" s="21">
        <f>IF(T$4="x",'Symptomen (alle, 3,2,1)'!T16,0)</f>
        <v>0</v>
      </c>
      <c r="U21" s="21">
        <f>IF(U$4="x",'Symptomen (alle, 3,2,1)'!U16,0)</f>
        <v>0</v>
      </c>
      <c r="V21" s="21">
        <f>IF(V$4="x",'Symptomen (alle, 3,2,1)'!V16,0)</f>
        <v>0</v>
      </c>
      <c r="W21" s="21">
        <f>IF(W$4="x",'Symptomen (alle, 3,2,1)'!W16,0)</f>
        <v>0</v>
      </c>
      <c r="X21" s="21">
        <f>IF(X$4="x",'Symptomen (alle, 3,2,1)'!X16,0)</f>
        <v>0</v>
      </c>
      <c r="Y21" s="21">
        <f>IF(Y$4="x",'Symptomen (alle, 3,2,1)'!Y16,0)</f>
        <v>0</v>
      </c>
      <c r="Z21" s="21">
        <f>IF(Z$4="x",'Symptomen (alle, 3,2,1)'!Z16,0)</f>
        <v>0</v>
      </c>
      <c r="AA21" s="21">
        <f>IF(AA$4="x",'Symptomen (alle, 3,2,1)'!AA16,0)</f>
        <v>0</v>
      </c>
      <c r="AB21" s="21">
        <f>IF(AB$4="x",'Symptomen (alle, 3,2,1)'!AB16,0)</f>
        <v>0</v>
      </c>
      <c r="AC21" s="21">
        <f>IF(AC$4="x",'Symptomen (alle, 3,2,1)'!AC16,0)</f>
        <v>0</v>
      </c>
      <c r="AD21" s="21">
        <f t="shared" si="0"/>
        <v>0</v>
      </c>
      <c r="AE21" s="21">
        <f>HLOOKUP($B$4,ZiekteFam!$B$1:$T$32,AF21,FALSE)</f>
        <v>0</v>
      </c>
      <c r="AF21" s="32">
        <f t="shared" si="1"/>
        <v>16</v>
      </c>
      <c r="AG21" s="32">
        <f>SUM('Symptomen (alle)'!D16:AC16)</f>
        <v>26</v>
      </c>
      <c r="AH21" s="22">
        <f>Tabel4[[#This Row],[Kolom25]]/Tabel4[[#This Row],[Kolom28]]</f>
        <v>0</v>
      </c>
      <c r="AI21" s="22">
        <f>Tabel42[[#This Row],[Kolom29]]</f>
        <v>0</v>
      </c>
      <c r="AJ21" s="36">
        <f>_xlfn.RANK.EQ(Tabel4[[#This Row],[Kolom29]],$AH$7:$AH$36)</f>
        <v>26</v>
      </c>
      <c r="AK21" s="36">
        <f>_xlfn.RANK.EQ(Tabel4[[#This Row],[Kolom294]],$AI$7:$AI$36)</f>
        <v>27</v>
      </c>
      <c r="AL21" s="22">
        <f>Tabel4[[#This Row],[Kolom29]]</f>
        <v>0</v>
      </c>
      <c r="AM21" s="23"/>
    </row>
    <row r="22" spans="1:39">
      <c r="B22" s="21" t="str">
        <f>'Symptomen (alle)'!A17</f>
        <v>Fungus (mostly Saprolegnia)</v>
      </c>
      <c r="C22" s="34" t="str">
        <f>'Symptomen (alle)'!C17</f>
        <v>x</v>
      </c>
      <c r="D22" s="21">
        <f>IF(D$4="x",'Symptomen (alle, 3,2,1)'!D17,0)</f>
        <v>0</v>
      </c>
      <c r="E22" s="21">
        <f>IF(E$4="x",'Symptomen (alle, 3,2,1)'!E17,0)</f>
        <v>0</v>
      </c>
      <c r="F22" s="21">
        <f>IF(F$4="x",'Symptomen (alle, 3,2,1)'!F17,0)</f>
        <v>0</v>
      </c>
      <c r="G22" s="21">
        <f>IF(G$4="x",'Symptomen (alle, 3,2,1)'!G17,0)</f>
        <v>0</v>
      </c>
      <c r="H22" s="21">
        <f>IF(H$4="x",'Symptomen (alle, 3,2,1)'!H17,0)</f>
        <v>0</v>
      </c>
      <c r="I22" s="21">
        <f>IF(I$4="x",'Symptomen (alle, 3,2,1)'!I17,0)</f>
        <v>1</v>
      </c>
      <c r="J22" s="21">
        <f>IF(J$4="x",'Symptomen (alle, 3,2,1)'!J17,0)</f>
        <v>0</v>
      </c>
      <c r="K22" s="21">
        <f>IF(K$4="x",'Symptomen (alle, 3,2,1)'!K17,0)</f>
        <v>0</v>
      </c>
      <c r="L22" s="21">
        <f>IF(L$4="x",'Symptomen (alle, 3,2,1)'!L17,0)</f>
        <v>0</v>
      </c>
      <c r="M22" s="21">
        <f>IF(M$4="x",'Symptomen (alle, 3,2,1)'!M17,0)</f>
        <v>0</v>
      </c>
      <c r="N22" s="21">
        <f>IF(N$4="x",'Symptomen (alle, 3,2,1)'!N17,0)</f>
        <v>0</v>
      </c>
      <c r="O22" s="21">
        <f>IF(O$4="x",'Symptomen (alle, 3,2,1)'!O17,0)</f>
        <v>0</v>
      </c>
      <c r="P22" s="21">
        <f>IF(P$4="x",'Symptomen (alle, 3,2,1)'!P17,0)</f>
        <v>0</v>
      </c>
      <c r="Q22" s="21">
        <f>IF(Q$4="x",'Symptomen (alle, 3,2,1)'!Q17,0)</f>
        <v>0</v>
      </c>
      <c r="R22" s="21">
        <f>IF(R$4="x",'Symptomen (alle, 3,2,1)'!R17,0)</f>
        <v>0</v>
      </c>
      <c r="S22" s="21">
        <f>IF(S$4="x",'Symptomen (alle, 3,2,1)'!S17,0)</f>
        <v>0</v>
      </c>
      <c r="T22" s="21">
        <f>IF(T$4="x",'Symptomen (alle, 3,2,1)'!T17,0)</f>
        <v>0</v>
      </c>
      <c r="U22" s="21">
        <f>IF(U$4="x",'Symptomen (alle, 3,2,1)'!U17,0)</f>
        <v>0</v>
      </c>
      <c r="V22" s="21">
        <f>IF(V$4="x",'Symptomen (alle, 3,2,1)'!V17,0)</f>
        <v>0</v>
      </c>
      <c r="W22" s="21">
        <f>IF(W$4="x",'Symptomen (alle, 3,2,1)'!W17,0)</f>
        <v>0</v>
      </c>
      <c r="X22" s="21">
        <f>IF(X$4="x",'Symptomen (alle, 3,2,1)'!X17,0)</f>
        <v>0</v>
      </c>
      <c r="Y22" s="21">
        <f>IF(Y$4="x",'Symptomen (alle, 3,2,1)'!Y17,0)</f>
        <v>0</v>
      </c>
      <c r="Z22" s="21">
        <f>IF(Z$4="x",'Symptomen (alle, 3,2,1)'!Z17,0)</f>
        <v>0</v>
      </c>
      <c r="AA22" s="21">
        <f>IF(AA$4="x",'Symptomen (alle, 3,2,1)'!AA17,0)</f>
        <v>0</v>
      </c>
      <c r="AB22" s="21">
        <f>IF(AB$4="x",'Symptomen (alle, 3,2,1)'!AB17,0)</f>
        <v>0</v>
      </c>
      <c r="AC22" s="21">
        <f>IF(AC$4="x",'Symptomen (alle, 3,2,1)'!AC17,0)</f>
        <v>0</v>
      </c>
      <c r="AD22" s="21">
        <f t="shared" si="0"/>
        <v>1</v>
      </c>
      <c r="AE22" s="21">
        <f>HLOOKUP($B$4,ZiekteFam!$B$1:$T$32,AF22,FALSE)</f>
        <v>3</v>
      </c>
      <c r="AF22" s="32">
        <f t="shared" si="1"/>
        <v>17</v>
      </c>
      <c r="AG22" s="32">
        <f>SUM('Symptomen (alle)'!D17:AC17)</f>
        <v>28</v>
      </c>
      <c r="AH22" s="22">
        <f>Tabel4[[#This Row],[Kolom25]]/Tabel4[[#This Row],[Kolom28]]</f>
        <v>3.5714285714285712E-2</v>
      </c>
      <c r="AI22" s="22">
        <f>Tabel42[[#This Row],[Kolom29]]</f>
        <v>7.1428571428571425E-2</v>
      </c>
      <c r="AJ22" s="36">
        <f>_xlfn.RANK.EQ(Tabel4[[#This Row],[Kolom29]],$AH$7:$AH$36)</f>
        <v>19</v>
      </c>
      <c r="AK22" s="36">
        <f>_xlfn.RANK.EQ(Tabel4[[#This Row],[Kolom294]],$AI$7:$AI$36)</f>
        <v>19</v>
      </c>
      <c r="AL22" s="22">
        <f>Tabel4[[#This Row],[Kolom29]]</f>
        <v>3.5714285714285712E-2</v>
      </c>
      <c r="AM22" s="23"/>
    </row>
    <row r="23" spans="1:39">
      <c r="B23" s="21" t="str">
        <f>'Symptomen (alle)'!A18</f>
        <v>False Fungal Parasites (Stalked ciliates)</v>
      </c>
      <c r="C23" s="34" t="str">
        <f>'Symptomen (alle)'!C18</f>
        <v>x</v>
      </c>
      <c r="D23" s="21">
        <f>IF(D$4="x",'Symptomen (alle, 3,2,1)'!D18,0)</f>
        <v>0</v>
      </c>
      <c r="E23" s="21">
        <f>IF(E$4="x",'Symptomen (alle, 3,2,1)'!E18,0)</f>
        <v>0</v>
      </c>
      <c r="F23" s="21">
        <f>IF(F$4="x",'Symptomen (alle, 3,2,1)'!F18,0)</f>
        <v>0</v>
      </c>
      <c r="G23" s="21">
        <f>IF(G$4="x",'Symptomen (alle, 3,2,1)'!G18,0)</f>
        <v>0</v>
      </c>
      <c r="H23" s="21">
        <f>IF(H$4="x",'Symptomen (alle, 3,2,1)'!H18,0)</f>
        <v>0</v>
      </c>
      <c r="I23" s="21">
        <f>IF(I$4="x",'Symptomen (alle, 3,2,1)'!I18,0)</f>
        <v>1</v>
      </c>
      <c r="J23" s="21">
        <f>IF(J$4="x",'Symptomen (alle, 3,2,1)'!J18,0)</f>
        <v>0</v>
      </c>
      <c r="K23" s="21">
        <f>IF(K$4="x",'Symptomen (alle, 3,2,1)'!K18,0)</f>
        <v>0</v>
      </c>
      <c r="L23" s="21">
        <f>IF(L$4="x",'Symptomen (alle, 3,2,1)'!L18,0)</f>
        <v>0</v>
      </c>
      <c r="M23" s="21">
        <f>IF(M$4="x",'Symptomen (alle, 3,2,1)'!M18,0)</f>
        <v>0</v>
      </c>
      <c r="N23" s="21">
        <f>IF(N$4="x",'Symptomen (alle, 3,2,1)'!N18,0)</f>
        <v>0</v>
      </c>
      <c r="O23" s="21">
        <f>IF(O$4="x",'Symptomen (alle, 3,2,1)'!O18,0)</f>
        <v>0</v>
      </c>
      <c r="P23" s="21">
        <f>IF(P$4="x",'Symptomen (alle, 3,2,1)'!P18,0)</f>
        <v>0</v>
      </c>
      <c r="Q23" s="21">
        <f>IF(Q$4="x",'Symptomen (alle, 3,2,1)'!Q18,0)</f>
        <v>0</v>
      </c>
      <c r="R23" s="21">
        <f>IF(R$4="x",'Symptomen (alle, 3,2,1)'!R18,0)</f>
        <v>0</v>
      </c>
      <c r="S23" s="21">
        <f>IF(S$4="x",'Symptomen (alle, 3,2,1)'!S18,0)</f>
        <v>0</v>
      </c>
      <c r="T23" s="21">
        <f>IF(T$4="x",'Symptomen (alle, 3,2,1)'!T18,0)</f>
        <v>0</v>
      </c>
      <c r="U23" s="21">
        <f>IF(U$4="x",'Symptomen (alle, 3,2,1)'!U18,0)</f>
        <v>0</v>
      </c>
      <c r="V23" s="21">
        <f>IF(V$4="x",'Symptomen (alle, 3,2,1)'!V18,0)</f>
        <v>0</v>
      </c>
      <c r="W23" s="21">
        <f>IF(W$4="x",'Symptomen (alle, 3,2,1)'!W18,0)</f>
        <v>0</v>
      </c>
      <c r="X23" s="21">
        <f>IF(X$4="x",'Symptomen (alle, 3,2,1)'!X18,0)</f>
        <v>0</v>
      </c>
      <c r="Y23" s="21">
        <f>IF(Y$4="x",'Symptomen (alle, 3,2,1)'!Y18,0)</f>
        <v>0</v>
      </c>
      <c r="Z23" s="21">
        <f>IF(Z$4="x",'Symptomen (alle, 3,2,1)'!Z18,0)</f>
        <v>0</v>
      </c>
      <c r="AA23" s="21">
        <f>IF(AA$4="x",'Symptomen (alle, 3,2,1)'!AA18,0)</f>
        <v>0</v>
      </c>
      <c r="AB23" s="21">
        <f>IF(AB$4="x",'Symptomen (alle, 3,2,1)'!AB18,0)</f>
        <v>0</v>
      </c>
      <c r="AC23" s="21">
        <f>IF(AC$4="x",'Symptomen (alle, 3,2,1)'!AC18,0)</f>
        <v>0</v>
      </c>
      <c r="AD23" s="21">
        <f t="shared" si="0"/>
        <v>1</v>
      </c>
      <c r="AE23" s="21">
        <f>HLOOKUP($B$4,ZiekteFam!$B$1:$T$32,AF23,FALSE)</f>
        <v>0</v>
      </c>
      <c r="AF23" s="32">
        <f t="shared" si="1"/>
        <v>18</v>
      </c>
      <c r="AG23" s="32">
        <f>SUM('Symptomen (alle)'!D18:AC18)</f>
        <v>28</v>
      </c>
      <c r="AH23" s="22">
        <f>Tabel4[[#This Row],[Kolom25]]/Tabel4[[#This Row],[Kolom28]]</f>
        <v>3.5714285714285712E-2</v>
      </c>
      <c r="AI23" s="22">
        <f>Tabel42[[#This Row],[Kolom29]]</f>
        <v>3.5714285714285712E-2</v>
      </c>
      <c r="AJ23" s="36">
        <f>_xlfn.RANK.EQ(Tabel4[[#This Row],[Kolom29]],$AH$7:$AH$36)</f>
        <v>19</v>
      </c>
      <c r="AK23" s="36">
        <f>_xlfn.RANK.EQ(Tabel4[[#This Row],[Kolom294]],$AI$7:$AI$36)</f>
        <v>24</v>
      </c>
      <c r="AL23" s="22">
        <f>Tabel4[[#This Row],[Kolom29]]</f>
        <v>3.5714285714285712E-2</v>
      </c>
      <c r="AM23" s="23"/>
    </row>
    <row r="24" spans="1:39">
      <c r="B24" s="21" t="str">
        <f>'Symptomen (alle)'!A19</f>
        <v>Sporozoa parasites</v>
      </c>
      <c r="C24" s="34">
        <f>'Symptomen (alle)'!C19</f>
        <v>0</v>
      </c>
      <c r="D24" s="21">
        <f>IF(D$4="x",'Symptomen (alle, 3,2,1)'!D19,0)</f>
        <v>0</v>
      </c>
      <c r="E24" s="21">
        <f>IF(E$4="x",'Symptomen (alle, 3,2,1)'!E19,0)</f>
        <v>0</v>
      </c>
      <c r="F24" s="21">
        <f>IF(F$4="x",'Symptomen (alle, 3,2,1)'!F19,0)</f>
        <v>0</v>
      </c>
      <c r="G24" s="21">
        <f>IF(G$4="x",'Symptomen (alle, 3,2,1)'!G19,0)</f>
        <v>0</v>
      </c>
      <c r="H24" s="21">
        <f>IF(H$4="x",'Symptomen (alle, 3,2,1)'!H19,0)</f>
        <v>0</v>
      </c>
      <c r="I24" s="21">
        <f>IF(I$4="x",'Symptomen (alle, 3,2,1)'!I19,0)</f>
        <v>2</v>
      </c>
      <c r="J24" s="21">
        <f>IF(J$4="x",'Symptomen (alle, 3,2,1)'!J19,0)</f>
        <v>0</v>
      </c>
      <c r="K24" s="21">
        <f>IF(K$4="x",'Symptomen (alle, 3,2,1)'!K19,0)</f>
        <v>0</v>
      </c>
      <c r="L24" s="21">
        <f>IF(L$4="x",'Symptomen (alle, 3,2,1)'!L19,0)</f>
        <v>0</v>
      </c>
      <c r="M24" s="21">
        <f>IF(M$4="x",'Symptomen (alle, 3,2,1)'!M19,0)</f>
        <v>0</v>
      </c>
      <c r="N24" s="21">
        <f>IF(N$4="x",'Symptomen (alle, 3,2,1)'!N19,0)</f>
        <v>0</v>
      </c>
      <c r="O24" s="21">
        <f>IF(O$4="x",'Symptomen (alle, 3,2,1)'!O19,0)</f>
        <v>0</v>
      </c>
      <c r="P24" s="21">
        <f>IF(P$4="x",'Symptomen (alle, 3,2,1)'!P19,0)</f>
        <v>0</v>
      </c>
      <c r="Q24" s="21">
        <f>IF(Q$4="x",'Symptomen (alle, 3,2,1)'!Q19,0)</f>
        <v>0</v>
      </c>
      <c r="R24" s="21">
        <f>IF(R$4="x",'Symptomen (alle, 3,2,1)'!R19,0)</f>
        <v>0</v>
      </c>
      <c r="S24" s="21">
        <f>IF(S$4="x",'Symptomen (alle, 3,2,1)'!S19,0)</f>
        <v>0</v>
      </c>
      <c r="T24" s="21">
        <f>IF(T$4="x",'Symptomen (alle, 3,2,1)'!T19,0)</f>
        <v>0</v>
      </c>
      <c r="U24" s="21">
        <f>IF(U$4="x",'Symptomen (alle, 3,2,1)'!U19,0)</f>
        <v>0</v>
      </c>
      <c r="V24" s="21">
        <f>IF(V$4="x",'Symptomen (alle, 3,2,1)'!V19,0)</f>
        <v>0</v>
      </c>
      <c r="W24" s="21">
        <f>IF(W$4="x",'Symptomen (alle, 3,2,1)'!W19,0)</f>
        <v>0</v>
      </c>
      <c r="X24" s="21">
        <f>IF(X$4="x",'Symptomen (alle, 3,2,1)'!X19,0)</f>
        <v>0</v>
      </c>
      <c r="Y24" s="21">
        <f>IF(Y$4="x",'Symptomen (alle, 3,2,1)'!Y19,0)</f>
        <v>0</v>
      </c>
      <c r="Z24" s="21">
        <f>IF(Z$4="x",'Symptomen (alle, 3,2,1)'!Z19,0)</f>
        <v>0</v>
      </c>
      <c r="AA24" s="21">
        <f>IF(AA$4="x",'Symptomen (alle, 3,2,1)'!AA19,0)</f>
        <v>0</v>
      </c>
      <c r="AB24" s="21">
        <f>IF(AB$4="x",'Symptomen (alle, 3,2,1)'!AB19,0)</f>
        <v>0</v>
      </c>
      <c r="AC24" s="21">
        <f>IF(AC$4="x",'Symptomen (alle, 3,2,1)'!AC19,0)</f>
        <v>0</v>
      </c>
      <c r="AD24" s="21">
        <f t="shared" si="0"/>
        <v>2</v>
      </c>
      <c r="AE24" s="21">
        <f>HLOOKUP($B$4,ZiekteFam!$B$1:$T$32,AF24,FALSE)</f>
        <v>0</v>
      </c>
      <c r="AF24" s="32">
        <f t="shared" si="1"/>
        <v>19</v>
      </c>
      <c r="AG24" s="32">
        <f>SUM('Symptomen (alle)'!D19:AC19)</f>
        <v>18</v>
      </c>
      <c r="AH24" s="22">
        <f>Tabel4[[#This Row],[Kolom25]]/Tabel4[[#This Row],[Kolom28]]</f>
        <v>0.1111111111111111</v>
      </c>
      <c r="AI24" s="22">
        <f>Tabel42[[#This Row],[Kolom29]]</f>
        <v>0.16666666666666666</v>
      </c>
      <c r="AJ24" s="36">
        <f>_xlfn.RANK.EQ(Tabel4[[#This Row],[Kolom29]],$AH$7:$AH$36)</f>
        <v>10</v>
      </c>
      <c r="AK24" s="36">
        <f>_xlfn.RANK.EQ(Tabel4[[#This Row],[Kolom294]],$AI$7:$AI$36)</f>
        <v>11</v>
      </c>
      <c r="AL24" s="22">
        <f>Tabel4[[#This Row],[Kolom29]]</f>
        <v>0.1111111111111111</v>
      </c>
      <c r="AM24" s="23"/>
    </row>
    <row r="25" spans="1:39">
      <c r="B25" s="21" t="str">
        <f>'Symptomen (alle)'!A20</f>
        <v>Plistophora (real Neon disease)</v>
      </c>
      <c r="C25" s="34">
        <f>'Symptomen (alle)'!C20</f>
        <v>0</v>
      </c>
      <c r="D25" s="21">
        <f>IF(D$4="x",'Symptomen (alle, 3,2,1)'!D20,0)</f>
        <v>0</v>
      </c>
      <c r="E25" s="21">
        <f>IF(E$4="x",'Symptomen (alle, 3,2,1)'!E20,0)</f>
        <v>0</v>
      </c>
      <c r="F25" s="21">
        <f>IF(F$4="x",'Symptomen (alle, 3,2,1)'!F20,0)</f>
        <v>0</v>
      </c>
      <c r="G25" s="21">
        <f>IF(G$4="x",'Symptomen (alle, 3,2,1)'!G20,0)</f>
        <v>0</v>
      </c>
      <c r="H25" s="21">
        <f>IF(H$4="x",'Symptomen (alle, 3,2,1)'!H20,0)</f>
        <v>0</v>
      </c>
      <c r="I25" s="21">
        <f>IF(I$4="x",'Symptomen (alle, 3,2,1)'!I20,0)</f>
        <v>3</v>
      </c>
      <c r="J25" s="21">
        <f>IF(J$4="x",'Symptomen (alle, 3,2,1)'!J20,0)</f>
        <v>0</v>
      </c>
      <c r="K25" s="21">
        <f>IF(K$4="x",'Symptomen (alle, 3,2,1)'!K20,0)</f>
        <v>0</v>
      </c>
      <c r="L25" s="21">
        <f>IF(L$4="x",'Symptomen (alle, 3,2,1)'!L20,0)</f>
        <v>0</v>
      </c>
      <c r="M25" s="21">
        <f>IF(M$4="x",'Symptomen (alle, 3,2,1)'!M20,0)</f>
        <v>0</v>
      </c>
      <c r="N25" s="21">
        <f>IF(N$4="x",'Symptomen (alle, 3,2,1)'!N20,0)</f>
        <v>0</v>
      </c>
      <c r="O25" s="21">
        <f>IF(O$4="x",'Symptomen (alle, 3,2,1)'!O20,0)</f>
        <v>0</v>
      </c>
      <c r="P25" s="21">
        <f>IF(P$4="x",'Symptomen (alle, 3,2,1)'!P20,0)</f>
        <v>0</v>
      </c>
      <c r="Q25" s="21">
        <f>IF(Q$4="x",'Symptomen (alle, 3,2,1)'!Q20,0)</f>
        <v>0</v>
      </c>
      <c r="R25" s="21">
        <f>IF(R$4="x",'Symptomen (alle, 3,2,1)'!R20,0)</f>
        <v>0</v>
      </c>
      <c r="S25" s="21">
        <f>IF(S$4="x",'Symptomen (alle, 3,2,1)'!S20,0)</f>
        <v>0</v>
      </c>
      <c r="T25" s="21">
        <f>IF(T$4="x",'Symptomen (alle, 3,2,1)'!T20,0)</f>
        <v>0</v>
      </c>
      <c r="U25" s="21">
        <f>IF(U$4="x",'Symptomen (alle, 3,2,1)'!U20,0)</f>
        <v>0</v>
      </c>
      <c r="V25" s="21">
        <f>IF(V$4="x",'Symptomen (alle, 3,2,1)'!V20,0)</f>
        <v>0</v>
      </c>
      <c r="W25" s="21">
        <f>IF(W$4="x",'Symptomen (alle, 3,2,1)'!W20,0)</f>
        <v>0</v>
      </c>
      <c r="X25" s="21">
        <f>IF(X$4="x",'Symptomen (alle, 3,2,1)'!X20,0)</f>
        <v>0</v>
      </c>
      <c r="Y25" s="21">
        <f>IF(Y$4="x",'Symptomen (alle, 3,2,1)'!Y20,0)</f>
        <v>0</v>
      </c>
      <c r="Z25" s="21">
        <f>IF(Z$4="x",'Symptomen (alle, 3,2,1)'!Z20,0)</f>
        <v>0</v>
      </c>
      <c r="AA25" s="21">
        <f>IF(AA$4="x",'Symptomen (alle, 3,2,1)'!AA20,0)</f>
        <v>0</v>
      </c>
      <c r="AB25" s="21">
        <f>IF(AB$4="x",'Symptomen (alle, 3,2,1)'!AB20,0)</f>
        <v>0</v>
      </c>
      <c r="AC25" s="21">
        <f>IF(AC$4="x",'Symptomen (alle, 3,2,1)'!AC20,0)</f>
        <v>0</v>
      </c>
      <c r="AD25" s="21">
        <f t="shared" si="0"/>
        <v>3</v>
      </c>
      <c r="AE25" s="21">
        <f>HLOOKUP($B$4,ZiekteFam!$B$1:$T$32,AF25,FALSE)</f>
        <v>0</v>
      </c>
      <c r="AF25" s="32">
        <f t="shared" si="1"/>
        <v>20</v>
      </c>
      <c r="AG25" s="32">
        <f>SUM('Symptomen (alle)'!D20:AC20)</f>
        <v>14</v>
      </c>
      <c r="AH25" s="22">
        <f>Tabel4[[#This Row],[Kolom25]]/Tabel4[[#This Row],[Kolom28]]</f>
        <v>0.21428571428571427</v>
      </c>
      <c r="AI25" s="22">
        <f>Tabel42[[#This Row],[Kolom29]]</f>
        <v>0.7142857142857143</v>
      </c>
      <c r="AJ25" s="36">
        <f>_xlfn.RANK.EQ(Tabel4[[#This Row],[Kolom29]],$AH$7:$AH$36)</f>
        <v>1</v>
      </c>
      <c r="AK25" s="36">
        <f>_xlfn.RANK.EQ(Tabel4[[#This Row],[Kolom294]],$AI$7:$AI$36)</f>
        <v>1</v>
      </c>
      <c r="AL25" s="22">
        <f>Tabel4[[#This Row],[Kolom29]]</f>
        <v>0.21428571428571427</v>
      </c>
      <c r="AM25" s="23"/>
    </row>
    <row r="26" spans="1:39">
      <c r="B26" s="21" t="str">
        <f>'Symptomen (alle)'!A21</f>
        <v>Columnaris/Flavobacteria (also: false neon disease)</v>
      </c>
      <c r="C26" s="34">
        <f>'Symptomen (alle)'!C21</f>
        <v>0</v>
      </c>
      <c r="D26" s="21">
        <f>IF(D$4="x",'Symptomen (alle, 3,2,1)'!D21,0)</f>
        <v>0</v>
      </c>
      <c r="E26" s="21">
        <f>IF(E$4="x",'Symptomen (alle, 3,2,1)'!E21,0)</f>
        <v>0</v>
      </c>
      <c r="F26" s="21">
        <f>IF(F$4="x",'Symptomen (alle, 3,2,1)'!F21,0)</f>
        <v>0</v>
      </c>
      <c r="G26" s="21">
        <f>IF(G$4="x",'Symptomen (alle, 3,2,1)'!G21,0)</f>
        <v>0</v>
      </c>
      <c r="H26" s="21">
        <f>IF(H$4="x",'Symptomen (alle, 3,2,1)'!H21,0)</f>
        <v>0</v>
      </c>
      <c r="I26" s="21">
        <f>IF(I$4="x",'Symptomen (alle, 3,2,1)'!I21,0)</f>
        <v>3</v>
      </c>
      <c r="J26" s="21">
        <f>IF(J$4="x",'Symptomen (alle, 3,2,1)'!J21,0)</f>
        <v>0</v>
      </c>
      <c r="K26" s="21">
        <f>IF(K$4="x",'Symptomen (alle, 3,2,1)'!K21,0)</f>
        <v>0</v>
      </c>
      <c r="L26" s="21">
        <f>IF(L$4="x",'Symptomen (alle, 3,2,1)'!L21,0)</f>
        <v>0</v>
      </c>
      <c r="M26" s="21">
        <f>IF(M$4="x",'Symptomen (alle, 3,2,1)'!M21,0)</f>
        <v>0</v>
      </c>
      <c r="N26" s="21">
        <f>IF(N$4="x",'Symptomen (alle, 3,2,1)'!N21,0)</f>
        <v>0</v>
      </c>
      <c r="O26" s="21">
        <f>IF(O$4="x",'Symptomen (alle, 3,2,1)'!O21,0)</f>
        <v>0</v>
      </c>
      <c r="P26" s="21">
        <f>IF(P$4="x",'Symptomen (alle, 3,2,1)'!P21,0)</f>
        <v>0</v>
      </c>
      <c r="Q26" s="21">
        <f>IF(Q$4="x",'Symptomen (alle, 3,2,1)'!Q21,0)</f>
        <v>0</v>
      </c>
      <c r="R26" s="21">
        <f>IF(R$4="x",'Symptomen (alle, 3,2,1)'!R21,0)</f>
        <v>0</v>
      </c>
      <c r="S26" s="21">
        <f>IF(S$4="x",'Symptomen (alle, 3,2,1)'!S21,0)</f>
        <v>1</v>
      </c>
      <c r="T26" s="21">
        <f>IF(T$4="x",'Symptomen (alle, 3,2,1)'!T21,0)</f>
        <v>0</v>
      </c>
      <c r="U26" s="21">
        <f>IF(U$4="x",'Symptomen (alle, 3,2,1)'!U21,0)</f>
        <v>0</v>
      </c>
      <c r="V26" s="21">
        <f>IF(V$4="x",'Symptomen (alle, 3,2,1)'!V21,0)</f>
        <v>1</v>
      </c>
      <c r="W26" s="21">
        <f>IF(W$4="x",'Symptomen (alle, 3,2,1)'!W21,0)</f>
        <v>0</v>
      </c>
      <c r="X26" s="21">
        <f>IF(X$4="x",'Symptomen (alle, 3,2,1)'!X21,0)</f>
        <v>0</v>
      </c>
      <c r="Y26" s="21">
        <f>IF(Y$4="x",'Symptomen (alle, 3,2,1)'!Y21,0)</f>
        <v>0</v>
      </c>
      <c r="Z26" s="21">
        <f>IF(Z$4="x",'Symptomen (alle, 3,2,1)'!Z21,0)</f>
        <v>0</v>
      </c>
      <c r="AA26" s="21">
        <f>IF(AA$4="x",'Symptomen (alle, 3,2,1)'!AA21,0)</f>
        <v>0</v>
      </c>
      <c r="AB26" s="21">
        <f>IF(AB$4="x",'Symptomen (alle, 3,2,1)'!AB21,0)</f>
        <v>0</v>
      </c>
      <c r="AC26" s="21">
        <f>IF(AC$4="x",'Symptomen (alle, 3,2,1)'!AC21,0)</f>
        <v>0</v>
      </c>
      <c r="AD26" s="21">
        <f t="shared" si="0"/>
        <v>5</v>
      </c>
      <c r="AE26" s="21">
        <f>HLOOKUP($B$4,ZiekteFam!$B$1:$T$32,AF26,FALSE)</f>
        <v>3</v>
      </c>
      <c r="AF26" s="32">
        <f t="shared" si="1"/>
        <v>21</v>
      </c>
      <c r="AG26" s="32">
        <f>SUM('Symptomen (alle)'!D21:AC21)</f>
        <v>66</v>
      </c>
      <c r="AH26" s="22">
        <f>Tabel4[[#This Row],[Kolom25]]/Tabel4[[#This Row],[Kolom28]]</f>
        <v>7.575757575757576E-2</v>
      </c>
      <c r="AI26" s="22">
        <f>Tabel42[[#This Row],[Kolom29]]</f>
        <v>0.18181818181818182</v>
      </c>
      <c r="AJ26" s="36">
        <f>_xlfn.RANK.EQ(Tabel4[[#This Row],[Kolom29]],$AH$7:$AH$36)</f>
        <v>14</v>
      </c>
      <c r="AK26" s="36">
        <f>_xlfn.RANK.EQ(Tabel4[[#This Row],[Kolom294]],$AI$7:$AI$36)</f>
        <v>9</v>
      </c>
      <c r="AL26" s="22">
        <f>Tabel4[[#This Row],[Kolom29]]</f>
        <v>7.575757575757576E-2</v>
      </c>
      <c r="AM26" s="23"/>
    </row>
    <row r="27" spans="1:39">
      <c r="B27" s="21" t="str">
        <f>'Symptomen (alle)'!A22</f>
        <v xml:space="preserve">Dropsy/Septicaemia/Ascites </v>
      </c>
      <c r="C27" s="34">
        <f>'Symptomen (alle)'!C22</f>
        <v>0</v>
      </c>
      <c r="D27" s="21">
        <f>IF(D$4="x",'Symptomen (alle, 3,2,1)'!D22,0)</f>
        <v>0</v>
      </c>
      <c r="E27" s="21">
        <f>IF(E$4="x",'Symptomen (alle, 3,2,1)'!E22,0)</f>
        <v>0</v>
      </c>
      <c r="F27" s="21">
        <f>IF(F$4="x",'Symptomen (alle, 3,2,1)'!F22,0)</f>
        <v>0</v>
      </c>
      <c r="G27" s="21">
        <f>IF(G$4="x",'Symptomen (alle, 3,2,1)'!G22,0)</f>
        <v>0</v>
      </c>
      <c r="H27" s="21">
        <f>IF(H$4="x",'Symptomen (alle, 3,2,1)'!H22,0)</f>
        <v>0</v>
      </c>
      <c r="I27" s="21">
        <f>IF(I$4="x",'Symptomen (alle, 3,2,1)'!I22,0)</f>
        <v>1</v>
      </c>
      <c r="J27" s="21">
        <f>IF(J$4="x",'Symptomen (alle, 3,2,1)'!J22,0)</f>
        <v>0</v>
      </c>
      <c r="K27" s="21">
        <f>IF(K$4="x",'Symptomen (alle, 3,2,1)'!K22,0)</f>
        <v>0</v>
      </c>
      <c r="L27" s="21">
        <f>IF(L$4="x",'Symptomen (alle, 3,2,1)'!L22,0)</f>
        <v>0</v>
      </c>
      <c r="M27" s="21">
        <f>IF(M$4="x",'Symptomen (alle, 3,2,1)'!M22,0)</f>
        <v>0</v>
      </c>
      <c r="N27" s="21">
        <f>IF(N$4="x",'Symptomen (alle, 3,2,1)'!N22,0)</f>
        <v>0</v>
      </c>
      <c r="O27" s="21">
        <f>IF(O$4="x",'Symptomen (alle, 3,2,1)'!O22,0)</f>
        <v>0</v>
      </c>
      <c r="P27" s="21">
        <f>IF(P$4="x",'Symptomen (alle, 3,2,1)'!P22,0)</f>
        <v>0</v>
      </c>
      <c r="Q27" s="21">
        <f>IF(Q$4="x",'Symptomen (alle, 3,2,1)'!Q22,0)</f>
        <v>0</v>
      </c>
      <c r="R27" s="21">
        <f>IF(R$4="x",'Symptomen (alle, 3,2,1)'!R22,0)</f>
        <v>0</v>
      </c>
      <c r="S27" s="21">
        <f>IF(S$4="x",'Symptomen (alle, 3,2,1)'!S22,0)</f>
        <v>0</v>
      </c>
      <c r="T27" s="21">
        <f>IF(T$4="x",'Symptomen (alle, 3,2,1)'!T22,0)</f>
        <v>0</v>
      </c>
      <c r="U27" s="21">
        <f>IF(U$4="x",'Symptomen (alle, 3,2,1)'!U22,0)</f>
        <v>0</v>
      </c>
      <c r="V27" s="21">
        <f>IF(V$4="x",'Symptomen (alle, 3,2,1)'!V22,0)</f>
        <v>0</v>
      </c>
      <c r="W27" s="21">
        <f>IF(W$4="x",'Symptomen (alle, 3,2,1)'!W22,0)</f>
        <v>0</v>
      </c>
      <c r="X27" s="21">
        <f>IF(X$4="x",'Symptomen (alle, 3,2,1)'!X22,0)</f>
        <v>0</v>
      </c>
      <c r="Y27" s="21">
        <f>IF(Y$4="x",'Symptomen (alle, 3,2,1)'!Y22,0)</f>
        <v>0</v>
      </c>
      <c r="Z27" s="21">
        <f>IF(Z$4="x",'Symptomen (alle, 3,2,1)'!Z22,0)</f>
        <v>0</v>
      </c>
      <c r="AA27" s="21">
        <f>IF(AA$4="x",'Symptomen (alle, 3,2,1)'!AA22,0)</f>
        <v>0</v>
      </c>
      <c r="AB27" s="21">
        <f>IF(AB$4="x",'Symptomen (alle, 3,2,1)'!AB22,0)</f>
        <v>0</v>
      </c>
      <c r="AC27" s="21">
        <f>IF(AC$4="x",'Symptomen (alle, 3,2,1)'!AC22,0)</f>
        <v>0</v>
      </c>
      <c r="AD27" s="21">
        <f t="shared" si="0"/>
        <v>1</v>
      </c>
      <c r="AE27" s="21">
        <f>HLOOKUP($B$4,ZiekteFam!$B$1:$T$32,AF27,FALSE)</f>
        <v>3</v>
      </c>
      <c r="AF27" s="32">
        <f t="shared" si="1"/>
        <v>22</v>
      </c>
      <c r="AG27" s="32">
        <f>SUM('Symptomen (alle)'!D22:AC22)</f>
        <v>44</v>
      </c>
      <c r="AH27" s="22">
        <f>Tabel4[[#This Row],[Kolom25]]/Tabel4[[#This Row],[Kolom28]]</f>
        <v>2.2727272727272728E-2</v>
      </c>
      <c r="AI27" s="22">
        <f>Tabel42[[#This Row],[Kolom29]]</f>
        <v>2.2727272727272728E-2</v>
      </c>
      <c r="AJ27" s="36">
        <f>_xlfn.RANK.EQ(Tabel4[[#This Row],[Kolom29]],$AH$7:$AH$36)</f>
        <v>23</v>
      </c>
      <c r="AK27" s="36">
        <f>_xlfn.RANK.EQ(Tabel4[[#This Row],[Kolom294]],$AI$7:$AI$36)</f>
        <v>25</v>
      </c>
      <c r="AL27" s="22">
        <f>Tabel4[[#This Row],[Kolom29]]</f>
        <v>2.2727272727272728E-2</v>
      </c>
      <c r="AM27" s="23"/>
    </row>
    <row r="28" spans="1:39">
      <c r="A28" s="61"/>
      <c r="B28" s="59" t="str">
        <f>'Symptomen (alle)'!A23</f>
        <v>Mycobacteria, Fish tuberculosis, TB, FishTB, FishMB</v>
      </c>
      <c r="C28" s="82">
        <f>'Symptomen (alle)'!C23</f>
        <v>0</v>
      </c>
      <c r="D28" s="21">
        <f>IF(D$4="x",'Symptomen (alle, 3,2,1)'!D23,0)</f>
        <v>0</v>
      </c>
      <c r="E28" s="21">
        <f>IF(E$4="x",'Symptomen (alle, 3,2,1)'!E23,0)</f>
        <v>0</v>
      </c>
      <c r="F28" s="21">
        <f>IF(F$4="x",'Symptomen (alle, 3,2,1)'!F23,0)</f>
        <v>0</v>
      </c>
      <c r="G28" s="21">
        <f>IF(G$4="x",'Symptomen (alle, 3,2,1)'!G23,0)</f>
        <v>0</v>
      </c>
      <c r="H28" s="21">
        <f>IF(H$4="x",'Symptomen (alle, 3,2,1)'!H23,0)</f>
        <v>0</v>
      </c>
      <c r="I28" s="21">
        <f>IF(I$4="x",'Symptomen (alle, 3,2,1)'!I23,0)</f>
        <v>1</v>
      </c>
      <c r="J28" s="21">
        <f>IF(J$4="x",'Symptomen (alle, 3,2,1)'!J23,0)</f>
        <v>0</v>
      </c>
      <c r="K28" s="21">
        <f>IF(K$4="x",'Symptomen (alle, 3,2,1)'!K23,0)</f>
        <v>0</v>
      </c>
      <c r="L28" s="21">
        <f>IF(L$4="x",'Symptomen (alle, 3,2,1)'!L23,0)</f>
        <v>0</v>
      </c>
      <c r="M28" s="21">
        <f>IF(M$4="x",'Symptomen (alle, 3,2,1)'!M23,0)</f>
        <v>0</v>
      </c>
      <c r="N28" s="21">
        <f>IF(N$4="x",'Symptomen (alle, 3,2,1)'!N23,0)</f>
        <v>0</v>
      </c>
      <c r="O28" s="21">
        <f>IF(O$4="x",'Symptomen (alle, 3,2,1)'!O23,0)</f>
        <v>0</v>
      </c>
      <c r="P28" s="21">
        <f>IF(P$4="x",'Symptomen (alle, 3,2,1)'!P23,0)</f>
        <v>0</v>
      </c>
      <c r="Q28" s="21">
        <f>IF(Q$4="x",'Symptomen (alle, 3,2,1)'!Q23,0)</f>
        <v>0</v>
      </c>
      <c r="R28" s="21">
        <f>IF(R$4="x",'Symptomen (alle, 3,2,1)'!R23,0)</f>
        <v>0</v>
      </c>
      <c r="S28" s="21">
        <f>IF(S$4="x",'Symptomen (alle, 3,2,1)'!S23,0)</f>
        <v>0</v>
      </c>
      <c r="T28" s="21">
        <f>IF(T$4="x",'Symptomen (alle, 3,2,1)'!T23,0)</f>
        <v>0</v>
      </c>
      <c r="U28" s="21">
        <f>IF(U$4="x",'Symptomen (alle, 3,2,1)'!U23,0)</f>
        <v>0</v>
      </c>
      <c r="V28" s="21">
        <f>IF(V$4="x",'Symptomen (alle, 3,2,1)'!V23,0)</f>
        <v>0</v>
      </c>
      <c r="W28" s="21">
        <f>IF(W$4="x",'Symptomen (alle, 3,2,1)'!W23,0)</f>
        <v>0</v>
      </c>
      <c r="X28" s="21">
        <f>IF(X$4="x",'Symptomen (alle, 3,2,1)'!X23,0)</f>
        <v>0</v>
      </c>
      <c r="Y28" s="21">
        <f>IF(Y$4="x",'Symptomen (alle, 3,2,1)'!Y23,0)</f>
        <v>0</v>
      </c>
      <c r="Z28" s="21">
        <f>IF(Z$4="x",'Symptomen (alle, 3,2,1)'!Z23,0)</f>
        <v>0</v>
      </c>
      <c r="AA28" s="21">
        <f>IF(AA$4="x",'Symptomen (alle, 3,2,1)'!AA23,0)</f>
        <v>0</v>
      </c>
      <c r="AB28" s="21">
        <f>IF(AB$4="x",'Symptomen (alle, 3,2,1)'!AB23,0)</f>
        <v>0</v>
      </c>
      <c r="AC28" s="21">
        <f>IF(AC$4="x",'Symptomen (alle, 3,2,1)'!AC23,0)</f>
        <v>0</v>
      </c>
      <c r="AD28" s="21">
        <f t="shared" si="0"/>
        <v>1</v>
      </c>
      <c r="AE28" s="21">
        <f>HLOOKUP($B$4,ZiekteFam!$B$1:$T$32,AF28,FALSE)</f>
        <v>3</v>
      </c>
      <c r="AF28" s="32">
        <f t="shared" si="1"/>
        <v>23</v>
      </c>
      <c r="AG28" s="32">
        <f>SUM('Symptomen (alle)'!D23:AC23)</f>
        <v>50</v>
      </c>
      <c r="AH28" s="22">
        <f>Tabel4[[#This Row],[Kolom25]]/Tabel4[[#This Row],[Kolom28]]</f>
        <v>0.02</v>
      </c>
      <c r="AI28" s="22">
        <f>Tabel42[[#This Row],[Kolom29]]</f>
        <v>0.04</v>
      </c>
      <c r="AJ28" s="36">
        <f>_xlfn.RANK.EQ(Tabel4[[#This Row],[Kolom29]],$AH$7:$AH$36)</f>
        <v>24</v>
      </c>
      <c r="AK28" s="36">
        <f>_xlfn.RANK.EQ(Tabel4[[#This Row],[Kolom294]],$AI$7:$AI$36)</f>
        <v>23</v>
      </c>
      <c r="AL28" s="22">
        <f>Tabel4[[#This Row],[Kolom29]]</f>
        <v>0.02</v>
      </c>
      <c r="AM28" s="60"/>
    </row>
    <row r="29" spans="1:39">
      <c r="A29" s="61"/>
      <c r="B29" s="59" t="str">
        <f>'Symptomen (alle)'!A24</f>
        <v>Bacterial infection, Other</v>
      </c>
      <c r="C29" s="82">
        <f>'Symptomen (alle)'!C24</f>
        <v>0</v>
      </c>
      <c r="D29" s="21">
        <f>IF(D$4="x",'Symptomen (alle, 3,2,1)'!D24,0)</f>
        <v>0</v>
      </c>
      <c r="E29" s="21">
        <f>IF(E$4="x",'Symptomen (alle, 3,2,1)'!E24,0)</f>
        <v>0</v>
      </c>
      <c r="F29" s="21">
        <f>IF(F$4="x",'Symptomen (alle, 3,2,1)'!F24,0)</f>
        <v>0</v>
      </c>
      <c r="G29" s="21">
        <f>IF(G$4="x",'Symptomen (alle, 3,2,1)'!G24,0)</f>
        <v>0</v>
      </c>
      <c r="H29" s="21">
        <f>IF(H$4="x",'Symptomen (alle, 3,2,1)'!H24,0)</f>
        <v>0</v>
      </c>
      <c r="I29" s="21">
        <f>IF(I$4="x",'Symptomen (alle, 3,2,1)'!I24,0)</f>
        <v>1</v>
      </c>
      <c r="J29" s="21">
        <f>IF(J$4="x",'Symptomen (alle, 3,2,1)'!J24,0)</f>
        <v>0</v>
      </c>
      <c r="K29" s="21">
        <f>IF(K$4="x",'Symptomen (alle, 3,2,1)'!K24,0)</f>
        <v>0</v>
      </c>
      <c r="L29" s="21">
        <f>IF(L$4="x",'Symptomen (alle, 3,2,1)'!L24,0)</f>
        <v>0</v>
      </c>
      <c r="M29" s="21">
        <f>IF(M$4="x",'Symptomen (alle, 3,2,1)'!M24,0)</f>
        <v>0</v>
      </c>
      <c r="N29" s="21">
        <f>IF(N$4="x",'Symptomen (alle, 3,2,1)'!N24,0)</f>
        <v>0</v>
      </c>
      <c r="O29" s="21">
        <f>IF(O$4="x",'Symptomen (alle, 3,2,1)'!O24,0)</f>
        <v>0</v>
      </c>
      <c r="P29" s="21">
        <f>IF(P$4="x",'Symptomen (alle, 3,2,1)'!P24,0)</f>
        <v>0</v>
      </c>
      <c r="Q29" s="21">
        <f>IF(Q$4="x",'Symptomen (alle, 3,2,1)'!Q24,0)</f>
        <v>0</v>
      </c>
      <c r="R29" s="21">
        <f>IF(R$4="x",'Symptomen (alle, 3,2,1)'!R24,0)</f>
        <v>0</v>
      </c>
      <c r="S29" s="21">
        <f>IF(S$4="x",'Symptomen (alle, 3,2,1)'!S24,0)</f>
        <v>0</v>
      </c>
      <c r="T29" s="21">
        <f>IF(T$4="x",'Symptomen (alle, 3,2,1)'!T24,0)</f>
        <v>0</v>
      </c>
      <c r="U29" s="21">
        <f>IF(U$4="x",'Symptomen (alle, 3,2,1)'!U24,0)</f>
        <v>0</v>
      </c>
      <c r="V29" s="21">
        <f>IF(V$4="x",'Symptomen (alle, 3,2,1)'!V24,0)</f>
        <v>0</v>
      </c>
      <c r="W29" s="21">
        <f>IF(W$4="x",'Symptomen (alle, 3,2,1)'!W24,0)</f>
        <v>0</v>
      </c>
      <c r="X29" s="21">
        <f>IF(X$4="x",'Symptomen (alle, 3,2,1)'!X24,0)</f>
        <v>0</v>
      </c>
      <c r="Y29" s="21">
        <f>IF(Y$4="x",'Symptomen (alle, 3,2,1)'!Y24,0)</f>
        <v>0</v>
      </c>
      <c r="Z29" s="21">
        <f>IF(Z$4="x",'Symptomen (alle, 3,2,1)'!Z24,0)</f>
        <v>0</v>
      </c>
      <c r="AA29" s="21">
        <f>IF(AA$4="x",'Symptomen (alle, 3,2,1)'!AA24,0)</f>
        <v>0</v>
      </c>
      <c r="AB29" s="21">
        <f>IF(AB$4="x",'Symptomen (alle, 3,2,1)'!AB24,0)</f>
        <v>0</v>
      </c>
      <c r="AC29" s="21">
        <f>IF(AC$4="x",'Symptomen (alle, 3,2,1)'!AC24,0)</f>
        <v>0</v>
      </c>
      <c r="AD29" s="21">
        <f t="shared" si="0"/>
        <v>1</v>
      </c>
      <c r="AE29" s="21">
        <f>HLOOKUP($B$4,ZiekteFam!$B$1:$T$32,AF29,FALSE)</f>
        <v>3</v>
      </c>
      <c r="AF29" s="32">
        <f t="shared" si="1"/>
        <v>24</v>
      </c>
      <c r="AG29" s="32">
        <f>SUM('Symptomen (alle)'!D24:AC24)</f>
        <v>34</v>
      </c>
      <c r="AH29" s="22">
        <f>Tabel4[[#This Row],[Kolom25]]/Tabel4[[#This Row],[Kolom28]]</f>
        <v>2.9411764705882353E-2</v>
      </c>
      <c r="AI29" s="22">
        <f>Tabel42[[#This Row],[Kolom29]]</f>
        <v>5.8823529411764705E-2</v>
      </c>
      <c r="AJ29" s="36">
        <f>_xlfn.RANK.EQ(Tabel4[[#This Row],[Kolom29]],$AH$7:$AH$36)</f>
        <v>21</v>
      </c>
      <c r="AK29" s="36">
        <f>_xlfn.RANK.EQ(Tabel4[[#This Row],[Kolom294]],$AI$7:$AI$36)</f>
        <v>20</v>
      </c>
      <c r="AL29" s="22">
        <f>Tabel4[[#This Row],[Kolom29]]</f>
        <v>2.9411764705882353E-2</v>
      </c>
      <c r="AM29" s="60"/>
    </row>
    <row r="30" spans="1:39">
      <c r="B30" s="21" t="str">
        <f>'Symptomen (alle)'!A25</f>
        <v>Lymphocystis/Cauliflower disease</v>
      </c>
      <c r="C30" s="34" t="str">
        <f>'Symptomen (alle)'!C25</f>
        <v>x</v>
      </c>
      <c r="D30" s="21">
        <f>IF(D$4="x",'Symptomen (alle, 3,2,1)'!D25,0)</f>
        <v>0</v>
      </c>
      <c r="E30" s="21">
        <f>IF(E$4="x",'Symptomen (alle, 3,2,1)'!E25,0)</f>
        <v>0</v>
      </c>
      <c r="F30" s="21">
        <f>IF(F$4="x",'Symptomen (alle, 3,2,1)'!F25,0)</f>
        <v>0</v>
      </c>
      <c r="G30" s="21">
        <f>IF(G$4="x",'Symptomen (alle, 3,2,1)'!G25,0)</f>
        <v>0</v>
      </c>
      <c r="H30" s="21">
        <f>IF(H$4="x",'Symptomen (alle, 3,2,1)'!H25,0)</f>
        <v>0</v>
      </c>
      <c r="I30" s="21">
        <f>IF(I$4="x",'Symptomen (alle, 3,2,1)'!I25,0)</f>
        <v>1</v>
      </c>
      <c r="J30" s="21">
        <f>IF(J$4="x",'Symptomen (alle, 3,2,1)'!J25,0)</f>
        <v>0</v>
      </c>
      <c r="K30" s="21">
        <f>IF(K$4="x",'Symptomen (alle, 3,2,1)'!K25,0)</f>
        <v>0</v>
      </c>
      <c r="L30" s="21">
        <f>IF(L$4="x",'Symptomen (alle, 3,2,1)'!L25,0)</f>
        <v>0</v>
      </c>
      <c r="M30" s="21">
        <f>IF(M$4="x",'Symptomen (alle, 3,2,1)'!M25,0)</f>
        <v>0</v>
      </c>
      <c r="N30" s="21">
        <f>IF(N$4="x",'Symptomen (alle, 3,2,1)'!N25,0)</f>
        <v>0</v>
      </c>
      <c r="O30" s="21">
        <f>IF(O$4="x",'Symptomen (alle, 3,2,1)'!O25,0)</f>
        <v>0</v>
      </c>
      <c r="P30" s="21">
        <f>IF(P$4="x",'Symptomen (alle, 3,2,1)'!P25,0)</f>
        <v>0</v>
      </c>
      <c r="Q30" s="21">
        <f>IF(Q$4="x",'Symptomen (alle, 3,2,1)'!Q25,0)</f>
        <v>0</v>
      </c>
      <c r="R30" s="21">
        <f>IF(R$4="x",'Symptomen (alle, 3,2,1)'!R25,0)</f>
        <v>0</v>
      </c>
      <c r="S30" s="21">
        <f>IF(S$4="x",'Symptomen (alle, 3,2,1)'!S25,0)</f>
        <v>1</v>
      </c>
      <c r="T30" s="21">
        <f>IF(T$4="x",'Symptomen (alle, 3,2,1)'!T25,0)</f>
        <v>0</v>
      </c>
      <c r="U30" s="21">
        <f>IF(U$4="x",'Symptomen (alle, 3,2,1)'!U25,0)</f>
        <v>0</v>
      </c>
      <c r="V30" s="21">
        <f>IF(V$4="x",'Symptomen (alle, 3,2,1)'!V25,0)</f>
        <v>0</v>
      </c>
      <c r="W30" s="21">
        <f>IF(W$4="x",'Symptomen (alle, 3,2,1)'!W25,0)</f>
        <v>0</v>
      </c>
      <c r="X30" s="21">
        <f>IF(X$4="x",'Symptomen (alle, 3,2,1)'!X25,0)</f>
        <v>0</v>
      </c>
      <c r="Y30" s="21">
        <f>IF(Y$4="x",'Symptomen (alle, 3,2,1)'!Y25,0)</f>
        <v>0</v>
      </c>
      <c r="Z30" s="21">
        <f>IF(Z$4="x",'Symptomen (alle, 3,2,1)'!Z25,0)</f>
        <v>0</v>
      </c>
      <c r="AA30" s="21">
        <f>IF(AA$4="x",'Symptomen (alle, 3,2,1)'!AA25,0)</f>
        <v>0</v>
      </c>
      <c r="AB30" s="21">
        <f>IF(AB$4="x",'Symptomen (alle, 3,2,1)'!AB25,0)</f>
        <v>0</v>
      </c>
      <c r="AC30" s="21">
        <f>IF(AC$4="x",'Symptomen (alle, 3,2,1)'!AC25,0)</f>
        <v>0</v>
      </c>
      <c r="AD30" s="21">
        <f t="shared" si="0"/>
        <v>2</v>
      </c>
      <c r="AE30" s="21">
        <f>HLOOKUP($B$4,ZiekteFam!$B$1:$T$32,AF30,FALSE)</f>
        <v>0</v>
      </c>
      <c r="AF30" s="32">
        <f t="shared" si="1"/>
        <v>25</v>
      </c>
      <c r="AG30" s="32">
        <f>SUM('Symptomen (alle)'!D25:AC25)</f>
        <v>40</v>
      </c>
      <c r="AH30" s="22">
        <f>Tabel4[[#This Row],[Kolom25]]/Tabel4[[#This Row],[Kolom28]]</f>
        <v>0.05</v>
      </c>
      <c r="AI30" s="22">
        <f>Tabel42[[#This Row],[Kolom29]]</f>
        <v>0.05</v>
      </c>
      <c r="AJ30" s="36">
        <f>_xlfn.RANK.EQ(Tabel4[[#This Row],[Kolom29]],$AH$7:$AH$36)</f>
        <v>18</v>
      </c>
      <c r="AK30" s="36">
        <f>_xlfn.RANK.EQ(Tabel4[[#This Row],[Kolom294]],$AI$7:$AI$36)</f>
        <v>22</v>
      </c>
      <c r="AL30" s="22">
        <f>Tabel4[[#This Row],[Kolom29]]</f>
        <v>0.05</v>
      </c>
      <c r="AM30" s="23"/>
    </row>
    <row r="31" spans="1:39">
      <c r="B31" s="21" t="str">
        <f>'Symptomen (alle)'!A26</f>
        <v>Discus /Angel fish pest</v>
      </c>
      <c r="C31" s="34">
        <f>'Symptomen (alle)'!C26</f>
        <v>0</v>
      </c>
      <c r="D31" s="21">
        <f>IF(D$4="x",'Symptomen (alle, 3,2,1)'!D26,0)</f>
        <v>0</v>
      </c>
      <c r="E31" s="21">
        <f>IF(E$4="x",'Symptomen (alle, 3,2,1)'!E26,0)</f>
        <v>0</v>
      </c>
      <c r="F31" s="21">
        <f>IF(F$4="x",'Symptomen (alle, 3,2,1)'!F26,0)</f>
        <v>0</v>
      </c>
      <c r="G31" s="21">
        <f>IF(G$4="x",'Symptomen (alle, 3,2,1)'!G26,0)</f>
        <v>0</v>
      </c>
      <c r="H31" s="21">
        <f>IF(H$4="x",'Symptomen (alle, 3,2,1)'!H26,0)</f>
        <v>0</v>
      </c>
      <c r="I31" s="21">
        <f>IF(I$4="x",'Symptomen (alle, 3,2,1)'!I26,0)</f>
        <v>1</v>
      </c>
      <c r="J31" s="21">
        <f>IF(J$4="x",'Symptomen (alle, 3,2,1)'!J26,0)</f>
        <v>0</v>
      </c>
      <c r="K31" s="21">
        <f>IF(K$4="x",'Symptomen (alle, 3,2,1)'!K26,0)</f>
        <v>0</v>
      </c>
      <c r="L31" s="21">
        <f>IF(L$4="x",'Symptomen (alle, 3,2,1)'!L26,0)</f>
        <v>0</v>
      </c>
      <c r="M31" s="21">
        <f>IF(M$4="x",'Symptomen (alle, 3,2,1)'!M26,0)</f>
        <v>0</v>
      </c>
      <c r="N31" s="21">
        <f>IF(N$4="x",'Symptomen (alle, 3,2,1)'!N26,0)</f>
        <v>0</v>
      </c>
      <c r="O31" s="21">
        <f>IF(O$4="x",'Symptomen (alle, 3,2,1)'!O26,0)</f>
        <v>0</v>
      </c>
      <c r="P31" s="21">
        <f>IF(P$4="x",'Symptomen (alle, 3,2,1)'!P26,0)</f>
        <v>0</v>
      </c>
      <c r="Q31" s="21">
        <f>IF(Q$4="x",'Symptomen (alle, 3,2,1)'!Q26,0)</f>
        <v>0</v>
      </c>
      <c r="R31" s="21">
        <f>IF(R$4="x",'Symptomen (alle, 3,2,1)'!R26,0)</f>
        <v>0</v>
      </c>
      <c r="S31" s="21">
        <f>IF(S$4="x",'Symptomen (alle, 3,2,1)'!S26,0)</f>
        <v>0</v>
      </c>
      <c r="T31" s="21">
        <f>IF(T$4="x",'Symptomen (alle, 3,2,1)'!T26,0)</f>
        <v>0</v>
      </c>
      <c r="U31" s="21">
        <f>IF(U$4="x",'Symptomen (alle, 3,2,1)'!U26,0)</f>
        <v>0</v>
      </c>
      <c r="V31" s="21">
        <f>IF(V$4="x",'Symptomen (alle, 3,2,1)'!V26,0)</f>
        <v>0</v>
      </c>
      <c r="W31" s="21">
        <f>IF(W$4="x",'Symptomen (alle, 3,2,1)'!W26,0)</f>
        <v>0</v>
      </c>
      <c r="X31" s="21">
        <f>IF(X$4="x",'Symptomen (alle, 3,2,1)'!X26,0)</f>
        <v>0</v>
      </c>
      <c r="Y31" s="21">
        <f>IF(Y$4="x",'Symptomen (alle, 3,2,1)'!Y26,0)</f>
        <v>0</v>
      </c>
      <c r="Z31" s="21">
        <f>IF(Z$4="x",'Symptomen (alle, 3,2,1)'!Z26,0)</f>
        <v>0</v>
      </c>
      <c r="AA31" s="21">
        <f>IF(AA$4="x",'Symptomen (alle, 3,2,1)'!AA26,0)</f>
        <v>0</v>
      </c>
      <c r="AB31" s="21">
        <f>IF(AB$4="x",'Symptomen (alle, 3,2,1)'!AB26,0)</f>
        <v>0</v>
      </c>
      <c r="AC31" s="21">
        <f>IF(AC$4="x",'Symptomen (alle, 3,2,1)'!AC26,0)</f>
        <v>0</v>
      </c>
      <c r="AD31" s="21">
        <f t="shared" si="0"/>
        <v>1</v>
      </c>
      <c r="AE31" s="21">
        <f>HLOOKUP($B$4,ZiekteFam!$B$1:$T$32,AF31,FALSE)</f>
        <v>0</v>
      </c>
      <c r="AF31" s="32">
        <f t="shared" si="1"/>
        <v>26</v>
      </c>
      <c r="AG31" s="32">
        <f>SUM('Symptomen (alle)'!D26:AC26)</f>
        <v>38</v>
      </c>
      <c r="AH31" s="22">
        <f>Tabel4[[#This Row],[Kolom25]]/Tabel4[[#This Row],[Kolom28]]</f>
        <v>2.6315789473684209E-2</v>
      </c>
      <c r="AI31" s="22">
        <f>Tabel42[[#This Row],[Kolom29]]</f>
        <v>5.2631578947368418E-2</v>
      </c>
      <c r="AJ31" s="36">
        <f>_xlfn.RANK.EQ(Tabel4[[#This Row],[Kolom29]],$AH$7:$AH$36)</f>
        <v>22</v>
      </c>
      <c r="AK31" s="36">
        <f>_xlfn.RANK.EQ(Tabel4[[#This Row],[Kolom294]],$AI$7:$AI$36)</f>
        <v>21</v>
      </c>
      <c r="AL31" s="22">
        <f>Tabel4[[#This Row],[Kolom29]]</f>
        <v>2.6315789473684209E-2</v>
      </c>
      <c r="AM31" s="23"/>
    </row>
    <row r="32" spans="1:39">
      <c r="B32" s="21" t="str">
        <f>'Symptomen (alle)'!A27</f>
        <v>KHV (Kou Herpes Virus)=coldwater</v>
      </c>
      <c r="C32" s="34">
        <f>'Symptomen (alle)'!C27</f>
        <v>0</v>
      </c>
      <c r="D32" s="21">
        <f>IF(D$4="x",'Symptomen (alle, 3,2,1)'!D27,0)</f>
        <v>0</v>
      </c>
      <c r="E32" s="21">
        <f>IF(E$4="x",'Symptomen (alle, 3,2,1)'!E27,0)</f>
        <v>0</v>
      </c>
      <c r="F32" s="21">
        <f>IF(F$4="x",'Symptomen (alle, 3,2,1)'!F27,0)</f>
        <v>0</v>
      </c>
      <c r="G32" s="21">
        <f>IF(G$4="x",'Symptomen (alle, 3,2,1)'!G27,0)</f>
        <v>0</v>
      </c>
      <c r="H32" s="21">
        <f>IF(H$4="x",'Symptomen (alle, 3,2,1)'!H27,0)</f>
        <v>0</v>
      </c>
      <c r="I32" s="21">
        <f>IF(I$4="x",'Symptomen (alle, 3,2,1)'!I27,0)</f>
        <v>0</v>
      </c>
      <c r="J32" s="21">
        <f>IF(J$4="x",'Symptomen (alle, 3,2,1)'!J27,0)</f>
        <v>0</v>
      </c>
      <c r="K32" s="21">
        <f>IF(K$4="x",'Symptomen (alle, 3,2,1)'!K27,0)</f>
        <v>0</v>
      </c>
      <c r="L32" s="21">
        <f>IF(L$4="x",'Symptomen (alle, 3,2,1)'!L27,0)</f>
        <v>0</v>
      </c>
      <c r="M32" s="21">
        <f>IF(M$4="x",'Symptomen (alle, 3,2,1)'!M27,0)</f>
        <v>0</v>
      </c>
      <c r="N32" s="21">
        <f>IF(N$4="x",'Symptomen (alle, 3,2,1)'!N27,0)</f>
        <v>0</v>
      </c>
      <c r="O32" s="21">
        <f>IF(O$4="x",'Symptomen (alle, 3,2,1)'!O27,0)</f>
        <v>0</v>
      </c>
      <c r="P32" s="21">
        <f>IF(P$4="x",'Symptomen (alle, 3,2,1)'!P27,0)</f>
        <v>0</v>
      </c>
      <c r="Q32" s="21">
        <f>IF(Q$4="x",'Symptomen (alle, 3,2,1)'!Q27,0)</f>
        <v>0</v>
      </c>
      <c r="R32" s="21">
        <f>IF(R$4="x",'Symptomen (alle, 3,2,1)'!R27,0)</f>
        <v>0</v>
      </c>
      <c r="S32" s="21">
        <f>IF(S$4="x",'Symptomen (alle, 3,2,1)'!S27,0)</f>
        <v>1</v>
      </c>
      <c r="T32" s="21">
        <f>IF(T$4="x",'Symptomen (alle, 3,2,1)'!T27,0)</f>
        <v>0</v>
      </c>
      <c r="U32" s="21">
        <f>IF(U$4="x",'Symptomen (alle, 3,2,1)'!U27,0)</f>
        <v>0</v>
      </c>
      <c r="V32" s="21">
        <f>IF(V$4="x",'Symptomen (alle, 3,2,1)'!V27,0)</f>
        <v>0</v>
      </c>
      <c r="W32" s="21">
        <f>IF(W$4="x",'Symptomen (alle, 3,2,1)'!W27,0)</f>
        <v>0</v>
      </c>
      <c r="X32" s="21">
        <f>IF(X$4="x",'Symptomen (alle, 3,2,1)'!X27,0)</f>
        <v>0</v>
      </c>
      <c r="Y32" s="21">
        <f>IF(Y$4="x",'Symptomen (alle, 3,2,1)'!Y27,0)</f>
        <v>0</v>
      </c>
      <c r="Z32" s="21">
        <f>IF(Z$4="x",'Symptomen (alle, 3,2,1)'!Z27,0)</f>
        <v>0</v>
      </c>
      <c r="AA32" s="21">
        <f>IF(AA$4="x",'Symptomen (alle, 3,2,1)'!AA27,0)</f>
        <v>0</v>
      </c>
      <c r="AB32" s="21">
        <f>IF(AB$4="x",'Symptomen (alle, 3,2,1)'!AB27,0)</f>
        <v>0</v>
      </c>
      <c r="AC32" s="21">
        <f>IF(AC$4="x",'Symptomen (alle, 3,2,1)'!AC27,0)</f>
        <v>0</v>
      </c>
      <c r="AD32" s="21">
        <f t="shared" si="0"/>
        <v>1</v>
      </c>
      <c r="AE32" s="21">
        <f>HLOOKUP($B$4,ZiekteFam!$B$1:$T$32,AF32,FALSE)</f>
        <v>0</v>
      </c>
      <c r="AF32" s="32">
        <f t="shared" si="1"/>
        <v>27</v>
      </c>
      <c r="AG32" s="32">
        <f>SUM('Symptomen (alle)'!D27:AC27)</f>
        <v>53</v>
      </c>
      <c r="AH32" s="22">
        <f>Tabel4[[#This Row],[Kolom25]]/Tabel4[[#This Row],[Kolom28]]</f>
        <v>1.8867924528301886E-2</v>
      </c>
      <c r="AI32" s="22">
        <f>Tabel42[[#This Row],[Kolom29]]</f>
        <v>1.8867924528301886E-2</v>
      </c>
      <c r="AJ32" s="36">
        <f>_xlfn.RANK.EQ(Tabel4[[#This Row],[Kolom29]],$AH$7:$AH$36)</f>
        <v>25</v>
      </c>
      <c r="AK32" s="36">
        <f>_xlfn.RANK.EQ(Tabel4[[#This Row],[Kolom294]],$AI$7:$AI$36)</f>
        <v>26</v>
      </c>
      <c r="AL32" s="22">
        <f>Tabel4[[#This Row],[Kolom29]]</f>
        <v>1.8867924528301886E-2</v>
      </c>
      <c r="AM32" s="23"/>
    </row>
    <row r="33" spans="2:39">
      <c r="B33" s="21" t="str">
        <f>'Symptomen (alle)'!A28</f>
        <v>Goldfish Herpes Virus=coldwater</v>
      </c>
      <c r="C33" s="34">
        <f>'Symptomen (alle)'!C28</f>
        <v>0</v>
      </c>
      <c r="D33" s="21">
        <f>IF(D$4="x",'Symptomen (alle, 3,2,1)'!D28,0)</f>
        <v>0</v>
      </c>
      <c r="E33" s="21">
        <f>IF(E$4="x",'Symptomen (alle, 3,2,1)'!E28,0)</f>
        <v>0</v>
      </c>
      <c r="F33" s="21">
        <f>IF(F$4="x",'Symptomen (alle, 3,2,1)'!F28,0)</f>
        <v>0</v>
      </c>
      <c r="G33" s="21">
        <f>IF(G$4="x",'Symptomen (alle, 3,2,1)'!G28,0)</f>
        <v>0</v>
      </c>
      <c r="H33" s="21">
        <f>IF(H$4="x",'Symptomen (alle, 3,2,1)'!H28,0)</f>
        <v>0</v>
      </c>
      <c r="I33" s="21">
        <f>IF(I$4="x",'Symptomen (alle, 3,2,1)'!I28,0)</f>
        <v>0</v>
      </c>
      <c r="J33" s="21">
        <f>IF(J$4="x",'Symptomen (alle, 3,2,1)'!J28,0)</f>
        <v>0</v>
      </c>
      <c r="K33" s="21">
        <f>IF(K$4="x",'Symptomen (alle, 3,2,1)'!K28,0)</f>
        <v>0</v>
      </c>
      <c r="L33" s="21">
        <f>IF(L$4="x",'Symptomen (alle, 3,2,1)'!L28,0)</f>
        <v>0</v>
      </c>
      <c r="M33" s="21">
        <f>IF(M$4="x",'Symptomen (alle, 3,2,1)'!M28,0)</f>
        <v>0</v>
      </c>
      <c r="N33" s="21">
        <f>IF(N$4="x",'Symptomen (alle, 3,2,1)'!N28,0)</f>
        <v>0</v>
      </c>
      <c r="O33" s="21">
        <f>IF(O$4="x",'Symptomen (alle, 3,2,1)'!O28,0)</f>
        <v>0</v>
      </c>
      <c r="P33" s="21">
        <f>IF(P$4="x",'Symptomen (alle, 3,2,1)'!P28,0)</f>
        <v>0</v>
      </c>
      <c r="Q33" s="21">
        <f>IF(Q$4="x",'Symptomen (alle, 3,2,1)'!Q28,0)</f>
        <v>0</v>
      </c>
      <c r="R33" s="21">
        <f>IF(R$4="x",'Symptomen (alle, 3,2,1)'!R28,0)</f>
        <v>0</v>
      </c>
      <c r="S33" s="21">
        <f>IF(S$4="x",'Symptomen (alle, 3,2,1)'!S28,0)</f>
        <v>0</v>
      </c>
      <c r="T33" s="21">
        <f>IF(T$4="x",'Symptomen (alle, 3,2,1)'!T28,0)</f>
        <v>0</v>
      </c>
      <c r="U33" s="21">
        <f>IF(U$4="x",'Symptomen (alle, 3,2,1)'!U28,0)</f>
        <v>0</v>
      </c>
      <c r="V33" s="21">
        <f>IF(V$4="x",'Symptomen (alle, 3,2,1)'!V28,0)</f>
        <v>0</v>
      </c>
      <c r="W33" s="21">
        <f>IF(W$4="x",'Symptomen (alle, 3,2,1)'!W28,0)</f>
        <v>0</v>
      </c>
      <c r="X33" s="21">
        <f>IF(X$4="x",'Symptomen (alle, 3,2,1)'!X28,0)</f>
        <v>0</v>
      </c>
      <c r="Y33" s="21">
        <f>IF(Y$4="x",'Symptomen (alle, 3,2,1)'!Y28,0)</f>
        <v>0</v>
      </c>
      <c r="Z33" s="21">
        <f>IF(Z$4="x",'Symptomen (alle, 3,2,1)'!Z28,0)</f>
        <v>0</v>
      </c>
      <c r="AA33" s="21">
        <f>IF(AA$4="x",'Symptomen (alle, 3,2,1)'!AA28,0)</f>
        <v>0</v>
      </c>
      <c r="AB33" s="21">
        <f>IF(AB$4="x",'Symptomen (alle, 3,2,1)'!AB28,0)</f>
        <v>0</v>
      </c>
      <c r="AC33" s="21">
        <f>IF(AC$4="x",'Symptomen (alle, 3,2,1)'!AC28,0)</f>
        <v>0</v>
      </c>
      <c r="AD33" s="21">
        <f t="shared" si="0"/>
        <v>0</v>
      </c>
      <c r="AE33" s="21">
        <f>HLOOKUP($B$4,ZiekteFam!$B$1:$T$32,AF33,FALSE)</f>
        <v>0</v>
      </c>
      <c r="AF33" s="32">
        <f t="shared" si="1"/>
        <v>28</v>
      </c>
      <c r="AG33" s="32">
        <f>SUM('Symptomen (alle)'!D28:AC28)</f>
        <v>34</v>
      </c>
      <c r="AH33" s="22">
        <f>Tabel4[[#This Row],[Kolom25]]/Tabel4[[#This Row],[Kolom28]]</f>
        <v>0</v>
      </c>
      <c r="AI33" s="22">
        <f>Tabel42[[#This Row],[Kolom29]]</f>
        <v>0</v>
      </c>
      <c r="AJ33" s="36">
        <f>_xlfn.RANK.EQ(Tabel4[[#This Row],[Kolom29]],$AH$7:$AH$36)</f>
        <v>26</v>
      </c>
      <c r="AK33" s="36">
        <f>_xlfn.RANK.EQ(Tabel4[[#This Row],[Kolom294]],$AI$7:$AI$36)</f>
        <v>27</v>
      </c>
      <c r="AL33" s="22">
        <f>Tabel4[[#This Row],[Kolom29]]</f>
        <v>0</v>
      </c>
      <c r="AM33" s="23"/>
    </row>
    <row r="34" spans="2:39">
      <c r="B34" s="21" t="str">
        <f>'Symptomen (alle)'!A30</f>
        <v>Aggression</v>
      </c>
      <c r="C34" s="34">
        <f>'Symptomen (alle)'!C30</f>
        <v>0</v>
      </c>
      <c r="D34" s="21">
        <f>IF(D$4="x",'Symptomen (alle, 3,2,1)'!D30,0)</f>
        <v>0</v>
      </c>
      <c r="E34" s="21">
        <f>IF(E$4="x",'Symptomen (alle, 3,2,1)'!E30,0)</f>
        <v>0</v>
      </c>
      <c r="F34" s="21">
        <f>IF(F$4="x",'Symptomen (alle, 3,2,1)'!F30,0)</f>
        <v>0</v>
      </c>
      <c r="G34" s="21">
        <f>IF(G$4="x",'Symptomen (alle, 3,2,1)'!G30,0)</f>
        <v>0</v>
      </c>
      <c r="H34" s="21">
        <f>IF(H$4="x",'Symptomen (alle, 3,2,1)'!H30,0)</f>
        <v>0</v>
      </c>
      <c r="I34" s="21">
        <f>IF(I$4="x",'Symptomen (alle, 3,2,1)'!I30,0)</f>
        <v>1</v>
      </c>
      <c r="J34" s="21">
        <f>IF(J$4="x",'Symptomen (alle, 3,2,1)'!J30,0)</f>
        <v>0</v>
      </c>
      <c r="K34" s="21">
        <f>IF(K$4="x",'Symptomen (alle, 3,2,1)'!K30,0)</f>
        <v>0</v>
      </c>
      <c r="L34" s="21">
        <f>IF(L$4="x",'Symptomen (alle, 3,2,1)'!L30,0)</f>
        <v>0</v>
      </c>
      <c r="M34" s="21">
        <f>IF(M$4="x",'Symptomen (alle, 3,2,1)'!M30,0)</f>
        <v>0</v>
      </c>
      <c r="N34" s="21">
        <f>IF(N$4="x",'Symptomen (alle, 3,2,1)'!N30,0)</f>
        <v>0</v>
      </c>
      <c r="O34" s="21">
        <f>IF(O$4="x",'Symptomen (alle, 3,2,1)'!O30,0)</f>
        <v>0</v>
      </c>
      <c r="P34" s="21">
        <f>IF(P$4="x",'Symptomen (alle, 3,2,1)'!P30,0)</f>
        <v>0</v>
      </c>
      <c r="Q34" s="21">
        <f>IF(Q$4="x",'Symptomen (alle, 3,2,1)'!Q30,0)</f>
        <v>0</v>
      </c>
      <c r="R34" s="21">
        <f>IF(R$4="x",'Symptomen (alle, 3,2,1)'!R30,0)</f>
        <v>0</v>
      </c>
      <c r="S34" s="21">
        <f>IF(S$4="x",'Symptomen (alle, 3,2,1)'!S30,0)</f>
        <v>0</v>
      </c>
      <c r="T34" s="21">
        <f>IF(T$4="x",'Symptomen (alle, 3,2,1)'!T30,0)</f>
        <v>0</v>
      </c>
      <c r="U34" s="21">
        <f>IF(U$4="x",'Symptomen (alle, 3,2,1)'!U30,0)</f>
        <v>0</v>
      </c>
      <c r="V34" s="21">
        <f>IF(V$4="x",'Symptomen (alle, 3,2,1)'!V30,0)</f>
        <v>0</v>
      </c>
      <c r="W34" s="21">
        <f>IF(W$4="x",'Symptomen (alle, 3,2,1)'!W30,0)</f>
        <v>0</v>
      </c>
      <c r="X34" s="21">
        <f>IF(X$4="x",'Symptomen (alle, 3,2,1)'!X30,0)</f>
        <v>1</v>
      </c>
      <c r="Y34" s="21">
        <f>IF(Y$4="x",'Symptomen (alle, 3,2,1)'!Y30,0)</f>
        <v>0</v>
      </c>
      <c r="Z34" s="21">
        <f>IF(Z$4="x",'Symptomen (alle, 3,2,1)'!Z30,0)</f>
        <v>0</v>
      </c>
      <c r="AA34" s="21">
        <f>IF(AA$4="x",'Symptomen (alle, 3,2,1)'!AA30,0)</f>
        <v>0</v>
      </c>
      <c r="AB34" s="21">
        <f>IF(AB$4="x",'Symptomen (alle, 3,2,1)'!AB30,0)</f>
        <v>0</v>
      </c>
      <c r="AC34" s="21">
        <f>IF(AC$4="x",'Symptomen (alle, 3,2,1)'!AC30,0)</f>
        <v>0</v>
      </c>
      <c r="AD34" s="21">
        <f t="shared" si="0"/>
        <v>2</v>
      </c>
      <c r="AE34" s="21">
        <f>HLOOKUP($B$4,ZiekteFam!$B$1:$T$32,AF34,FALSE)</f>
        <v>0</v>
      </c>
      <c r="AF34" s="32">
        <f t="shared" si="1"/>
        <v>29</v>
      </c>
      <c r="AG34" s="32">
        <f>SUM('Symptomen (alle)'!D30:AC30)</f>
        <v>30</v>
      </c>
      <c r="AH34" s="22">
        <f>Tabel4[[#This Row],[Kolom25]]/Tabel4[[#This Row],[Kolom28]]</f>
        <v>6.6666666666666666E-2</v>
      </c>
      <c r="AI34" s="22">
        <f>Tabel42[[#This Row],[Kolom29]]</f>
        <v>0.38235294117647056</v>
      </c>
      <c r="AJ34" s="36">
        <f>_xlfn.RANK.EQ(Tabel4[[#This Row],[Kolom29]],$AH$7:$AH$36)</f>
        <v>16</v>
      </c>
      <c r="AK34" s="36">
        <f>_xlfn.RANK.EQ(Tabel4[[#This Row],[Kolom294]],$AI$7:$AI$36)</f>
        <v>4</v>
      </c>
      <c r="AL34" s="22">
        <f>Tabel4[[#This Row],[Kolom29]]</f>
        <v>6.6666666666666666E-2</v>
      </c>
      <c r="AM34" s="23"/>
    </row>
    <row r="35" spans="2:39">
      <c r="B35" s="21" t="str">
        <f>'Symptomen (alle)'!A31</f>
        <v>Poor Water Quality= verwijderen???= beter bij analyse:water waardes</v>
      </c>
      <c r="C35" s="34">
        <f>'Symptomen (alle)'!C31</f>
        <v>0</v>
      </c>
      <c r="D35" s="21">
        <f>IF(D$4="x",'Symptomen (alle, 3,2,1)'!D31,0)</f>
        <v>0</v>
      </c>
      <c r="E35" s="21">
        <f>IF(E$4="x",'Symptomen (alle, 3,2,1)'!E31,0)</f>
        <v>0</v>
      </c>
      <c r="F35" s="21">
        <f>IF(F$4="x",'Symptomen (alle, 3,2,1)'!F31,0)</f>
        <v>0</v>
      </c>
      <c r="G35" s="21">
        <f>IF(G$4="x",'Symptomen (alle, 3,2,1)'!G31,0)</f>
        <v>0</v>
      </c>
      <c r="H35" s="21">
        <f>IF(H$4="x",'Symptomen (alle, 3,2,1)'!H31,0)</f>
        <v>0</v>
      </c>
      <c r="I35" s="21">
        <f>IF(I$4="x",'Symptomen (alle, 3,2,1)'!I31,0)</f>
        <v>1</v>
      </c>
      <c r="J35" s="21">
        <f>IF(J$4="x",'Symptomen (alle, 3,2,1)'!J31,0)</f>
        <v>0</v>
      </c>
      <c r="K35" s="21">
        <f>IF(K$4="x",'Symptomen (alle, 3,2,1)'!K31,0)</f>
        <v>0</v>
      </c>
      <c r="L35" s="21">
        <f>IF(L$4="x",'Symptomen (alle, 3,2,1)'!L31,0)</f>
        <v>0</v>
      </c>
      <c r="M35" s="21">
        <f>IF(M$4="x",'Symptomen (alle, 3,2,1)'!M31,0)</f>
        <v>0</v>
      </c>
      <c r="N35" s="21">
        <f>IF(N$4="x",'Symptomen (alle, 3,2,1)'!N31,0)</f>
        <v>0</v>
      </c>
      <c r="O35" s="21">
        <f>IF(O$4="x",'Symptomen (alle, 3,2,1)'!O31,0)</f>
        <v>0</v>
      </c>
      <c r="P35" s="21">
        <f>IF(P$4="x",'Symptomen (alle, 3,2,1)'!P31,0)</f>
        <v>0</v>
      </c>
      <c r="Q35" s="21">
        <f>IF(Q$4="x",'Symptomen (alle, 3,2,1)'!Q31,0)</f>
        <v>0</v>
      </c>
      <c r="R35" s="21">
        <f>IF(R$4="x",'Symptomen (alle, 3,2,1)'!R31,0)</f>
        <v>0</v>
      </c>
      <c r="S35" s="21">
        <f>IF(S$4="x",'Symptomen (alle, 3,2,1)'!S31,0)</f>
        <v>0</v>
      </c>
      <c r="T35" s="21">
        <f>IF(T$4="x",'Symptomen (alle, 3,2,1)'!T31,0)</f>
        <v>0</v>
      </c>
      <c r="U35" s="21">
        <f>IF(U$4="x",'Symptomen (alle, 3,2,1)'!U31,0)</f>
        <v>0</v>
      </c>
      <c r="V35" s="21">
        <f>IF(V$4="x",'Symptomen (alle, 3,2,1)'!V31,0)</f>
        <v>1</v>
      </c>
      <c r="W35" s="21">
        <f>IF(W$4="x",'Symptomen (alle, 3,2,1)'!W31,0)</f>
        <v>0</v>
      </c>
      <c r="X35" s="21">
        <f>IF(X$4="x",'Symptomen (alle, 3,2,1)'!X31,0)</f>
        <v>2</v>
      </c>
      <c r="Y35" s="21">
        <f>IF(Y$4="x",'Symptomen (alle, 3,2,1)'!Y31,0)</f>
        <v>0</v>
      </c>
      <c r="Z35" s="21">
        <f>IF(Z$4="x",'Symptomen (alle, 3,2,1)'!Z31,0)</f>
        <v>0</v>
      </c>
      <c r="AA35" s="21">
        <f>IF(AA$4="x",'Symptomen (alle, 3,2,1)'!AA31,0)</f>
        <v>0</v>
      </c>
      <c r="AB35" s="21">
        <f>IF(AB$4="x",'Symptomen (alle, 3,2,1)'!AB31,0)</f>
        <v>0</v>
      </c>
      <c r="AC35" s="21">
        <f>IF(AC$4="x",'Symptomen (alle, 3,2,1)'!AC31,0)</f>
        <v>0</v>
      </c>
      <c r="AD35" s="21">
        <f t="shared" si="0"/>
        <v>4</v>
      </c>
      <c r="AE35" s="21">
        <f>HLOOKUP($B$4,ZiekteFam!$B$1:$T$32,AF35,FALSE)</f>
        <v>3</v>
      </c>
      <c r="AF35" s="32">
        <f t="shared" si="1"/>
        <v>30</v>
      </c>
      <c r="AG35" s="32">
        <f>SUM('Symptomen (alle)'!D31:AC31)</f>
        <v>35</v>
      </c>
      <c r="AH35" s="22">
        <f>Tabel4[[#This Row],[Kolom25]]/Tabel4[[#This Row],[Kolom28]]</f>
        <v>0.11428571428571428</v>
      </c>
      <c r="AI35" s="22">
        <f>Tabel42[[#This Row],[Kolom29]]</f>
        <v>0.13333333333333333</v>
      </c>
      <c r="AJ35" s="36">
        <f>_xlfn.RANK.EQ(Tabel4[[#This Row],[Kolom29]],$AH$7:$AH$36)</f>
        <v>9</v>
      </c>
      <c r="AK35" s="36">
        <f>_xlfn.RANK.EQ(Tabel4[[#This Row],[Kolom294]],$AI$7:$AI$36)</f>
        <v>14</v>
      </c>
      <c r="AL35" s="22">
        <f>Tabel4[[#This Row],[Kolom29]]</f>
        <v>0.11428571428571428</v>
      </c>
      <c r="AM35" s="23"/>
    </row>
    <row r="36" spans="2:39">
      <c r="B36" s="21" t="str">
        <f>'Symptomen (alle)'!A32</f>
        <v>Nutritional deficiency/lack of (good) food</v>
      </c>
      <c r="C36" s="34">
        <f>'Symptomen (alle)'!C32</f>
        <v>0</v>
      </c>
      <c r="D36" s="21">
        <f>IF(D$4="x",'Symptomen (alle, 3,2,1)'!D32,0)</f>
        <v>0</v>
      </c>
      <c r="E36" s="21">
        <f>IF(E$4="x",'Symptomen (alle, 3,2,1)'!E32,0)</f>
        <v>0</v>
      </c>
      <c r="F36" s="21">
        <f>IF(F$4="x",'Symptomen (alle, 3,2,1)'!F32,0)</f>
        <v>0</v>
      </c>
      <c r="G36" s="21">
        <f>IF(G$4="x",'Symptomen (alle, 3,2,1)'!G32,0)</f>
        <v>0</v>
      </c>
      <c r="H36" s="21">
        <f>IF(H$4="x",'Symptomen (alle, 3,2,1)'!H32,0)</f>
        <v>0</v>
      </c>
      <c r="I36" s="21">
        <f>IF(I$4="x",'Symptomen (alle, 3,2,1)'!I32,0)</f>
        <v>0</v>
      </c>
      <c r="J36" s="21">
        <f>IF(J$4="x",'Symptomen (alle, 3,2,1)'!J32,0)</f>
        <v>0</v>
      </c>
      <c r="K36" s="21">
        <f>IF(K$4="x",'Symptomen (alle, 3,2,1)'!K32,0)</f>
        <v>0</v>
      </c>
      <c r="L36" s="21">
        <f>IF(L$4="x",'Symptomen (alle, 3,2,1)'!L32,0)</f>
        <v>0</v>
      </c>
      <c r="M36" s="21">
        <f>IF(M$4="x",'Symptomen (alle, 3,2,1)'!M32,0)</f>
        <v>0</v>
      </c>
      <c r="N36" s="21">
        <f>IF(N$4="x",'Symptomen (alle, 3,2,1)'!N32,0)</f>
        <v>0</v>
      </c>
      <c r="O36" s="21">
        <f>IF(O$4="x",'Symptomen (alle, 3,2,1)'!O32,0)</f>
        <v>0</v>
      </c>
      <c r="P36" s="21">
        <f>IF(P$4="x",'Symptomen (alle, 3,2,1)'!P32,0)</f>
        <v>0</v>
      </c>
      <c r="Q36" s="21">
        <f>IF(Q$4="x",'Symptomen (alle, 3,2,1)'!Q32,0)</f>
        <v>0</v>
      </c>
      <c r="R36" s="21">
        <f>IF(R$4="x",'Symptomen (alle, 3,2,1)'!R32,0)</f>
        <v>0</v>
      </c>
      <c r="S36" s="21">
        <f>IF(S$4="x",'Symptomen (alle, 3,2,1)'!S32,0)</f>
        <v>0</v>
      </c>
      <c r="T36" s="21">
        <f>IF(T$4="x",'Symptomen (alle, 3,2,1)'!T32,0)</f>
        <v>0</v>
      </c>
      <c r="U36" s="21">
        <f>IF(U$4="x",'Symptomen (alle, 3,2,1)'!U32,0)</f>
        <v>0</v>
      </c>
      <c r="V36" s="21">
        <f>IF(V$4="x",'Symptomen (alle, 3,2,1)'!V32,0)</f>
        <v>0</v>
      </c>
      <c r="W36" s="21">
        <f>IF(W$4="x",'Symptomen (alle, 3,2,1)'!W32,0)</f>
        <v>0</v>
      </c>
      <c r="X36" s="21">
        <f>IF(X$4="x",'Symptomen (alle, 3,2,1)'!X32,0)</f>
        <v>0</v>
      </c>
      <c r="Y36" s="21">
        <f>IF(Y$4="x",'Symptomen (alle, 3,2,1)'!Y32,0)</f>
        <v>0</v>
      </c>
      <c r="Z36" s="21">
        <f>IF(Z$4="x",'Symptomen (alle, 3,2,1)'!Z32,0)</f>
        <v>0</v>
      </c>
      <c r="AA36" s="21">
        <f>IF(AA$4="x",'Symptomen (alle, 3,2,1)'!AA32,0)</f>
        <v>0</v>
      </c>
      <c r="AB36" s="21">
        <f>IF(AB$4="x",'Symptomen (alle, 3,2,1)'!AB32,0)</f>
        <v>0</v>
      </c>
      <c r="AC36" s="21">
        <f>IF(AC$4="x",'Symptomen (alle, 3,2,1)'!AC32,0)</f>
        <v>0</v>
      </c>
      <c r="AD36" s="21">
        <f t="shared" si="0"/>
        <v>0</v>
      </c>
      <c r="AE36" s="21">
        <f>HLOOKUP($B$4,ZiekteFam!$B$1:$T$32,AF36,FALSE)</f>
        <v>0</v>
      </c>
      <c r="AF36" s="32">
        <f t="shared" si="1"/>
        <v>31</v>
      </c>
      <c r="AG36" s="32">
        <f>SUM('Symptomen (alle)'!D32:AC32)</f>
        <v>39</v>
      </c>
      <c r="AH36" s="22">
        <f>Tabel4[[#This Row],[Kolom25]]/Tabel4[[#This Row],[Kolom28]]</f>
        <v>0</v>
      </c>
      <c r="AI36" s="22">
        <f>Tabel42[[#This Row],[Kolom29]]</f>
        <v>0.17142857142857143</v>
      </c>
      <c r="AJ36" s="36">
        <f>_xlfn.RANK.EQ(Tabel4[[#This Row],[Kolom29]],$AH$7:$AH$36)</f>
        <v>26</v>
      </c>
      <c r="AK36" s="36">
        <f>_xlfn.RANK.EQ(Tabel4[[#This Row],[Kolom294]],$AI$7:$AI$36)</f>
        <v>10</v>
      </c>
      <c r="AL36" s="22">
        <f>Tabel4[[#This Row],[Kolom29]]</f>
        <v>0</v>
      </c>
      <c r="AM36" s="23"/>
    </row>
    <row r="40" spans="2:39">
      <c r="B40" t="s">
        <v>88</v>
      </c>
    </row>
    <row r="42" spans="2:39">
      <c r="B42" t="s">
        <v>82</v>
      </c>
    </row>
    <row r="43" spans="2:39">
      <c r="B43" t="s">
        <v>83</v>
      </c>
    </row>
    <row r="44" spans="2:39">
      <c r="B44" t="s">
        <v>84</v>
      </c>
    </row>
    <row r="45" spans="2:39">
      <c r="B45" t="s">
        <v>85</v>
      </c>
    </row>
    <row r="46" spans="2:39">
      <c r="B46" t="s">
        <v>86</v>
      </c>
    </row>
    <row r="47" spans="2:39">
      <c r="B47" t="s">
        <v>87</v>
      </c>
    </row>
    <row r="49" spans="2:2">
      <c r="B49" t="s">
        <v>89</v>
      </c>
    </row>
  </sheetData>
  <conditionalFormatting sqref="AH7:AK36">
    <cfRule type="expression" dxfId="244" priority="14">
      <formula>$C7="x"</formula>
    </cfRule>
  </conditionalFormatting>
  <conditionalFormatting sqref="AL7:AL36">
    <cfRule type="expression" dxfId="243" priority="10">
      <formula>$AE7=10</formula>
    </cfRule>
    <cfRule type="expression" dxfId="242" priority="11">
      <formula>$AE7=3</formula>
    </cfRule>
    <cfRule type="expression" dxfId="241" priority="12">
      <formula>$AE7=0</formula>
    </cfRule>
  </conditionalFormatting>
  <pageMargins left="0.7" right="0.7" top="0.75" bottom="0.75" header="0.3" footer="0.3"/>
  <pageSetup paperSize="9" scale="59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ZiekteFam!$A$38:$A$56</xm:f>
          </x14:formula1>
          <xm:sqref>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50"/>
  <sheetViews>
    <sheetView topLeftCell="A3" workbookViewId="0">
      <pane xSplit="2" ySplit="4" topLeftCell="C7" activePane="bottomRight" state="frozen"/>
      <selection activeCell="A46" sqref="A46"/>
      <selection pane="topRight" activeCell="A46" sqref="A46"/>
      <selection pane="bottomLeft" activeCell="A46" sqref="A46"/>
      <selection pane="bottomRight" activeCell="A25" sqref="A25:XFD26"/>
    </sheetView>
  </sheetViews>
  <sheetFormatPr baseColWidth="10" defaultColWidth="11.5" defaultRowHeight="14" x14ac:dyDescent="0"/>
  <cols>
    <col min="1" max="1" width="29" bestFit="1" customWidth="1"/>
    <col min="2" max="2" width="39.6640625" customWidth="1"/>
    <col min="3" max="3" width="5" customWidth="1"/>
    <col min="4" max="30" width="4" customWidth="1"/>
    <col min="31" max="31" width="6" customWidth="1"/>
    <col min="32" max="32" width="10.5" bestFit="1" customWidth="1"/>
    <col min="33" max="33" width="4.1640625" customWidth="1"/>
    <col min="34" max="34" width="4.6640625" customWidth="1"/>
    <col min="35" max="35" width="7.1640625" customWidth="1"/>
    <col min="36" max="36" width="5" customWidth="1"/>
    <col min="37" max="39" width="4.5" customWidth="1"/>
    <col min="40" max="40" width="4" customWidth="1"/>
    <col min="41" max="43" width="3.6640625" customWidth="1"/>
    <col min="44" max="44" width="3.5" customWidth="1"/>
    <col min="45" max="45" width="3.33203125" customWidth="1"/>
    <col min="46" max="48" width="3.1640625" customWidth="1"/>
    <col min="49" max="50" width="4.5" customWidth="1"/>
    <col min="51" max="51" width="5.6640625" customWidth="1"/>
    <col min="52" max="53" width="6.33203125" customWidth="1"/>
    <col min="54" max="54" width="5.33203125" customWidth="1"/>
    <col min="55" max="57" width="5.6640625" customWidth="1"/>
    <col min="58" max="59" width="4.83203125" customWidth="1"/>
    <col min="60" max="60" width="9.5" customWidth="1"/>
    <col min="61" max="61" width="8.1640625" customWidth="1"/>
    <col min="62" max="62" width="7.33203125" customWidth="1"/>
    <col min="63" max="63" width="6.5" customWidth="1"/>
    <col min="64" max="64" width="5.33203125" customWidth="1"/>
    <col min="65" max="70" width="5.83203125" customWidth="1"/>
    <col min="71" max="71" width="6.33203125" customWidth="1"/>
    <col min="72" max="72" width="3.5" bestFit="1" customWidth="1"/>
  </cols>
  <sheetData>
    <row r="1" spans="1:71">
      <c r="A1" t="s">
        <v>41</v>
      </c>
    </row>
    <row r="2" spans="1:71">
      <c r="D2" t="s">
        <v>42</v>
      </c>
    </row>
    <row r="3" spans="1:71" ht="289">
      <c r="A3" t="s">
        <v>47</v>
      </c>
      <c r="B3" t="s">
        <v>43</v>
      </c>
      <c r="C3" s="18" t="str">
        <f>'Symptomen (alle)'!B1</f>
        <v>lijken op elkaar</v>
      </c>
      <c r="D3" s="18" t="str">
        <f>'Symptomen (alle)'!C1</f>
        <v>Pathogen visible to_x000D_ naked eye</v>
      </c>
      <c r="E3" s="18" t="str">
        <f>'Symptomen (alle)'!D1</f>
        <v>Colour_x000D_change/Darkening</v>
      </c>
      <c r="F3" s="18" t="str">
        <f>'Symptomen (alle)'!E1</f>
        <v>Pop-eye</v>
      </c>
      <c r="G3" s="18" t="str">
        <f>'Symptomen (alle)'!F1</f>
        <v>Swollen Belly/Dropsy/ascites</v>
      </c>
      <c r="H3" s="18" t="str">
        <f>'Symptomen (alle)'!G1</f>
        <v>Reddish wounds/Skin ulcer/heamorrhage/Bleeding skin</v>
      </c>
      <c r="I3" s="18" t="str">
        <f>'Symptomen (alle)'!H1</f>
        <v>Extra growth/swelling on body/skin/little creature</v>
      </c>
      <c r="J3" s="18" t="str">
        <f>'Symptomen (alle)'!I1</f>
        <v>Body Whitish/Necrotic lesion/Holes</v>
      </c>
      <c r="K3" s="18" t="str">
        <f>'Symptomen (alle)'!J1</f>
        <v>Scale loss</v>
      </c>
      <c r="L3" s="18" t="str">
        <f>'Symptomen (alle)'!K1</f>
        <v>Fin rot/damage</v>
      </c>
      <c r="M3" s="18" t="str">
        <f>'Symptomen (alle)'!L1</f>
        <v>White Mucus/Extra Slime/Cloudy/Turbid skin</v>
      </c>
      <c r="N3" s="18" t="str">
        <f>'Symptomen (alle)'!M1</f>
        <v>Faecal cast/Excrement strings at anus</v>
      </c>
      <c r="O3" s="18" t="str">
        <f>'Symptomen (alle)'!N1</f>
        <v>Clamped/Fraying fins</v>
      </c>
      <c r="P3" s="18" t="str">
        <f>'Symptomen (alle)'!O1</f>
        <v>Cotton growth</v>
      </c>
      <c r="Q3" s="18" t="str">
        <f>'Symptomen (alle)'!P1</f>
        <v>White spots</v>
      </c>
      <c r="R3" s="18" t="str">
        <f>'Symptomen (alle)'!Q1</f>
        <v>White large specks/growths</v>
      </c>
      <c r="S3" s="18" t="str">
        <f>'Symptomen (alle)'!R1</f>
        <v>Black spots</v>
      </c>
      <c r="T3" s="18" t="str">
        <f>'Symptomen (alle)'!S1</f>
        <v>Dusty look/fine pepper spots</v>
      </c>
      <c r="U3" s="18" t="str">
        <f>'Symptomen (alle)'!T1</f>
        <v>Listless(V): Laying on bottom</v>
      </c>
      <c r="V3" s="18" t="str">
        <f>'Symptomen (alle)'!U1</f>
        <v>Listless(V): hanging at surface</v>
      </c>
      <c r="W3" s="18" t="str">
        <f>'Symptomen (alle)'!V1</f>
        <v>Scraping(V)</v>
      </c>
      <c r="X3" s="18" t="str">
        <f>'Symptomen (alle)'!W1</f>
        <v>Respiratory problems(V)</v>
      </c>
      <c r="Y3" s="18" t="str">
        <f>'Symptomen (alle)'!X1</f>
        <v>"Abnormal"/stressbehavior(V)</v>
      </c>
      <c r="Z3" s="18" t="str">
        <f>'Symptomen (alle)'!Y1</f>
        <v>Increased mortalitities(uit???)</v>
      </c>
      <c r="AA3" s="18" t="str">
        <f>'Symptomen (alle)'!Z1</f>
        <v>Fighting (v)</v>
      </c>
      <c r="AB3" s="18" t="str">
        <f>'Symptomen (alle)'!AA1</f>
        <v>Coughing (v)</v>
      </c>
      <c r="AC3" s="18" t="str">
        <f>'Symptomen (alle)'!AB1</f>
        <v>Emaciation/Exhaustion Progress</v>
      </c>
      <c r="AD3" s="18" t="str">
        <f>'Symptomen (alle)'!AC1</f>
        <v>Less appetite/less eating</v>
      </c>
      <c r="AE3" s="18" t="s">
        <v>45</v>
      </c>
      <c r="AF3" s="18" t="s">
        <v>79</v>
      </c>
      <c r="AG3" s="29" t="s">
        <v>78</v>
      </c>
      <c r="AH3" s="29" t="s">
        <v>48</v>
      </c>
      <c r="AI3" s="18" t="s">
        <v>74</v>
      </c>
      <c r="AJ3" s="18" t="s">
        <v>121</v>
      </c>
      <c r="AK3" s="18" t="s">
        <v>204</v>
      </c>
      <c r="AL3" s="18" t="s">
        <v>222</v>
      </c>
      <c r="AM3" s="18" t="s">
        <v>122</v>
      </c>
      <c r="AN3" s="18" t="s">
        <v>123</v>
      </c>
      <c r="AO3" s="18" t="s">
        <v>208</v>
      </c>
      <c r="AP3" s="18" t="s">
        <v>224</v>
      </c>
      <c r="AQ3" s="18" t="s">
        <v>100</v>
      </c>
      <c r="AR3" s="18" t="s">
        <v>102</v>
      </c>
      <c r="AS3" s="35" t="s">
        <v>104</v>
      </c>
      <c r="AT3" s="35" t="s">
        <v>202</v>
      </c>
      <c r="AU3" s="35" t="s">
        <v>226</v>
      </c>
      <c r="AV3" s="35" t="s">
        <v>108</v>
      </c>
      <c r="AW3" s="35" t="s">
        <v>117</v>
      </c>
      <c r="AX3" s="35" t="s">
        <v>118</v>
      </c>
      <c r="AY3" s="58" t="s">
        <v>206</v>
      </c>
      <c r="AZ3" s="58" t="s">
        <v>229</v>
      </c>
      <c r="BA3" s="58" t="s">
        <v>152</v>
      </c>
      <c r="BB3" s="58" t="s">
        <v>228</v>
      </c>
      <c r="BC3" s="35" t="s">
        <v>214</v>
      </c>
      <c r="BD3" s="35" t="s">
        <v>231</v>
      </c>
      <c r="BE3" s="35" t="s">
        <v>128</v>
      </c>
      <c r="BF3" s="35" t="s">
        <v>129</v>
      </c>
      <c r="BG3" s="35" t="s">
        <v>130</v>
      </c>
      <c r="BH3" s="57" t="s">
        <v>234</v>
      </c>
      <c r="BI3" s="57" t="s">
        <v>235</v>
      </c>
      <c r="BJ3" s="57" t="s">
        <v>232</v>
      </c>
      <c r="BK3" s="57" t="s">
        <v>233</v>
      </c>
      <c r="BL3" s="18" t="s">
        <v>80</v>
      </c>
      <c r="BM3" s="57" t="s">
        <v>241</v>
      </c>
      <c r="BN3" s="57" t="s">
        <v>240</v>
      </c>
      <c r="BO3" s="57" t="s">
        <v>242</v>
      </c>
      <c r="BP3" s="57" t="s">
        <v>243</v>
      </c>
      <c r="BQ3" s="57" t="s">
        <v>244</v>
      </c>
      <c r="BR3" s="18" t="s">
        <v>245</v>
      </c>
      <c r="BS3" s="57" t="s">
        <v>246</v>
      </c>
    </row>
    <row r="4" spans="1:71">
      <c r="A4" s="20" t="str">
        <f>Berekening!A4</f>
        <v>Bacteriële infectie en Mycobacterium</v>
      </c>
      <c r="B4" t="str">
        <f>Berekening!B4</f>
        <v>CICHLID TANGANYIKA=CICHTAN</v>
      </c>
      <c r="C4" s="20"/>
      <c r="D4" s="147" t="s">
        <v>90</v>
      </c>
      <c r="E4" s="147">
        <f>Berekening!D4</f>
        <v>0</v>
      </c>
      <c r="F4" s="147">
        <f>Berekening!E4</f>
        <v>0</v>
      </c>
      <c r="G4" s="147">
        <f>Berekening!F4</f>
        <v>0</v>
      </c>
      <c r="H4" s="147">
        <f>Berekening!G4</f>
        <v>0</v>
      </c>
      <c r="I4" s="147"/>
      <c r="J4" s="147" t="str">
        <f>Berekening!I4</f>
        <v>x</v>
      </c>
      <c r="K4" s="147">
        <f>Berekening!J4</f>
        <v>0</v>
      </c>
      <c r="L4" s="147">
        <f>Berekening!K4</f>
        <v>0</v>
      </c>
      <c r="M4" s="147">
        <f>Berekening!L4</f>
        <v>0</v>
      </c>
      <c r="N4" s="147">
        <f>Berekening!M4</f>
        <v>0</v>
      </c>
      <c r="O4" s="147">
        <f>Berekening!N4</f>
        <v>0</v>
      </c>
      <c r="P4" s="147">
        <f>Berekening!O4</f>
        <v>0</v>
      </c>
      <c r="Q4" s="147">
        <f>Berekening!P4</f>
        <v>0</v>
      </c>
      <c r="R4" s="147"/>
      <c r="S4" s="147"/>
      <c r="T4" s="147" t="str">
        <f>Berekening!S4</f>
        <v>x</v>
      </c>
      <c r="U4" s="147">
        <f>Berekening!T4</f>
        <v>0</v>
      </c>
      <c r="V4" s="147">
        <f>Berekening!U4</f>
        <v>0</v>
      </c>
      <c r="W4" s="147" t="str">
        <f>Berekening!V4</f>
        <v>x</v>
      </c>
      <c r="X4" s="147">
        <f>Berekening!W4</f>
        <v>0</v>
      </c>
      <c r="Y4" s="147" t="str">
        <f>Berekening!X4</f>
        <v>x</v>
      </c>
      <c r="Z4" s="147">
        <f>Berekening!Y4</f>
        <v>0</v>
      </c>
      <c r="AA4" s="147">
        <f>Berekening!Z4</f>
        <v>0</v>
      </c>
      <c r="AB4" s="147">
        <f>Berekening!AA4</f>
        <v>0</v>
      </c>
      <c r="AC4" s="147">
        <f>Berekening!AB4</f>
        <v>0</v>
      </c>
      <c r="AD4" s="147">
        <f>Berekening!AC4</f>
        <v>0</v>
      </c>
      <c r="AF4" s="30"/>
      <c r="AG4" s="30"/>
    </row>
    <row r="5" spans="1:71" hidden="1">
      <c r="B5" s="19" t="s">
        <v>49</v>
      </c>
      <c r="C5" s="19" t="s">
        <v>170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179</v>
      </c>
      <c r="J5" t="s">
        <v>55</v>
      </c>
      <c r="K5" t="s">
        <v>94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178</v>
      </c>
      <c r="S5" t="s">
        <v>177</v>
      </c>
      <c r="T5" t="s">
        <v>62</v>
      </c>
      <c r="U5" t="s">
        <v>63</v>
      </c>
      <c r="V5" t="s">
        <v>161</v>
      </c>
      <c r="W5" t="s">
        <v>160</v>
      </c>
      <c r="X5" t="s">
        <v>64</v>
      </c>
      <c r="Y5" t="s">
        <v>65</v>
      </c>
      <c r="Z5" t="s">
        <v>66</v>
      </c>
      <c r="AA5" t="s">
        <v>67</v>
      </c>
      <c r="AB5" t="s">
        <v>68</v>
      </c>
      <c r="AC5" t="s">
        <v>97</v>
      </c>
      <c r="AD5" t="s">
        <v>96</v>
      </c>
      <c r="AE5" t="s">
        <v>69</v>
      </c>
      <c r="AF5" t="s">
        <v>70</v>
      </c>
      <c r="AG5" s="30" t="s">
        <v>71</v>
      </c>
      <c r="AH5" s="30" t="s">
        <v>72</v>
      </c>
      <c r="AI5" t="s">
        <v>73</v>
      </c>
      <c r="AJ5" t="s">
        <v>105</v>
      </c>
      <c r="AK5" t="s">
        <v>203</v>
      </c>
      <c r="AL5" t="s">
        <v>220</v>
      </c>
      <c r="AM5" t="s">
        <v>113</v>
      </c>
      <c r="AN5" t="s">
        <v>120</v>
      </c>
      <c r="AO5" t="s">
        <v>207</v>
      </c>
      <c r="AP5" t="s">
        <v>223</v>
      </c>
      <c r="AQ5" t="s">
        <v>99</v>
      </c>
      <c r="AR5" t="s">
        <v>101</v>
      </c>
      <c r="AS5" t="s">
        <v>103</v>
      </c>
      <c r="AT5" t="s">
        <v>201</v>
      </c>
      <c r="AU5" t="s">
        <v>225</v>
      </c>
      <c r="AV5" t="s">
        <v>106</v>
      </c>
      <c r="AW5" t="s">
        <v>115</v>
      </c>
      <c r="AX5" t="s">
        <v>116</v>
      </c>
      <c r="AY5" t="s">
        <v>205</v>
      </c>
      <c r="AZ5" t="s">
        <v>227</v>
      </c>
      <c r="BA5" t="s">
        <v>119</v>
      </c>
      <c r="BB5" t="s">
        <v>107</v>
      </c>
      <c r="BC5" t="s">
        <v>213</v>
      </c>
      <c r="BD5" t="s">
        <v>230</v>
      </c>
      <c r="BE5" t="s">
        <v>127</v>
      </c>
      <c r="BF5" t="s">
        <v>126</v>
      </c>
      <c r="BG5" t="s">
        <v>125</v>
      </c>
      <c r="BH5" t="s">
        <v>98</v>
      </c>
      <c r="BI5" t="s">
        <v>124</v>
      </c>
      <c r="BJ5" t="s">
        <v>216</v>
      </c>
      <c r="BK5" t="s">
        <v>215</v>
      </c>
      <c r="BL5" t="s">
        <v>77</v>
      </c>
      <c r="BM5" t="s">
        <v>200</v>
      </c>
      <c r="BN5" t="s">
        <v>239</v>
      </c>
      <c r="BO5" t="s">
        <v>238</v>
      </c>
      <c r="BP5" t="s">
        <v>237</v>
      </c>
      <c r="BQ5" t="s">
        <v>236</v>
      </c>
      <c r="BR5" t="s">
        <v>76</v>
      </c>
      <c r="BS5" t="s">
        <v>247</v>
      </c>
    </row>
    <row r="6" spans="1:71">
      <c r="B6" s="24" t="s">
        <v>46</v>
      </c>
      <c r="C6" s="24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31"/>
      <c r="AH6" s="31"/>
      <c r="AI6" s="22"/>
      <c r="AJ6" s="22"/>
      <c r="AK6" s="22"/>
      <c r="AL6" s="22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135"/>
    </row>
    <row r="7" spans="1:71">
      <c r="B7" s="21" t="str">
        <f>'Symptomen (alle)'!A2</f>
        <v>Fish Lice(Argulus/Livoneca)</v>
      </c>
      <c r="C7" s="21">
        <f>'Symptomen (alle)'!B2</f>
        <v>0</v>
      </c>
      <c r="D7" s="21" t="str">
        <f>IF(D$4="x",'Symptomen (alle)'!C2,0)</f>
        <v>x</v>
      </c>
      <c r="E7" s="21">
        <f>IF(E$4="x",'Symptomen (alle)'!D2,0)</f>
        <v>0</v>
      </c>
      <c r="F7" s="21">
        <f>IF(F$4="x",'Symptomen (alle)'!E2,0)</f>
        <v>0</v>
      </c>
      <c r="G7" s="21">
        <f>IF(G$4="x",'Symptomen (alle)'!F2,0)</f>
        <v>0</v>
      </c>
      <c r="H7" s="21">
        <f>IF(H$4="x",'Symptomen (alle)'!G2,0)</f>
        <v>0</v>
      </c>
      <c r="I7" s="21">
        <f>IF(I$4="x",'Symptomen (alle)'!H2,0)</f>
        <v>0</v>
      </c>
      <c r="J7" s="21">
        <f>IF(J$4="x",'Symptomen (alle)'!I2,0)</f>
        <v>0</v>
      </c>
      <c r="K7" s="21">
        <f>IF(K$4="x",'Symptomen (alle)'!J2,0)</f>
        <v>0</v>
      </c>
      <c r="L7" s="21">
        <f>IF(L$4="x",'Symptomen (alle)'!K2,0)</f>
        <v>0</v>
      </c>
      <c r="M7" s="21">
        <f>IF(M$4="x",'Symptomen (alle)'!L2,0)</f>
        <v>0</v>
      </c>
      <c r="N7" s="21">
        <f>IF(N$4="x",'Symptomen (alle)'!M2,0)</f>
        <v>0</v>
      </c>
      <c r="O7" s="21">
        <f>IF(O$4="x",'Symptomen (alle)'!N2,0)</f>
        <v>0</v>
      </c>
      <c r="P7" s="21">
        <f>IF(P$4="x",'Symptomen (alle)'!O2,0)</f>
        <v>0</v>
      </c>
      <c r="Q7" s="21">
        <f>IF(Q$4="x",'Symptomen (alle)'!P2,0)</f>
        <v>0</v>
      </c>
      <c r="R7" s="21">
        <f>IF(R$4="x",'Symptomen (alle)'!Q2,0)</f>
        <v>0</v>
      </c>
      <c r="S7" s="21">
        <f>IF(S$4="x",'Symptomen (alle)'!R2,0)</f>
        <v>0</v>
      </c>
      <c r="T7" s="21">
        <f>IF(T$4="x",'Symptomen (alle)'!S2,0)</f>
        <v>0</v>
      </c>
      <c r="U7" s="21">
        <f>IF(U$4="x",'Symptomen (alle)'!T2,0)</f>
        <v>0</v>
      </c>
      <c r="V7" s="21">
        <f>IF(V$4="x",'Symptomen (alle)'!U2,0)</f>
        <v>0</v>
      </c>
      <c r="W7" s="21">
        <f>IF(W$4="x",'Symptomen (alle)'!V2,0)</f>
        <v>3</v>
      </c>
      <c r="X7" s="21">
        <f>IF(X$4="x",'Symptomen (alle)'!W2,0)</f>
        <v>0</v>
      </c>
      <c r="Y7" s="21">
        <f>IF(Y$4="x",'Symptomen (alle)'!X2,0)</f>
        <v>2</v>
      </c>
      <c r="Z7" s="21">
        <f>IF(Z$4="x",'Symptomen (alle)'!Y2,0)</f>
        <v>0</v>
      </c>
      <c r="AA7" s="21">
        <f>IF(AA$4="x",'Symptomen (alle)'!Z2,0)</f>
        <v>0</v>
      </c>
      <c r="AB7" s="21">
        <f>IF(AB$4="x",'Symptomen (alle)'!AA2,0)</f>
        <v>0</v>
      </c>
      <c r="AC7" s="21">
        <f>IF(AC$4="x",'Symptomen (alle)'!AB2,0)</f>
        <v>0</v>
      </c>
      <c r="AD7" s="21">
        <f>IF(AD$4="x",'Symptomen (alle)'!AC2,0)</f>
        <v>0</v>
      </c>
      <c r="AE7" s="21">
        <f>SUM(E7:AD7)</f>
        <v>5</v>
      </c>
      <c r="AF7" s="21">
        <f>HLOOKUP($B$4,ZiekteFam!$B$1:$T$32,AG7,FALSE)</f>
        <v>0</v>
      </c>
      <c r="AG7" s="32">
        <f>ROW(AF7)-5</f>
        <v>2</v>
      </c>
      <c r="AH7" s="32">
        <f>SUM('Symptomen (alle)'!D2:AC2)</f>
        <v>18</v>
      </c>
      <c r="AI7" s="22">
        <f>Tabel42[[#This Row],[Kolom25]]/Tabel42[[#This Row],[Kolom28]]</f>
        <v>0.27777777777777779</v>
      </c>
      <c r="AJ7" s="36">
        <f t="shared" ref="AJ7:AJ37" si="0">COUNTIF($F$4:$J$4,"x")+COUNTIF($P$4:$T$4,"x")</f>
        <v>2</v>
      </c>
      <c r="AK7" s="36">
        <f>COUNTIF($F7:$J7,10)+COUNTIF($P7:$T7,10)</f>
        <v>0</v>
      </c>
      <c r="AL7" s="36">
        <f>COUNTIF($F7:$J7,5)+COUNTIF($P7:$T7,5)</f>
        <v>0</v>
      </c>
      <c r="AM7" s="36">
        <f>COUNTIF($F7:$J7,3)+COUNTIF($P7:$T7,3)</f>
        <v>0</v>
      </c>
      <c r="AN7" s="36">
        <f>COUNTIF($F7:$J7,2)+COUNTIF($P7:$T7,2)</f>
        <v>0</v>
      </c>
      <c r="AO7" s="36">
        <f>COUNTIF(Tabel42[[#This Row],[Kolom3]:[Kolom222]],10)</f>
        <v>0</v>
      </c>
      <c r="AP7" s="36">
        <f>COUNTIF(Tabel42[[#This Row],[Kolom3]:[Kolom222]],5)</f>
        <v>0</v>
      </c>
      <c r="AQ7" s="36">
        <f>COUNTIF(Tabel42[[#This Row],[Kolom3]:[Kolom222]],3)</f>
        <v>1</v>
      </c>
      <c r="AR7" s="36">
        <f>COUNTIF(Tabel42[[#This Row],[Kolom3]:[Kolom222]],2)</f>
        <v>1</v>
      </c>
      <c r="AS7" s="36">
        <f>COUNTIF(Tabel42[[#This Row],[Kolom3]:[Kolom222]],1)</f>
        <v>0</v>
      </c>
      <c r="AT7" s="36">
        <f>COUNTIF('Symptomen (alle)'!$D2:$AC2,10)</f>
        <v>0</v>
      </c>
      <c r="AU7" s="36">
        <f>COUNTIF('Symptomen (alle)'!$D2:$AC2,5)</f>
        <v>0</v>
      </c>
      <c r="AV7" s="36">
        <f>COUNTIF('Symptomen (alle)'!$D2:$AC2,3)</f>
        <v>3</v>
      </c>
      <c r="AW7" s="36">
        <f>COUNTIF('Symptomen (alle)'!$D2:$AC2,2)</f>
        <v>3</v>
      </c>
      <c r="AX7" s="36">
        <f>COUNTIF('Symptomen (alle)'!$D2:$AC2,1)</f>
        <v>3</v>
      </c>
      <c r="AY7" s="22">
        <f>IF(Tabel42[[#This Row],[Kolom300]]=0,0,Tabel42[[#This Row],[Kolom2972]]/Tabel42[[#This Row],[Kolom300]])</f>
        <v>0</v>
      </c>
      <c r="AZ7" s="22">
        <f>IF(Tabel42[[#This Row],[Kolom301]]=0,0,Tabel42[[#This Row],[Kolom2973]]/Tabel42[[#This Row],[Kolom301]])</f>
        <v>0</v>
      </c>
      <c r="BA7" s="22">
        <f>IF(Tabel42[[#This Row],[Kolom294]]=0,0,Tabel42[[#This Row],[Kolom298]]/Tabel42[[#This Row],[Kolom294]])</f>
        <v>0</v>
      </c>
      <c r="BB7" s="22">
        <f>IF(Tabel42[[#This Row],[Kolom295]]=0,0,Tabel42[[#This Row],[Kolom299]]/Tabel42[[#This Row],[Kolom295]])</f>
        <v>0</v>
      </c>
      <c r="BC7" s="22">
        <f>IF(Tabel42[[#This Row],[Kolom2965]]=0,0,Tabel42[[#This Row],[Kolom300]]/Tabel42[[#This Row],[Kolom2965]])</f>
        <v>0</v>
      </c>
      <c r="BD7" s="22">
        <f>IF(Tabel42[[#This Row],[Kolom2966]]=0,0,Tabel42[[#This Row],[Kolom301]]/Tabel42[[#This Row],[Kolom2966]])</f>
        <v>0</v>
      </c>
      <c r="BE7" s="22">
        <f>IF(Tabel42[[#This Row],[Kolom2962]]=0,0,Tabel42[[#This Row],[Kolom294]]/Tabel42[[#This Row],[Kolom2962]])</f>
        <v>0.33333333333333331</v>
      </c>
      <c r="BF7" s="22">
        <f>IF(Tabel42[[#This Row],[Kolom29622]]=0,0,Tabel42[[#This Row],[Kolom295]]/Tabel42[[#This Row],[Kolom29622]])</f>
        <v>0.33333333333333331</v>
      </c>
      <c r="BG7" s="22">
        <f>IF(Tabel42[[#This Row],[Kolom29623]]=0,0,Tabel42[[#This Row],[Kolom296]]/Tabel42[[#This Row],[Kolom29623]])</f>
        <v>0</v>
      </c>
      <c r="BH7" s="22">
        <f>(10*Tabel42[[#This Row],[Kolom296232]]+5*Tabel42[[#This Row],[Kolom296233]]+3*Tabel42[[#This Row],[Kolom29624]]+2*Tabel42[[#This Row],[Kolom2963]]+Tabel42[[#This Row],[Kolom29]])/21</f>
        <v>1.3227513227513229E-2</v>
      </c>
      <c r="BI7" s="22">
        <f>(10*Tabel42[[#This Row],[Kolom296232]]+5*Tabel42[[#This Row],[Kolom296233]]+3*Tabel42[[#This Row],[Kolom29624]]+2*Tabel42[[#This Row],[Kolom2963]])/20</f>
        <v>0</v>
      </c>
      <c r="BJ7" s="22">
        <f>(10*Tabel42[[#This Row],[Kolom29634]]+5*Tabel42[[#This Row],[Kolom29635]]+3*Tabel42[[#This Row],[Kolom29633]]+2*Tabel42[[#This Row],[Kolom29632]]+Tabel42[[#This Row],[Kolom2964]])/21</f>
        <v>7.9365079365079361E-2</v>
      </c>
      <c r="BK7" s="22">
        <f>(10*Tabel42[[#This Row],[Kolom29634]]+5*Tabel42[[#This Row],[Kolom29635]]+3*Tabel42[[#This Row],[Kolom29633]]+2*Tabel42[[#This Row],[Kolom29632]])/20</f>
        <v>8.3333333333333329E-2</v>
      </c>
      <c r="BL7" s="22">
        <f>Tabel42[[#This Row],[Kolom29]]</f>
        <v>0.27777777777777779</v>
      </c>
      <c r="BM7" s="36">
        <f>_xlfn.RANK.EQ(Tabel42[[#This Row],[Kolom29]],$AI$7:$AI$37)</f>
        <v>5</v>
      </c>
      <c r="BN7" s="36">
        <f>_xlfn.RANK.EQ(Tabel42[[#This Row],[Kolom293]],BH$7:BH$37)</f>
        <v>16</v>
      </c>
      <c r="BO7" s="36">
        <f>_xlfn.RANK.EQ(Tabel42[[#This Row],[Kolom2933]],BI$7:BI$37)</f>
        <v>16</v>
      </c>
      <c r="BP7" s="36">
        <f>_xlfn.RANK.EQ(Tabel42[[#This Row],[Kolom29332]],BJ$7:BJ$37)</f>
        <v>10</v>
      </c>
      <c r="BQ7" s="36">
        <f>_xlfn.RANK.EQ(Tabel42[[#This Row],[Kolom2934]],BK$7:BK$37)</f>
        <v>8</v>
      </c>
      <c r="BR7" s="133">
        <f>AVERAGE(Tabel42[[#This Row],[Kolom2910]:[Kolom2911]])</f>
        <v>11</v>
      </c>
      <c r="BS7" s="135">
        <f>_xlfn.RANK.EQ(Tabel42[[#This Row],[Kolom30]],BR$7:BR$37)</f>
        <v>24</v>
      </c>
    </row>
    <row r="8" spans="1:71">
      <c r="B8" s="21" t="str">
        <f>'Symptomen (alle)'!A3</f>
        <v>Anchor worm (Lernaea)</v>
      </c>
      <c r="C8" s="21">
        <f>'Symptomen (alle)'!B3</f>
        <v>0</v>
      </c>
      <c r="D8" s="21" t="str">
        <f>IF(D$4="x",'Symptomen (alle)'!C3,0)</f>
        <v>x</v>
      </c>
      <c r="E8" s="21">
        <f>IF(E$4="x",'Symptomen (alle)'!D3,0)</f>
        <v>0</v>
      </c>
      <c r="F8" s="21">
        <f>IF(F$4="x",'Symptomen (alle)'!E3,0)</f>
        <v>0</v>
      </c>
      <c r="G8" s="21">
        <f>IF(G$4="x",'Symptomen (alle)'!F3,0)</f>
        <v>0</v>
      </c>
      <c r="H8" s="21">
        <f>IF(H$4="x",'Symptomen (alle)'!G3,0)</f>
        <v>0</v>
      </c>
      <c r="I8" s="21">
        <f>IF(I$4="x",'Symptomen (alle)'!H3,0)</f>
        <v>0</v>
      </c>
      <c r="J8" s="21">
        <f>IF(J$4="x",'Symptomen (alle)'!I3,0)</f>
        <v>1</v>
      </c>
      <c r="K8" s="21">
        <f>IF(K$4="x",'Symptomen (alle)'!J3,0)</f>
        <v>0</v>
      </c>
      <c r="L8" s="21">
        <f>IF(L$4="x",'Symptomen (alle)'!K3,0)</f>
        <v>0</v>
      </c>
      <c r="M8" s="21">
        <f>IF(M$4="x",'Symptomen (alle)'!L3,0)</f>
        <v>0</v>
      </c>
      <c r="N8" s="21">
        <f>IF(N$4="x",'Symptomen (alle)'!M3,0)</f>
        <v>0</v>
      </c>
      <c r="O8" s="21">
        <f>IF(O$4="x",'Symptomen (alle)'!N3,0)</f>
        <v>0</v>
      </c>
      <c r="P8" s="21">
        <f>IF(P$4="x",'Symptomen (alle)'!O3,0)</f>
        <v>0</v>
      </c>
      <c r="Q8" s="21">
        <f>IF(Q$4="x",'Symptomen (alle)'!P3,0)</f>
        <v>0</v>
      </c>
      <c r="R8" s="21">
        <f>IF(R$4="x",'Symptomen (alle)'!Q3,0)</f>
        <v>0</v>
      </c>
      <c r="S8" s="21">
        <f>IF(S$4="x",'Symptomen (alle)'!R3,0)</f>
        <v>0</v>
      </c>
      <c r="T8" s="21">
        <f>IF(T$4="x",'Symptomen (alle)'!S3,0)</f>
        <v>0</v>
      </c>
      <c r="U8" s="21">
        <f>IF(U$4="x",'Symptomen (alle)'!T3,0)</f>
        <v>0</v>
      </c>
      <c r="V8" s="21">
        <f>IF(V$4="x",'Symptomen (alle)'!U3,0)</f>
        <v>0</v>
      </c>
      <c r="W8" s="21">
        <f>IF(W$4="x",'Symptomen (alle)'!V3,0)</f>
        <v>3</v>
      </c>
      <c r="X8" s="21">
        <f>IF(X$4="x",'Symptomen (alle)'!W3,0)</f>
        <v>0</v>
      </c>
      <c r="Y8" s="21">
        <f>IF(Y$4="x",'Symptomen (alle)'!X3,0)</f>
        <v>2</v>
      </c>
      <c r="Z8" s="21">
        <f>IF(Z$4="x",'Symptomen (alle)'!Y3,0)</f>
        <v>0</v>
      </c>
      <c r="AA8" s="21">
        <f>IF(AA$4="x",'Symptomen (alle)'!Z3,0)</f>
        <v>0</v>
      </c>
      <c r="AB8" s="21">
        <f>IF(AB$4="x",'Symptomen (alle)'!AA3,0)</f>
        <v>0</v>
      </c>
      <c r="AC8" s="21">
        <f>IF(AC$4="x",'Symptomen (alle)'!AB3,0)</f>
        <v>0</v>
      </c>
      <c r="AD8" s="21">
        <f>IF(AD$4="x",'Symptomen (alle)'!AC3,0)</f>
        <v>0</v>
      </c>
      <c r="AE8" s="21">
        <f t="shared" ref="AE8:AE37" si="1">SUM(E8:AD8)</f>
        <v>6</v>
      </c>
      <c r="AF8" s="21">
        <f>HLOOKUP($B$4,ZiekteFam!$B$1:$T$32,AG8,FALSE)</f>
        <v>0</v>
      </c>
      <c r="AG8" s="32">
        <f t="shared" ref="AG8:AG37" si="2">ROW(AF8)-5</f>
        <v>3</v>
      </c>
      <c r="AH8" s="32">
        <f>SUM('Symptomen (alle)'!D3:AC3)</f>
        <v>29</v>
      </c>
      <c r="AI8" s="22">
        <f>Tabel42[[#This Row],[Kolom25]]/Tabel42[[#This Row],[Kolom28]]</f>
        <v>0.20689655172413793</v>
      </c>
      <c r="AJ8" s="36">
        <f t="shared" si="0"/>
        <v>2</v>
      </c>
      <c r="AK8" s="36">
        <f t="shared" ref="AK8:AK37" si="3">COUNTIF($F8:$J8,10)+COUNTIF($P8:$T8,10)</f>
        <v>0</v>
      </c>
      <c r="AL8" s="36">
        <f t="shared" ref="AL8:AL37" si="4">COUNTIF($F8:$J8,5)+COUNTIF($P8:$T8,5)</f>
        <v>0</v>
      </c>
      <c r="AM8" s="36">
        <f t="shared" ref="AM8:AM37" si="5">COUNTIF($F8:$J8,3)+COUNTIF($P8:$T8,3)</f>
        <v>0</v>
      </c>
      <c r="AN8" s="36">
        <f t="shared" ref="AN8:AN37" si="6">COUNTIF($F8:$J8,2)+COUNTIF($P8:$T8,2)</f>
        <v>0</v>
      </c>
      <c r="AO8" s="36">
        <f>COUNTIF(Tabel42[[#This Row],[Kolom3]:[Kolom222]],10)</f>
        <v>0</v>
      </c>
      <c r="AP8" s="36">
        <f>COUNTIF(Tabel42[[#This Row],[Kolom3]:[Kolom222]],5)</f>
        <v>0</v>
      </c>
      <c r="AQ8" s="36">
        <f>COUNTIF(Tabel42[[#This Row],[Kolom3]:[Kolom222]],3)</f>
        <v>1</v>
      </c>
      <c r="AR8" s="36">
        <f>COUNTIF(Tabel42[[#This Row],[Kolom3]:[Kolom222]],2)</f>
        <v>1</v>
      </c>
      <c r="AS8" s="36">
        <f>COUNTIF(Tabel42[[#This Row],[Kolom3]:[Kolom222]],1)</f>
        <v>1</v>
      </c>
      <c r="AT8" s="36">
        <f>COUNTIF('Symptomen (alle)'!$D3:$AC3,10)</f>
        <v>1</v>
      </c>
      <c r="AU8" s="36">
        <f>COUNTIF('Symptomen (alle)'!$D3:$AC3,5)</f>
        <v>0</v>
      </c>
      <c r="AV8" s="36">
        <f>COUNTIF('Symptomen (alle)'!$D3:$AC3,3)</f>
        <v>3</v>
      </c>
      <c r="AW8" s="36">
        <f>COUNTIF('Symptomen (alle)'!$D3:$AC3,2)</f>
        <v>4</v>
      </c>
      <c r="AX8" s="36">
        <f>COUNTIF('Symptomen (alle)'!$D3:$AC3,1)</f>
        <v>2</v>
      </c>
      <c r="AY8" s="22">
        <f>IF(Tabel42[[#This Row],[Kolom300]]=0,0,Tabel42[[#This Row],[Kolom2972]]/Tabel42[[#This Row],[Kolom300]])</f>
        <v>0</v>
      </c>
      <c r="AZ8" s="22">
        <f>IF(Tabel42[[#This Row],[Kolom301]]=0,0,Tabel42[[#This Row],[Kolom2973]]/Tabel42[[#This Row],[Kolom301]])</f>
        <v>0</v>
      </c>
      <c r="BA8" s="22">
        <f>IF(Tabel42[[#This Row],[Kolom294]]=0,0,Tabel42[[#This Row],[Kolom298]]/Tabel42[[#This Row],[Kolom294]])</f>
        <v>0</v>
      </c>
      <c r="BB8" s="22">
        <f>IF(Tabel42[[#This Row],[Kolom295]]=0,0,Tabel42[[#This Row],[Kolom299]]/Tabel42[[#This Row],[Kolom295]])</f>
        <v>0</v>
      </c>
      <c r="BC8" s="22">
        <f>IF(Tabel42[[#This Row],[Kolom2965]]=0,0,Tabel42[[#This Row],[Kolom300]]/Tabel42[[#This Row],[Kolom2965]])</f>
        <v>0</v>
      </c>
      <c r="BD8" s="22">
        <f>IF(Tabel42[[#This Row],[Kolom2966]]=0,0,Tabel42[[#This Row],[Kolom301]]/Tabel42[[#This Row],[Kolom2966]])</f>
        <v>0</v>
      </c>
      <c r="BE8" s="22">
        <f>IF(Tabel42[[#This Row],[Kolom2962]]=0,0,Tabel42[[#This Row],[Kolom294]]/Tabel42[[#This Row],[Kolom2962]])</f>
        <v>0.33333333333333331</v>
      </c>
      <c r="BF8" s="22">
        <f>IF(Tabel42[[#This Row],[Kolom29622]]=0,0,Tabel42[[#This Row],[Kolom295]]/Tabel42[[#This Row],[Kolom29622]])</f>
        <v>0.25</v>
      </c>
      <c r="BG8" s="22">
        <f>IF(Tabel42[[#This Row],[Kolom29623]]=0,0,Tabel42[[#This Row],[Kolom296]]/Tabel42[[#This Row],[Kolom29623]])</f>
        <v>0.5</v>
      </c>
      <c r="BH8" s="22">
        <f>(10*Tabel42[[#This Row],[Kolom296232]]+5*Tabel42[[#This Row],[Kolom296233]]+3*Tabel42[[#This Row],[Kolom29624]]+2*Tabel42[[#This Row],[Kolom2963]]+Tabel42[[#This Row],[Kolom29]])/21</f>
        <v>9.852216748768473E-3</v>
      </c>
      <c r="BI8" s="22">
        <f>(10*Tabel42[[#This Row],[Kolom296232]]+5*Tabel42[[#This Row],[Kolom296233]]+3*Tabel42[[#This Row],[Kolom29624]]+2*Tabel42[[#This Row],[Kolom2963]])/20</f>
        <v>0</v>
      </c>
      <c r="BJ8" s="22">
        <f>(10*Tabel42[[#This Row],[Kolom29634]]+3*Tabel42[[#This Row],[Kolom29633]]+2*Tabel42[[#This Row],[Kolom29632]]+Tabel42[[#This Row],[Kolom2964]])/16</f>
        <v>0.125</v>
      </c>
      <c r="BK8" s="22">
        <f>(10*Tabel42[[#This Row],[Kolom29634]]+5*Tabel42[[#This Row],[Kolom29635]]+3*Tabel42[[#This Row],[Kolom29633]]+2*Tabel42[[#This Row],[Kolom29632]])/20</f>
        <v>7.4999999999999997E-2</v>
      </c>
      <c r="BL8" s="22">
        <f>Tabel42[[#This Row],[Kolom29]]</f>
        <v>0.20689655172413793</v>
      </c>
      <c r="BM8" s="36">
        <f>_xlfn.RANK.EQ(Tabel42[[#This Row],[Kolom29]],$AI$7:$AI$37)</f>
        <v>7</v>
      </c>
      <c r="BN8" s="36">
        <f>_xlfn.RANK.EQ(Tabel42[[#This Row],[Kolom293]],BH$7:BH$37)</f>
        <v>17</v>
      </c>
      <c r="BO8" s="36">
        <f>_xlfn.RANK.EQ(Tabel42[[#This Row],[Kolom2933]],BI$7:BI$37)</f>
        <v>16</v>
      </c>
      <c r="BP8" s="36">
        <f>_xlfn.RANK.EQ(Tabel42[[#This Row],[Kolom29332]],BJ$7:BJ$37)</f>
        <v>7</v>
      </c>
      <c r="BQ8" s="36">
        <f>_xlfn.RANK.EQ(Tabel42[[#This Row],[Kolom2934]],BK$7:BK$37)</f>
        <v>9</v>
      </c>
      <c r="BR8" s="133">
        <f>AVERAGE(Tabel42[[#This Row],[Kolom2910]:[Kolom2911]])</f>
        <v>11.2</v>
      </c>
      <c r="BS8" s="135">
        <f>_xlfn.RANK.EQ(Tabel42[[#This Row],[Kolom30]],BR$7:BR$37)</f>
        <v>23</v>
      </c>
    </row>
    <row r="9" spans="1:71">
      <c r="B9" s="21" t="str">
        <f>'Symptomen (alle)'!A4</f>
        <v>Camallanus</v>
      </c>
      <c r="C9" s="21">
        <f>'Symptomen (alle)'!B4</f>
        <v>0</v>
      </c>
      <c r="D9" s="21" t="str">
        <f>IF(D$4="x",'Symptomen (alle)'!C4,0)</f>
        <v>x</v>
      </c>
      <c r="E9" s="21">
        <f>IF(E$4="x",'Symptomen (alle)'!D4,0)</f>
        <v>0</v>
      </c>
      <c r="F9" s="21">
        <f>IF(F$4="x",'Symptomen (alle)'!E4,0)</f>
        <v>0</v>
      </c>
      <c r="G9" s="21">
        <f>IF(G$4="x",'Symptomen (alle)'!F4,0)</f>
        <v>0</v>
      </c>
      <c r="H9" s="21">
        <f>IF(H$4="x",'Symptomen (alle)'!G4,0)</f>
        <v>0</v>
      </c>
      <c r="I9" s="21">
        <f>IF(I$4="x",'Symptomen (alle)'!H4,0)</f>
        <v>0</v>
      </c>
      <c r="J9" s="21">
        <f>IF(J$4="x",'Symptomen (alle)'!I4,0)</f>
        <v>0</v>
      </c>
      <c r="K9" s="21">
        <f>IF(K$4="x",'Symptomen (alle)'!J4,0)</f>
        <v>0</v>
      </c>
      <c r="L9" s="21">
        <f>IF(L$4="x",'Symptomen (alle)'!K4,0)</f>
        <v>0</v>
      </c>
      <c r="M9" s="21">
        <f>IF(M$4="x",'Symptomen (alle)'!L4,0)</f>
        <v>0</v>
      </c>
      <c r="N9" s="21">
        <f>IF(N$4="x",'Symptomen (alle)'!M4,0)</f>
        <v>0</v>
      </c>
      <c r="O9" s="21">
        <f>IF(O$4="x",'Symptomen (alle)'!N4,0)</f>
        <v>0</v>
      </c>
      <c r="P9" s="21">
        <f>IF(P$4="x",'Symptomen (alle)'!O4,0)</f>
        <v>0</v>
      </c>
      <c r="Q9" s="21">
        <f>IF(Q$4="x",'Symptomen (alle)'!P4,0)</f>
        <v>0</v>
      </c>
      <c r="R9" s="21">
        <f>IF(R$4="x",'Symptomen (alle)'!Q4,0)</f>
        <v>0</v>
      </c>
      <c r="S9" s="21">
        <f>IF(S$4="x",'Symptomen (alle)'!R4,0)</f>
        <v>0</v>
      </c>
      <c r="T9" s="21">
        <f>IF(T$4="x",'Symptomen (alle)'!S4,0)</f>
        <v>0</v>
      </c>
      <c r="U9" s="21">
        <f>IF(U$4="x",'Symptomen (alle)'!T4,0)</f>
        <v>0</v>
      </c>
      <c r="V9" s="21">
        <f>IF(V$4="x",'Symptomen (alle)'!U4,0)</f>
        <v>0</v>
      </c>
      <c r="W9" s="21">
        <f>IF(W$4="x",'Symptomen (alle)'!V4,0)</f>
        <v>0</v>
      </c>
      <c r="X9" s="21">
        <f>IF(X$4="x",'Symptomen (alle)'!W4,0)</f>
        <v>0</v>
      </c>
      <c r="Y9" s="21">
        <f>IF(Y$4="x",'Symptomen (alle)'!X4,0)</f>
        <v>0</v>
      </c>
      <c r="Z9" s="21">
        <f>IF(Z$4="x",'Symptomen (alle)'!Y4,0)</f>
        <v>0</v>
      </c>
      <c r="AA9" s="21">
        <f>IF(AA$4="x",'Symptomen (alle)'!Z4,0)</f>
        <v>0</v>
      </c>
      <c r="AB9" s="21">
        <f>IF(AB$4="x",'Symptomen (alle)'!AA4,0)</f>
        <v>0</v>
      </c>
      <c r="AC9" s="21">
        <f>IF(AC$4="x",'Symptomen (alle)'!AB4,0)</f>
        <v>0</v>
      </c>
      <c r="AD9" s="21">
        <f>IF(AD$4="x",'Symptomen (alle)'!AC4,0)</f>
        <v>0</v>
      </c>
      <c r="AE9" s="21">
        <f t="shared" si="1"/>
        <v>0</v>
      </c>
      <c r="AF9" s="21">
        <f>HLOOKUP($B$4,ZiekteFam!$B$1:$T$32,AG9,FALSE)</f>
        <v>0</v>
      </c>
      <c r="AG9" s="32">
        <f t="shared" si="2"/>
        <v>4</v>
      </c>
      <c r="AH9" s="32">
        <f>SUM('Symptomen (alle)'!D4:AC4)</f>
        <v>18</v>
      </c>
      <c r="AI9" s="22">
        <f>Tabel42[[#This Row],[Kolom25]]/Tabel42[[#This Row],[Kolom28]]</f>
        <v>0</v>
      </c>
      <c r="AJ9" s="36">
        <f t="shared" si="0"/>
        <v>2</v>
      </c>
      <c r="AK9" s="36">
        <f t="shared" si="3"/>
        <v>0</v>
      </c>
      <c r="AL9" s="36">
        <f t="shared" si="4"/>
        <v>0</v>
      </c>
      <c r="AM9" s="36">
        <f t="shared" si="5"/>
        <v>0</v>
      </c>
      <c r="AN9" s="36">
        <f t="shared" si="6"/>
        <v>0</v>
      </c>
      <c r="AO9" s="36">
        <f>COUNTIF(Tabel42[[#This Row],[Kolom3]:[Kolom222]],10)</f>
        <v>0</v>
      </c>
      <c r="AP9" s="36">
        <f>COUNTIF(Tabel42[[#This Row],[Kolom3]:[Kolom222]],5)</f>
        <v>0</v>
      </c>
      <c r="AQ9" s="36">
        <f>COUNTIF(Tabel42[[#This Row],[Kolom3]:[Kolom222]],3)</f>
        <v>0</v>
      </c>
      <c r="AR9" s="36">
        <f>COUNTIF(Tabel42[[#This Row],[Kolom3]:[Kolom222]],2)</f>
        <v>0</v>
      </c>
      <c r="AS9" s="36">
        <f>COUNTIF(Tabel42[[#This Row],[Kolom3]:[Kolom222]],1)</f>
        <v>0</v>
      </c>
      <c r="AT9" s="36">
        <f>COUNTIF('Symptomen (alle)'!$D4:$AC4,10)</f>
        <v>1</v>
      </c>
      <c r="AU9" s="36">
        <f>COUNTIF('Symptomen (alle)'!$D4:$AC4,5)</f>
        <v>0</v>
      </c>
      <c r="AV9" s="36">
        <f>COUNTIF('Symptomen (alle)'!$D4:$AC4,3)</f>
        <v>1</v>
      </c>
      <c r="AW9" s="36">
        <f>COUNTIF('Symptomen (alle)'!$D4:$AC4,2)</f>
        <v>2</v>
      </c>
      <c r="AX9" s="36">
        <f>COUNTIF('Symptomen (alle)'!$D4:$AC4,1)</f>
        <v>1</v>
      </c>
      <c r="AY9" s="22">
        <f>IF(Tabel42[[#This Row],[Kolom300]]=0,0,Tabel42[[#This Row],[Kolom2972]]/Tabel42[[#This Row],[Kolom300]])</f>
        <v>0</v>
      </c>
      <c r="AZ9" s="22">
        <f>IF(Tabel42[[#This Row],[Kolom301]]=0,0,Tabel42[[#This Row],[Kolom2973]]/Tabel42[[#This Row],[Kolom301]])</f>
        <v>0</v>
      </c>
      <c r="BA9" s="22">
        <f>IF(Tabel42[[#This Row],[Kolom294]]=0,0,Tabel42[[#This Row],[Kolom298]]/Tabel42[[#This Row],[Kolom294]])</f>
        <v>0</v>
      </c>
      <c r="BB9" s="22">
        <f>IF(Tabel42[[#This Row],[Kolom295]]=0,0,Tabel42[[#This Row],[Kolom299]]/Tabel42[[#This Row],[Kolom295]])</f>
        <v>0</v>
      </c>
      <c r="BC9" s="22">
        <f>IF(Tabel42[[#This Row],[Kolom2965]]=0,0,Tabel42[[#This Row],[Kolom300]]/Tabel42[[#This Row],[Kolom2965]])</f>
        <v>0</v>
      </c>
      <c r="BD9" s="22">
        <f>IF(Tabel42[[#This Row],[Kolom2966]]=0,0,Tabel42[[#This Row],[Kolom301]]/Tabel42[[#This Row],[Kolom2966]])</f>
        <v>0</v>
      </c>
      <c r="BE9" s="22">
        <f>IF(Tabel42[[#This Row],[Kolom2962]]=0,0,Tabel42[[#This Row],[Kolom294]]/Tabel42[[#This Row],[Kolom2962]])</f>
        <v>0</v>
      </c>
      <c r="BF9" s="22">
        <f>IF(Tabel42[[#This Row],[Kolom29622]]=0,0,Tabel42[[#This Row],[Kolom295]]/Tabel42[[#This Row],[Kolom29622]])</f>
        <v>0</v>
      </c>
      <c r="BG9" s="22">
        <f>IF(Tabel42[[#This Row],[Kolom29623]]=0,0,Tabel42[[#This Row],[Kolom296]]/Tabel42[[#This Row],[Kolom29623]])</f>
        <v>0</v>
      </c>
      <c r="BH9" s="22">
        <f>(10*Tabel42[[#This Row],[Kolom296232]]+5*Tabel42[[#This Row],[Kolom296233]]+3*Tabel42[[#This Row],[Kolom29624]]+2*Tabel42[[#This Row],[Kolom2963]]+Tabel42[[#This Row],[Kolom29]])/21</f>
        <v>0</v>
      </c>
      <c r="BI9" s="22">
        <f>(10*Tabel42[[#This Row],[Kolom296232]]+5*Tabel42[[#This Row],[Kolom296233]]+3*Tabel42[[#This Row],[Kolom29624]]+2*Tabel42[[#This Row],[Kolom2963]])/20</f>
        <v>0</v>
      </c>
      <c r="BJ9" s="22">
        <f>(10*Tabel42[[#This Row],[Kolom29634]]+3*Tabel42[[#This Row],[Kolom29633]]+2*Tabel42[[#This Row],[Kolom29632]]+Tabel42[[#This Row],[Kolom2964]])/16</f>
        <v>0</v>
      </c>
      <c r="BK9" s="22">
        <f>(10*Tabel42[[#This Row],[Kolom29634]]+5*Tabel42[[#This Row],[Kolom29635]]+3*Tabel42[[#This Row],[Kolom29633]]+2*Tabel42[[#This Row],[Kolom29632]])/20</f>
        <v>0</v>
      </c>
      <c r="BL9" s="22">
        <f>Tabel42[[#This Row],[Kolom29]]</f>
        <v>0</v>
      </c>
      <c r="BM9" s="36">
        <f>_xlfn.RANK.EQ(Tabel42[[#This Row],[Kolom29]],$AI$7:$AI$37)</f>
        <v>27</v>
      </c>
      <c r="BN9" s="36">
        <f>_xlfn.RANK.EQ(Tabel42[[#This Row],[Kolom293]],BH$7:BH$37)</f>
        <v>27</v>
      </c>
      <c r="BO9" s="36">
        <f>_xlfn.RANK.EQ(Tabel42[[#This Row],[Kolom2933]],BI$7:BI$37)</f>
        <v>16</v>
      </c>
      <c r="BP9" s="36">
        <f>_xlfn.RANK.EQ(Tabel42[[#This Row],[Kolom29332]],BJ$7:BJ$37)</f>
        <v>27</v>
      </c>
      <c r="BQ9" s="36">
        <f>_xlfn.RANK.EQ(Tabel42[[#This Row],[Kolom2934]],BK$7:BK$37)</f>
        <v>21</v>
      </c>
      <c r="BR9" s="133">
        <f>AVERAGE(Tabel42[[#This Row],[Kolom2910]:[Kolom2911]])</f>
        <v>23.6</v>
      </c>
      <c r="BS9" s="135">
        <f>_xlfn.RANK.EQ(Tabel42[[#This Row],[Kolom30]],BR$7:BR$37)</f>
        <v>1</v>
      </c>
    </row>
    <row r="10" spans="1:71">
      <c r="B10" s="21" t="str">
        <f>'Symptomen (alle)'!A5</f>
        <v>Worms Internal/Camallanus/Capillaria/Nematode/other worms</v>
      </c>
      <c r="C10">
        <f>'Symptomen (alle)'!B5</f>
        <v>0</v>
      </c>
      <c r="D10" s="21">
        <f>IF(D$4="x",'Symptomen (alle)'!C5,0)</f>
        <v>0</v>
      </c>
      <c r="E10" s="21">
        <f>IF(E$4="x",'Symptomen (alle)'!D5,0)</f>
        <v>0</v>
      </c>
      <c r="F10" s="21">
        <f>IF(F$4="x",'Symptomen (alle)'!E5,0)</f>
        <v>0</v>
      </c>
      <c r="G10" s="21">
        <f>IF(G$4="x",'Symptomen (alle)'!F5,0)</f>
        <v>0</v>
      </c>
      <c r="H10" s="21">
        <f>IF(H$4="x",'Symptomen (alle)'!G5,0)</f>
        <v>0</v>
      </c>
      <c r="I10" s="21">
        <f>IF(I$4="x",'Symptomen (alle)'!H5,0)</f>
        <v>0</v>
      </c>
      <c r="J10" s="21">
        <f>IF(J$4="x",'Symptomen (alle)'!I5,0)</f>
        <v>0</v>
      </c>
      <c r="K10" s="21">
        <f>IF(K$4="x",'Symptomen (alle)'!J5,0)</f>
        <v>0</v>
      </c>
      <c r="L10" s="21">
        <f>IF(L$4="x",'Symptomen (alle)'!K5,0)</f>
        <v>0</v>
      </c>
      <c r="M10" s="21">
        <f>IF(M$4="x",'Symptomen (alle)'!L5,0)</f>
        <v>0</v>
      </c>
      <c r="N10" s="21">
        <f>IF(N$4="x",'Symptomen (alle)'!M5,0)</f>
        <v>0</v>
      </c>
      <c r="O10" s="21">
        <f>IF(O$4="x",'Symptomen (alle)'!N5,0)</f>
        <v>0</v>
      </c>
      <c r="P10" s="21">
        <f>IF(P$4="x",'Symptomen (alle)'!O5,0)</f>
        <v>0</v>
      </c>
      <c r="Q10" s="21">
        <f>IF(Q$4="x",'Symptomen (alle)'!P5,0)</f>
        <v>0</v>
      </c>
      <c r="R10" s="21">
        <f>IF(R$4="x",'Symptomen (alle)'!Q5,0)</f>
        <v>0</v>
      </c>
      <c r="S10" s="21">
        <f>IF(S$4="x",'Symptomen (alle)'!R5,0)</f>
        <v>0</v>
      </c>
      <c r="T10" s="21">
        <f>IF(T$4="x",'Symptomen (alle)'!S5,0)</f>
        <v>0</v>
      </c>
      <c r="U10" s="21">
        <f>IF(U$4="x",'Symptomen (alle)'!T5,0)</f>
        <v>0</v>
      </c>
      <c r="V10" s="21">
        <f>IF(V$4="x",'Symptomen (alle)'!U5,0)</f>
        <v>0</v>
      </c>
      <c r="W10" s="21">
        <f>IF(W$4="x",'Symptomen (alle)'!V5,0)</f>
        <v>0</v>
      </c>
      <c r="X10" s="21">
        <f>IF(X$4="x",'Symptomen (alle)'!W5,0)</f>
        <v>0</v>
      </c>
      <c r="Y10" s="21">
        <f>IF(Y$4="x",'Symptomen (alle)'!X5,0)</f>
        <v>0</v>
      </c>
      <c r="Z10" s="21">
        <f>IF(Z$4="x",'Symptomen (alle)'!Y5,0)</f>
        <v>0</v>
      </c>
      <c r="AA10" s="21">
        <f>IF(AA$4="x",'Symptomen (alle)'!Z5,0)</f>
        <v>0</v>
      </c>
      <c r="AB10" s="21">
        <f>IF(AB$4="x",'Symptomen (alle)'!AA5,0)</f>
        <v>0</v>
      </c>
      <c r="AC10" s="21">
        <f>IF(AC$4="x",'Symptomen (alle)'!AB5,0)</f>
        <v>0</v>
      </c>
      <c r="AD10" s="21">
        <f>IF(AD$4="x",'Symptomen (alle)'!AC5,0)</f>
        <v>0</v>
      </c>
      <c r="AE10" s="21">
        <f t="shared" si="1"/>
        <v>0</v>
      </c>
      <c r="AF10" s="21">
        <f>HLOOKUP($B$4,ZiekteFam!$B$1:$T$32,AG10,FALSE)</f>
        <v>3</v>
      </c>
      <c r="AG10" s="32">
        <f t="shared" si="2"/>
        <v>5</v>
      </c>
      <c r="AH10" s="32">
        <f>SUM('Symptomen (alle)'!D5:AC5)</f>
        <v>15</v>
      </c>
      <c r="AI10" s="22">
        <f>Tabel42[[#This Row],[Kolom25]]/Tabel42[[#This Row],[Kolom28]]</f>
        <v>0</v>
      </c>
      <c r="AJ10" s="36">
        <f t="shared" si="0"/>
        <v>2</v>
      </c>
      <c r="AK10" s="36">
        <f t="shared" si="3"/>
        <v>0</v>
      </c>
      <c r="AL10" s="36">
        <f t="shared" si="4"/>
        <v>0</v>
      </c>
      <c r="AM10" s="36">
        <f t="shared" si="5"/>
        <v>0</v>
      </c>
      <c r="AN10" s="36">
        <f t="shared" si="6"/>
        <v>0</v>
      </c>
      <c r="AO10" s="36">
        <f>COUNTIF(Tabel42[[#This Row],[Kolom3]:[Kolom222]],10)</f>
        <v>0</v>
      </c>
      <c r="AP10" s="36">
        <f>COUNTIF(Tabel42[[#This Row],[Kolom3]:[Kolom222]],5)</f>
        <v>0</v>
      </c>
      <c r="AQ10" s="36">
        <f>COUNTIF(Tabel42[[#This Row],[Kolom3]:[Kolom222]],3)</f>
        <v>0</v>
      </c>
      <c r="AR10" s="36">
        <f>COUNTIF(Tabel42[[#This Row],[Kolom3]:[Kolom222]],2)</f>
        <v>0</v>
      </c>
      <c r="AS10" s="36">
        <f>COUNTIF(Tabel42[[#This Row],[Kolom3]:[Kolom222]],1)</f>
        <v>0</v>
      </c>
      <c r="AT10" s="36">
        <f>COUNTIF('Symptomen (alle)'!$D5:$AC5,10)</f>
        <v>0</v>
      </c>
      <c r="AU10" s="36">
        <f>COUNTIF('Symptomen (alle)'!$D5:$AC5,5)</f>
        <v>1</v>
      </c>
      <c r="AV10" s="36">
        <f>COUNTIF('Symptomen (alle)'!$D5:$AC5,3)</f>
        <v>1</v>
      </c>
      <c r="AW10" s="36">
        <f>COUNTIF('Symptomen (alle)'!$D5:$AC5,2)</f>
        <v>3</v>
      </c>
      <c r="AX10" s="36">
        <f>COUNTIF('Symptomen (alle)'!$D5:$AC5,1)</f>
        <v>1</v>
      </c>
      <c r="AY10" s="22">
        <f>IF(Tabel42[[#This Row],[Kolom300]]=0,0,Tabel42[[#This Row],[Kolom2972]]/Tabel42[[#This Row],[Kolom300]])</f>
        <v>0</v>
      </c>
      <c r="AZ10" s="22">
        <f>IF(Tabel42[[#This Row],[Kolom301]]=0,0,Tabel42[[#This Row],[Kolom2973]]/Tabel42[[#This Row],[Kolom301]])</f>
        <v>0</v>
      </c>
      <c r="BA10" s="22">
        <f>IF(Tabel42[[#This Row],[Kolom294]]=0,0,Tabel42[[#This Row],[Kolom298]]/Tabel42[[#This Row],[Kolom294]])</f>
        <v>0</v>
      </c>
      <c r="BB10" s="22">
        <f>IF(Tabel42[[#This Row],[Kolom295]]=0,0,Tabel42[[#This Row],[Kolom299]]/Tabel42[[#This Row],[Kolom295]])</f>
        <v>0</v>
      </c>
      <c r="BC10" s="22">
        <f>IF(Tabel42[[#This Row],[Kolom2965]]=0,0,Tabel42[[#This Row],[Kolom300]]/Tabel42[[#This Row],[Kolom2965]])</f>
        <v>0</v>
      </c>
      <c r="BD10" s="22">
        <f>IF(Tabel42[[#This Row],[Kolom2966]]=0,0,Tabel42[[#This Row],[Kolom301]]/Tabel42[[#This Row],[Kolom2966]])</f>
        <v>0</v>
      </c>
      <c r="BE10" s="22">
        <f>IF(Tabel42[[#This Row],[Kolom2962]]=0,0,Tabel42[[#This Row],[Kolom294]]/Tabel42[[#This Row],[Kolom2962]])</f>
        <v>0</v>
      </c>
      <c r="BF10" s="22">
        <f>IF(Tabel42[[#This Row],[Kolom29622]]=0,0,Tabel42[[#This Row],[Kolom295]]/Tabel42[[#This Row],[Kolom29622]])</f>
        <v>0</v>
      </c>
      <c r="BG10" s="22">
        <f>IF(Tabel42[[#This Row],[Kolom29623]]=0,0,Tabel42[[#This Row],[Kolom296]]/Tabel42[[#This Row],[Kolom29623]])</f>
        <v>0</v>
      </c>
      <c r="BH10" s="22">
        <f>(10*Tabel42[[#This Row],[Kolom296232]]+5*Tabel42[[#This Row],[Kolom296233]]+3*Tabel42[[#This Row],[Kolom29624]]+2*Tabel42[[#This Row],[Kolom2963]]+Tabel42[[#This Row],[Kolom29]])/21</f>
        <v>0</v>
      </c>
      <c r="BI10" s="22">
        <f>(10*Tabel42[[#This Row],[Kolom296232]]+5*Tabel42[[#This Row],[Kolom296233]]+3*Tabel42[[#This Row],[Kolom29624]]+2*Tabel42[[#This Row],[Kolom2963]])/20</f>
        <v>0</v>
      </c>
      <c r="BJ10" s="22">
        <f>(10*Tabel42[[#This Row],[Kolom29634]]+3*Tabel42[[#This Row],[Kolom29633]]+2*Tabel42[[#This Row],[Kolom29632]]+Tabel42[[#This Row],[Kolom2964]])/16</f>
        <v>0</v>
      </c>
      <c r="BK10" s="22">
        <f>(10*Tabel42[[#This Row],[Kolom29634]]+5*Tabel42[[#This Row],[Kolom29635]]+3*Tabel42[[#This Row],[Kolom29633]]+2*Tabel42[[#This Row],[Kolom29632]])/20</f>
        <v>0</v>
      </c>
      <c r="BL10" s="22">
        <f>Tabel42[[#This Row],[Kolom29]]</f>
        <v>0</v>
      </c>
      <c r="BM10" s="36">
        <f>_xlfn.RANK.EQ(Tabel42[[#This Row],[Kolom29]],$AI$7:$AI$37)</f>
        <v>27</v>
      </c>
      <c r="BN10" s="36">
        <f>_xlfn.RANK.EQ(Tabel42[[#This Row],[Kolom293]],BH$7:BH$37)</f>
        <v>27</v>
      </c>
      <c r="BO10" s="36">
        <f>_xlfn.RANK.EQ(Tabel42[[#This Row],[Kolom2933]],BI$7:BI$37)</f>
        <v>16</v>
      </c>
      <c r="BP10" s="36">
        <f>_xlfn.RANK.EQ(Tabel42[[#This Row],[Kolom29332]],BJ$7:BJ$37)</f>
        <v>27</v>
      </c>
      <c r="BQ10" s="36">
        <f>_xlfn.RANK.EQ(Tabel42[[#This Row],[Kolom2934]],BK$7:BK$37)</f>
        <v>21</v>
      </c>
      <c r="BR10" s="133">
        <f>AVERAGE(Tabel42[[#This Row],[Kolom2910]:[Kolom2911]])</f>
        <v>23.6</v>
      </c>
      <c r="BS10" s="135">
        <f>_xlfn.RANK.EQ(Tabel42[[#This Row],[Kolom30]],BR$7:BR$37)</f>
        <v>1</v>
      </c>
    </row>
    <row r="11" spans="1:71">
      <c r="B11" s="21" t="str">
        <f>'Symptomen (alle)'!A6</f>
        <v>Swellings (Cancers, Trematodes, Nematodes, Sporozoa, etc.)</v>
      </c>
      <c r="C11" s="77">
        <f>'Symptomen (alle)'!B6</f>
        <v>0</v>
      </c>
      <c r="D11" s="21">
        <f>IF(D$4="x",'Symptomen (alle)'!C6,0)</f>
        <v>0</v>
      </c>
      <c r="E11" s="21">
        <f>IF(E$4="x",'Symptomen (alle)'!D6,0)</f>
        <v>0</v>
      </c>
      <c r="F11" s="21">
        <f>IF(F$4="x",'Symptomen (alle)'!E6,0)</f>
        <v>0</v>
      </c>
      <c r="G11" s="21">
        <f>IF(G$4="x",'Symptomen (alle)'!F6,0)</f>
        <v>0</v>
      </c>
      <c r="H11" s="21">
        <f>IF(H$4="x",'Symptomen (alle)'!G6,0)</f>
        <v>0</v>
      </c>
      <c r="I11" s="21">
        <f>IF(I$4="x",'Symptomen (alle)'!H6,0)</f>
        <v>0</v>
      </c>
      <c r="J11" s="21">
        <f>IF(J$4="x",'Symptomen (alle)'!I6,0)</f>
        <v>0</v>
      </c>
      <c r="K11" s="21">
        <f>IF(K$4="x",'Symptomen (alle)'!J6,0)</f>
        <v>0</v>
      </c>
      <c r="L11" s="21">
        <f>IF(L$4="x",'Symptomen (alle)'!K6,0)</f>
        <v>0</v>
      </c>
      <c r="M11" s="21">
        <f>IF(M$4="x",'Symptomen (alle)'!L6,0)</f>
        <v>0</v>
      </c>
      <c r="N11" s="21">
        <f>IF(N$4="x",'Symptomen (alle)'!M6,0)</f>
        <v>0</v>
      </c>
      <c r="O11" s="21">
        <f>IF(O$4="x",'Symptomen (alle)'!N6,0)</f>
        <v>0</v>
      </c>
      <c r="P11" s="21">
        <f>IF(P$4="x",'Symptomen (alle)'!O6,0)</f>
        <v>0</v>
      </c>
      <c r="Q11" s="21">
        <f>IF(Q$4="x",'Symptomen (alle)'!P6,0)</f>
        <v>0</v>
      </c>
      <c r="R11" s="21">
        <f>IF(R$4="x",'Symptomen (alle)'!Q6,0)</f>
        <v>0</v>
      </c>
      <c r="S11" s="21">
        <f>IF(S$4="x",'Symptomen (alle)'!R6,0)</f>
        <v>0</v>
      </c>
      <c r="T11" s="21">
        <f>IF(T$4="x",'Symptomen (alle)'!S6,0)</f>
        <v>0</v>
      </c>
      <c r="U11" s="21">
        <f>IF(U$4="x",'Symptomen (alle)'!T6,0)</f>
        <v>0</v>
      </c>
      <c r="V11" s="21">
        <f>IF(V$4="x",'Symptomen (alle)'!U6,0)</f>
        <v>0</v>
      </c>
      <c r="W11" s="21">
        <f>IF(W$4="x",'Symptomen (alle)'!V6,0)</f>
        <v>1</v>
      </c>
      <c r="X11" s="21">
        <f>IF(X$4="x",'Symptomen (alle)'!W6,0)</f>
        <v>0</v>
      </c>
      <c r="Y11" s="21">
        <f>IF(Y$4="x",'Symptomen (alle)'!X6,0)</f>
        <v>2</v>
      </c>
      <c r="Z11" s="21">
        <f>IF(Z$4="x",'Symptomen (alle)'!Y6,0)</f>
        <v>0</v>
      </c>
      <c r="AA11" s="21">
        <f>IF(AA$4="x",'Symptomen (alle)'!Z6,0)</f>
        <v>0</v>
      </c>
      <c r="AB11" s="21">
        <f>IF(AB$4="x",'Symptomen (alle)'!AA6,0)</f>
        <v>0</v>
      </c>
      <c r="AC11" s="21">
        <f>IF(AC$4="x",'Symptomen (alle)'!AB6,0)</f>
        <v>0</v>
      </c>
      <c r="AD11" s="21">
        <f>IF(AD$4="x",'Symptomen (alle)'!AC6,0)</f>
        <v>0</v>
      </c>
      <c r="AE11" s="21">
        <f t="shared" si="1"/>
        <v>3</v>
      </c>
      <c r="AF11" s="21">
        <f>HLOOKUP($B$4,ZiekteFam!$B$1:$T$32,AG11,FALSE)</f>
        <v>0</v>
      </c>
      <c r="AG11" s="32">
        <f>ROW(AF11)-4</f>
        <v>7</v>
      </c>
      <c r="AH11" s="32">
        <f>SUM('Symptomen (alle)'!D6:AC6)</f>
        <v>25</v>
      </c>
      <c r="AI11" s="22">
        <f>Tabel42[[#This Row],[Kolom25]]/Tabel42[[#This Row],[Kolom28]]</f>
        <v>0.12</v>
      </c>
      <c r="AJ11" s="36">
        <f t="shared" si="0"/>
        <v>2</v>
      </c>
      <c r="AK11" s="36">
        <f t="shared" si="3"/>
        <v>0</v>
      </c>
      <c r="AL11" s="36">
        <f t="shared" si="4"/>
        <v>0</v>
      </c>
      <c r="AM11" s="36">
        <f t="shared" si="5"/>
        <v>0</v>
      </c>
      <c r="AN11" s="36">
        <f t="shared" si="6"/>
        <v>0</v>
      </c>
      <c r="AO11" s="36">
        <f>COUNTIF(Tabel42[[#This Row],[Kolom3]:[Kolom222]],10)</f>
        <v>0</v>
      </c>
      <c r="AP11" s="36">
        <f>COUNTIF(Tabel42[[#This Row],[Kolom3]:[Kolom222]],5)</f>
        <v>0</v>
      </c>
      <c r="AQ11" s="36">
        <f>COUNTIF(Tabel42[[#This Row],[Kolom3]:[Kolom222]],3)</f>
        <v>0</v>
      </c>
      <c r="AR11" s="36">
        <f>COUNTIF(Tabel42[[#This Row],[Kolom3]:[Kolom222]],2)</f>
        <v>1</v>
      </c>
      <c r="AS11" s="36">
        <f>COUNTIF(Tabel42[[#This Row],[Kolom3]:[Kolom222]],1)</f>
        <v>1</v>
      </c>
      <c r="AT11" s="36">
        <f>COUNTIF('Symptomen (alle)'!$D6:$AC6,10)</f>
        <v>1</v>
      </c>
      <c r="AU11" s="36">
        <f>COUNTIF('Symptomen (alle)'!$D6:$AC6,5)</f>
        <v>1</v>
      </c>
      <c r="AV11" s="36">
        <f>COUNTIF('Symptomen (alle)'!$D6:$AC6,3)</f>
        <v>2</v>
      </c>
      <c r="AW11" s="36">
        <f>COUNTIF('Symptomen (alle)'!$D6:$AC6,2)</f>
        <v>1</v>
      </c>
      <c r="AX11" s="36">
        <f>COUNTIF('Symptomen (alle)'!$D6:$AC6,1)</f>
        <v>2</v>
      </c>
      <c r="AY11" s="22">
        <f>IF(Tabel42[[#This Row],[Kolom300]]=0,0,Tabel42[[#This Row],[Kolom2972]]/Tabel42[[#This Row],[Kolom300]])</f>
        <v>0</v>
      </c>
      <c r="AZ11" s="22">
        <f>IF(Tabel42[[#This Row],[Kolom301]]=0,0,Tabel42[[#This Row],[Kolom2973]]/Tabel42[[#This Row],[Kolom301]])</f>
        <v>0</v>
      </c>
      <c r="BA11" s="22">
        <f>IF(Tabel42[[#This Row],[Kolom294]]=0,0,Tabel42[[#This Row],[Kolom298]]/Tabel42[[#This Row],[Kolom294]])</f>
        <v>0</v>
      </c>
      <c r="BB11" s="22">
        <f>IF(Tabel42[[#This Row],[Kolom295]]=0,0,Tabel42[[#This Row],[Kolom299]]/Tabel42[[#This Row],[Kolom295]])</f>
        <v>0</v>
      </c>
      <c r="BC11" s="22">
        <f>IF(Tabel42[[#This Row],[Kolom2965]]=0,0,Tabel42[[#This Row],[Kolom300]]/Tabel42[[#This Row],[Kolom2965]])</f>
        <v>0</v>
      </c>
      <c r="BD11" s="22">
        <f>IF(Tabel42[[#This Row],[Kolom2966]]=0,0,Tabel42[[#This Row],[Kolom301]]/Tabel42[[#This Row],[Kolom2966]])</f>
        <v>0</v>
      </c>
      <c r="BE11" s="22">
        <f>IF(Tabel42[[#This Row],[Kolom2962]]=0,0,Tabel42[[#This Row],[Kolom294]]/Tabel42[[#This Row],[Kolom2962]])</f>
        <v>0</v>
      </c>
      <c r="BF11" s="22">
        <f>IF(Tabel42[[#This Row],[Kolom29622]]=0,0,Tabel42[[#This Row],[Kolom295]]/Tabel42[[#This Row],[Kolom29622]])</f>
        <v>1</v>
      </c>
      <c r="BG11" s="22">
        <f>IF(Tabel42[[#This Row],[Kolom29623]]=0,0,Tabel42[[#This Row],[Kolom296]]/Tabel42[[#This Row],[Kolom29623]])</f>
        <v>0.5</v>
      </c>
      <c r="BH11" s="22">
        <f>(10*Tabel42[[#This Row],[Kolom296232]]+5*Tabel42[[#This Row],[Kolom296233]]+3*Tabel42[[#This Row],[Kolom29624]]+2*Tabel42[[#This Row],[Kolom2963]]+Tabel42[[#This Row],[Kolom29]])/21</f>
        <v>5.7142857142857143E-3</v>
      </c>
      <c r="BI11" s="22">
        <f>(10*Tabel42[[#This Row],[Kolom296232]]+5*Tabel42[[#This Row],[Kolom296233]]+3*Tabel42[[#This Row],[Kolom29624]]+2*Tabel42[[#This Row],[Kolom2963]])/20</f>
        <v>0</v>
      </c>
      <c r="BJ11" s="22">
        <f>(10*Tabel42[[#This Row],[Kolom29634]]+3*Tabel42[[#This Row],[Kolom29633]]+2*Tabel42[[#This Row],[Kolom29632]]+Tabel42[[#This Row],[Kolom2964]])/16</f>
        <v>0.15625</v>
      </c>
      <c r="BK11" s="22">
        <f>(10*Tabel42[[#This Row],[Kolom29634]]+5*Tabel42[[#This Row],[Kolom29635]]+3*Tabel42[[#This Row],[Kolom29633]]+2*Tabel42[[#This Row],[Kolom29632]])/20</f>
        <v>0.1</v>
      </c>
      <c r="BL11" s="22">
        <f>Tabel42[[#This Row],[Kolom29]]</f>
        <v>0.12</v>
      </c>
      <c r="BM11" s="36">
        <f>_xlfn.RANK.EQ(Tabel42[[#This Row],[Kolom29]],$AI$7:$AI$37)</f>
        <v>16</v>
      </c>
      <c r="BN11" s="36">
        <f>_xlfn.RANK.EQ(Tabel42[[#This Row],[Kolom293]],BH$7:BH$37)</f>
        <v>20</v>
      </c>
      <c r="BO11" s="36">
        <f>_xlfn.RANK.EQ(Tabel42[[#This Row],[Kolom2933]],BI$7:BI$37)</f>
        <v>16</v>
      </c>
      <c r="BP11" s="36">
        <f>_xlfn.RANK.EQ(Tabel42[[#This Row],[Kolom29332]],BJ$7:BJ$37)</f>
        <v>6</v>
      </c>
      <c r="BQ11" s="36">
        <f>_xlfn.RANK.EQ(Tabel42[[#This Row],[Kolom2934]],BK$7:BK$37)</f>
        <v>6</v>
      </c>
      <c r="BR11" s="133">
        <f>AVERAGE(Tabel42[[#This Row],[Kolom2910]:[Kolom2911]])</f>
        <v>12.8</v>
      </c>
      <c r="BS11" s="135">
        <f>_xlfn.RANK.EQ(Tabel42[[#This Row],[Kolom30]],BR$7:BR$37)</f>
        <v>19</v>
      </c>
    </row>
    <row r="12" spans="1:71">
      <c r="B12" s="21" t="str">
        <f>'Symptomen (alle)'!A7</f>
        <v>Skin fluke (i.e. Gyrodactylus)</v>
      </c>
      <c r="C12" s="21">
        <f>'Symptomen (alle)'!B7</f>
        <v>0</v>
      </c>
      <c r="D12" s="21">
        <f>IF(D$4="x",'Symptomen (alle)'!C7,0)</f>
        <v>0</v>
      </c>
      <c r="E12" s="21">
        <f>IF(E$4="x",'Symptomen (alle)'!D7,0)</f>
        <v>0</v>
      </c>
      <c r="F12" s="21">
        <f>IF(F$4="x",'Symptomen (alle)'!E7,0)</f>
        <v>0</v>
      </c>
      <c r="G12" s="21">
        <f>IF(G$4="x",'Symptomen (alle)'!F7,0)</f>
        <v>0</v>
      </c>
      <c r="H12" s="21">
        <f>IF(H$4="x",'Symptomen (alle)'!G7,0)</f>
        <v>0</v>
      </c>
      <c r="I12" s="21">
        <f>IF(I$4="x",'Symptomen (alle)'!H7,0)</f>
        <v>0</v>
      </c>
      <c r="J12" s="21">
        <f>IF(J$4="x",'Symptomen (alle)'!I7,0)</f>
        <v>2</v>
      </c>
      <c r="K12" s="21">
        <f>IF(K$4="x",'Symptomen (alle)'!J7,0)</f>
        <v>0</v>
      </c>
      <c r="L12" s="21">
        <f>IF(L$4="x",'Symptomen (alle)'!K7,0)</f>
        <v>0</v>
      </c>
      <c r="M12" s="21">
        <f>IF(M$4="x",'Symptomen (alle)'!L7,0)</f>
        <v>0</v>
      </c>
      <c r="N12" s="21">
        <f>IF(N$4="x",'Symptomen (alle)'!M7,0)</f>
        <v>0</v>
      </c>
      <c r="O12" s="21">
        <f>IF(O$4="x",'Symptomen (alle)'!N7,0)</f>
        <v>0</v>
      </c>
      <c r="P12" s="21">
        <f>IF(P$4="x",'Symptomen (alle)'!O7,0)</f>
        <v>0</v>
      </c>
      <c r="Q12" s="21">
        <f>IF(Q$4="x",'Symptomen (alle)'!P7,0)</f>
        <v>0</v>
      </c>
      <c r="R12" s="21">
        <f>IF(R$4="x",'Symptomen (alle)'!Q7,0)</f>
        <v>0</v>
      </c>
      <c r="S12" s="21">
        <f>IF(S$4="x",'Symptomen (alle)'!R7,0)</f>
        <v>0</v>
      </c>
      <c r="T12" s="21">
        <f>IF(T$4="x",'Symptomen (alle)'!S7,0)</f>
        <v>2</v>
      </c>
      <c r="U12" s="21">
        <f>IF(U$4="x",'Symptomen (alle)'!T7,0)</f>
        <v>0</v>
      </c>
      <c r="V12" s="21">
        <f>IF(V$4="x",'Symptomen (alle)'!U7,0)</f>
        <v>0</v>
      </c>
      <c r="W12" s="21">
        <f>IF(W$4="x",'Symptomen (alle)'!V7,0)</f>
        <v>3</v>
      </c>
      <c r="X12" s="21">
        <f>IF(X$4="x",'Symptomen (alle)'!W7,0)</f>
        <v>0</v>
      </c>
      <c r="Y12" s="21">
        <f>IF(Y$4="x",'Symptomen (alle)'!X7,0)</f>
        <v>0</v>
      </c>
      <c r="Z12" s="21">
        <f>IF(Z$4="x",'Symptomen (alle)'!Y7,0)</f>
        <v>0</v>
      </c>
      <c r="AA12" s="21">
        <f>IF(AA$4="x",'Symptomen (alle)'!Z7,0)</f>
        <v>0</v>
      </c>
      <c r="AB12" s="21">
        <f>IF(AB$4="x",'Symptomen (alle)'!AA7,0)</f>
        <v>0</v>
      </c>
      <c r="AC12" s="21">
        <f>IF(AC$4="x",'Symptomen (alle)'!AB7,0)</f>
        <v>0</v>
      </c>
      <c r="AD12" s="21">
        <f>IF(AD$4="x",'Symptomen (alle)'!AC7,0)</f>
        <v>0</v>
      </c>
      <c r="AE12" s="21">
        <f t="shared" si="1"/>
        <v>7</v>
      </c>
      <c r="AF12" s="21">
        <f>HLOOKUP($B$4,ZiekteFam!$B$1:$T$32,AG12,FALSE)</f>
        <v>0</v>
      </c>
      <c r="AG12" s="32">
        <f t="shared" si="2"/>
        <v>7</v>
      </c>
      <c r="AH12" s="32">
        <f>SUM('Symptomen (alle)'!D7:AC7)</f>
        <v>48</v>
      </c>
      <c r="AI12" s="22">
        <f>Tabel42[[#This Row],[Kolom25]]/Tabel42[[#This Row],[Kolom28]]</f>
        <v>0.14583333333333334</v>
      </c>
      <c r="AJ12" s="36">
        <f t="shared" si="0"/>
        <v>2</v>
      </c>
      <c r="AK12" s="36">
        <f t="shared" si="3"/>
        <v>0</v>
      </c>
      <c r="AL12" s="36">
        <f t="shared" si="4"/>
        <v>0</v>
      </c>
      <c r="AM12" s="36">
        <f t="shared" si="5"/>
        <v>0</v>
      </c>
      <c r="AN12" s="36">
        <f t="shared" si="6"/>
        <v>2</v>
      </c>
      <c r="AO12" s="36">
        <f>COUNTIF(Tabel42[[#This Row],[Kolom3]:[Kolom222]],10)</f>
        <v>0</v>
      </c>
      <c r="AP12" s="36">
        <f>COUNTIF(Tabel42[[#This Row],[Kolom3]:[Kolom222]],5)</f>
        <v>0</v>
      </c>
      <c r="AQ12" s="36">
        <f>COUNTIF(Tabel42[[#This Row],[Kolom3]:[Kolom222]],3)</f>
        <v>1</v>
      </c>
      <c r="AR12" s="36">
        <f>COUNTIF(Tabel42[[#This Row],[Kolom3]:[Kolom222]],2)</f>
        <v>2</v>
      </c>
      <c r="AS12" s="36">
        <f>COUNTIF(Tabel42[[#This Row],[Kolom3]:[Kolom222]],1)</f>
        <v>0</v>
      </c>
      <c r="AT12" s="36">
        <f>COUNTIF('Symptomen (alle)'!$D7:$AC7,10)</f>
        <v>1</v>
      </c>
      <c r="AU12" s="36">
        <f>COUNTIF('Symptomen (alle)'!$D7:$AC7,5)</f>
        <v>1</v>
      </c>
      <c r="AV12" s="36">
        <f>COUNTIF('Symptomen (alle)'!$D7:$AC7,3)</f>
        <v>5</v>
      </c>
      <c r="AW12" s="36">
        <f>COUNTIF('Symptomen (alle)'!$D7:$AC7,2)</f>
        <v>7</v>
      </c>
      <c r="AX12" s="36">
        <f>COUNTIF('Symptomen (alle)'!$D7:$AC7,1)</f>
        <v>4</v>
      </c>
      <c r="AY12" s="22">
        <f>IF(Tabel42[[#This Row],[Kolom300]]=0,0,Tabel42[[#This Row],[Kolom2972]]/Tabel42[[#This Row],[Kolom300]])</f>
        <v>0</v>
      </c>
      <c r="AZ12" s="22">
        <f>IF(Tabel42[[#This Row],[Kolom301]]=0,0,Tabel42[[#This Row],[Kolom2973]]/Tabel42[[#This Row],[Kolom301]])</f>
        <v>0</v>
      </c>
      <c r="BA12" s="22">
        <f>IF(Tabel42[[#This Row],[Kolom294]]=0,0,Tabel42[[#This Row],[Kolom298]]/Tabel42[[#This Row],[Kolom294]])</f>
        <v>0</v>
      </c>
      <c r="BB12" s="22">
        <f>IF(Tabel42[[#This Row],[Kolom295]]=0,0,Tabel42[[#This Row],[Kolom299]]/Tabel42[[#This Row],[Kolom295]])</f>
        <v>1</v>
      </c>
      <c r="BC12" s="22">
        <f>IF(Tabel42[[#This Row],[Kolom2965]]=0,0,Tabel42[[#This Row],[Kolom300]]/Tabel42[[#This Row],[Kolom2965]])</f>
        <v>0</v>
      </c>
      <c r="BD12" s="22">
        <f>IF(Tabel42[[#This Row],[Kolom2966]]=0,0,Tabel42[[#This Row],[Kolom301]]/Tabel42[[#This Row],[Kolom2966]])</f>
        <v>0</v>
      </c>
      <c r="BE12" s="22">
        <f>IF(Tabel42[[#This Row],[Kolom2962]]=0,0,Tabel42[[#This Row],[Kolom294]]/Tabel42[[#This Row],[Kolom2962]])</f>
        <v>0.2</v>
      </c>
      <c r="BF12" s="22">
        <f>IF(Tabel42[[#This Row],[Kolom29622]]=0,0,Tabel42[[#This Row],[Kolom295]]/Tabel42[[#This Row],[Kolom29622]])</f>
        <v>0.2857142857142857</v>
      </c>
      <c r="BG12" s="22">
        <f>IF(Tabel42[[#This Row],[Kolom29623]]=0,0,Tabel42[[#This Row],[Kolom296]]/Tabel42[[#This Row],[Kolom29623]])</f>
        <v>0</v>
      </c>
      <c r="BH12" s="22">
        <f>(10*Tabel42[[#This Row],[Kolom296232]]+5*Tabel42[[#This Row],[Kolom296233]]+3*Tabel42[[#This Row],[Kolom29624]]+2*Tabel42[[#This Row],[Kolom2963]]+Tabel42[[#This Row],[Kolom29]])/21</f>
        <v>0.10218253968253969</v>
      </c>
      <c r="BI12" s="22">
        <f>(10*Tabel42[[#This Row],[Kolom296232]]+5*Tabel42[[#This Row],[Kolom296233]]+3*Tabel42[[#This Row],[Kolom29624]]+2*Tabel42[[#This Row],[Kolom2963]])/20</f>
        <v>0.1</v>
      </c>
      <c r="BJ12" s="22">
        <f>(10*Tabel42[[#This Row],[Kolom29634]]+3*Tabel42[[#This Row],[Kolom29633]]+2*Tabel42[[#This Row],[Kolom29632]]+Tabel42[[#This Row],[Kolom2964]])/16</f>
        <v>7.3214285714285718E-2</v>
      </c>
      <c r="BK12" s="22">
        <f>(10*Tabel42[[#This Row],[Kolom29634]]+5*Tabel42[[#This Row],[Kolom29635]]+3*Tabel42[[#This Row],[Kolom29633]]+2*Tabel42[[#This Row],[Kolom29632]])/20</f>
        <v>5.8571428571428573E-2</v>
      </c>
      <c r="BL12" s="22">
        <f>Tabel42[[#This Row],[Kolom29]]</f>
        <v>0.14583333333333334</v>
      </c>
      <c r="BM12" s="36">
        <f>_xlfn.RANK.EQ(Tabel42[[#This Row],[Kolom29]],$AI$7:$AI$37)</f>
        <v>12</v>
      </c>
      <c r="BN12" s="36">
        <f>_xlfn.RANK.EQ(Tabel42[[#This Row],[Kolom293]],BH$7:BH$37)</f>
        <v>8</v>
      </c>
      <c r="BO12" s="36">
        <f>_xlfn.RANK.EQ(Tabel42[[#This Row],[Kolom2933]],BI$7:BI$37)</f>
        <v>8</v>
      </c>
      <c r="BP12" s="36">
        <f>_xlfn.RANK.EQ(Tabel42[[#This Row],[Kolom29332]],BJ$7:BJ$37)</f>
        <v>12</v>
      </c>
      <c r="BQ12" s="36">
        <f>_xlfn.RANK.EQ(Tabel42[[#This Row],[Kolom2934]],BK$7:BK$37)</f>
        <v>11</v>
      </c>
      <c r="BR12" s="133">
        <f>AVERAGE(Tabel42[[#This Row],[Kolom2910]:[Kolom2911]])</f>
        <v>10.199999999999999</v>
      </c>
      <c r="BS12" s="135">
        <f>_xlfn.RANK.EQ(Tabel42[[#This Row],[Kolom30]],BR$7:BR$37)</f>
        <v>25</v>
      </c>
    </row>
    <row r="13" spans="1:71">
      <c r="B13" s="21" t="str">
        <f>'Symptomen (alle)'!A8</f>
        <v>Gill fluke (i.e. Dactylogyrus)</v>
      </c>
      <c r="C13" s="21">
        <f>'Symptomen (alle)'!B8</f>
        <v>0</v>
      </c>
      <c r="D13" s="21">
        <f>IF(D$4="x",'Symptomen (alle)'!C8,0)</f>
        <v>0</v>
      </c>
      <c r="E13" s="21">
        <f>IF(E$4="x",'Symptomen (alle)'!D8,0)</f>
        <v>0</v>
      </c>
      <c r="F13" s="21">
        <f>IF(F$4="x",'Symptomen (alle)'!E8,0)</f>
        <v>0</v>
      </c>
      <c r="G13" s="21">
        <f>IF(G$4="x",'Symptomen (alle)'!F8,0)</f>
        <v>0</v>
      </c>
      <c r="H13" s="21">
        <f>IF(H$4="x",'Symptomen (alle)'!G8,0)</f>
        <v>0</v>
      </c>
      <c r="I13" s="21">
        <f>IF(I$4="x",'Symptomen (alle)'!H8,0)</f>
        <v>0</v>
      </c>
      <c r="J13" s="21">
        <f>IF(J$4="x",'Symptomen (alle)'!I8,0)</f>
        <v>0</v>
      </c>
      <c r="K13" s="21">
        <f>IF(K$4="x",'Symptomen (alle)'!J8,0)</f>
        <v>0</v>
      </c>
      <c r="L13" s="21">
        <f>IF(L$4="x",'Symptomen (alle)'!K8,0)</f>
        <v>0</v>
      </c>
      <c r="M13" s="21">
        <f>IF(M$4="x",'Symptomen (alle)'!L8,0)</f>
        <v>0</v>
      </c>
      <c r="N13" s="21">
        <f>IF(N$4="x",'Symptomen (alle)'!M8,0)</f>
        <v>0</v>
      </c>
      <c r="O13" s="21">
        <f>IF(O$4="x",'Symptomen (alle)'!N8,0)</f>
        <v>0</v>
      </c>
      <c r="P13" s="21">
        <f>IF(P$4="x",'Symptomen (alle)'!O8,0)</f>
        <v>0</v>
      </c>
      <c r="Q13" s="21">
        <f>IF(Q$4="x",'Symptomen (alle)'!P8,0)</f>
        <v>0</v>
      </c>
      <c r="R13" s="21">
        <f>IF(R$4="x",'Symptomen (alle)'!Q8,0)</f>
        <v>0</v>
      </c>
      <c r="S13" s="21">
        <f>IF(S$4="x",'Symptomen (alle)'!R8,0)</f>
        <v>0</v>
      </c>
      <c r="T13" s="21">
        <f>IF(T$4="x",'Symptomen (alle)'!S8,0)</f>
        <v>0</v>
      </c>
      <c r="U13" s="21">
        <f>IF(U$4="x",'Symptomen (alle)'!T8,0)</f>
        <v>0</v>
      </c>
      <c r="V13" s="21">
        <f>IF(V$4="x",'Symptomen (alle)'!U8,0)</f>
        <v>0</v>
      </c>
      <c r="W13" s="21">
        <f>IF(W$4="x",'Symptomen (alle)'!V8,0)</f>
        <v>3</v>
      </c>
      <c r="X13" s="21">
        <f>IF(X$4="x",'Symptomen (alle)'!W8,0)</f>
        <v>0</v>
      </c>
      <c r="Y13" s="21">
        <f>IF(Y$4="x",'Symptomen (alle)'!X8,0)</f>
        <v>0</v>
      </c>
      <c r="Z13" s="21">
        <f>IF(Z$4="x",'Symptomen (alle)'!Y8,0)</f>
        <v>0</v>
      </c>
      <c r="AA13" s="21">
        <f>IF(AA$4="x",'Symptomen (alle)'!Z8,0)</f>
        <v>0</v>
      </c>
      <c r="AB13" s="21">
        <f>IF(AB$4="x",'Symptomen (alle)'!AA8,0)</f>
        <v>0</v>
      </c>
      <c r="AC13" s="21">
        <f>IF(AC$4="x",'Symptomen (alle)'!AB8,0)</f>
        <v>0</v>
      </c>
      <c r="AD13" s="21">
        <f>IF(AD$4="x",'Symptomen (alle)'!AC8,0)</f>
        <v>0</v>
      </c>
      <c r="AE13" s="21">
        <f t="shared" si="1"/>
        <v>3</v>
      </c>
      <c r="AF13" s="21">
        <f>HLOOKUP($B$4,ZiekteFam!$B$1:$T$32,AG13,FALSE)</f>
        <v>0</v>
      </c>
      <c r="AG13" s="32">
        <f t="shared" si="2"/>
        <v>8</v>
      </c>
      <c r="AH13" s="32">
        <f>SUM('Symptomen (alle)'!D8:AC8)</f>
        <v>33</v>
      </c>
      <c r="AI13" s="22">
        <f>Tabel42[[#This Row],[Kolom25]]/Tabel42[[#This Row],[Kolom28]]</f>
        <v>9.0909090909090912E-2</v>
      </c>
      <c r="AJ13" s="36">
        <f t="shared" si="0"/>
        <v>2</v>
      </c>
      <c r="AK13" s="36">
        <f t="shared" si="3"/>
        <v>0</v>
      </c>
      <c r="AL13" s="36">
        <f t="shared" si="4"/>
        <v>0</v>
      </c>
      <c r="AM13" s="36">
        <f t="shared" si="5"/>
        <v>0</v>
      </c>
      <c r="AN13" s="36">
        <f t="shared" si="6"/>
        <v>0</v>
      </c>
      <c r="AO13" s="36">
        <f>COUNTIF(Tabel42[[#This Row],[Kolom3]:[Kolom222]],10)</f>
        <v>0</v>
      </c>
      <c r="AP13" s="36">
        <f>COUNTIF(Tabel42[[#This Row],[Kolom3]:[Kolom222]],5)</f>
        <v>0</v>
      </c>
      <c r="AQ13" s="36">
        <f>COUNTIF(Tabel42[[#This Row],[Kolom3]:[Kolom222]],3)</f>
        <v>1</v>
      </c>
      <c r="AR13" s="36">
        <f>COUNTIF(Tabel42[[#This Row],[Kolom3]:[Kolom222]],2)</f>
        <v>0</v>
      </c>
      <c r="AS13" s="36">
        <f>COUNTIF(Tabel42[[#This Row],[Kolom3]:[Kolom222]],1)</f>
        <v>0</v>
      </c>
      <c r="AT13" s="36">
        <f>COUNTIF('Symptomen (alle)'!$D8:$AC8,10)</f>
        <v>1</v>
      </c>
      <c r="AU13" s="36">
        <f>COUNTIF('Symptomen (alle)'!$D8:$AC8,5)</f>
        <v>0</v>
      </c>
      <c r="AV13" s="36">
        <f>COUNTIF('Symptomen (alle)'!$D8:$AC8,3)</f>
        <v>4</v>
      </c>
      <c r="AW13" s="36">
        <f>COUNTIF('Symptomen (alle)'!$D8:$AC8,2)</f>
        <v>4</v>
      </c>
      <c r="AX13" s="36">
        <f>COUNTIF('Symptomen (alle)'!$D8:$AC8,1)</f>
        <v>3</v>
      </c>
      <c r="AY13" s="22">
        <f>IF(Tabel42[[#This Row],[Kolom300]]=0,0,Tabel42[[#This Row],[Kolom2972]]/Tabel42[[#This Row],[Kolom300]])</f>
        <v>0</v>
      </c>
      <c r="AZ13" s="22">
        <f>IF(Tabel42[[#This Row],[Kolom301]]=0,0,Tabel42[[#This Row],[Kolom2973]]/Tabel42[[#This Row],[Kolom301]])</f>
        <v>0</v>
      </c>
      <c r="BA13" s="22">
        <f>IF(Tabel42[[#This Row],[Kolom294]]=0,0,Tabel42[[#This Row],[Kolom298]]/Tabel42[[#This Row],[Kolom294]])</f>
        <v>0</v>
      </c>
      <c r="BB13" s="22">
        <f>IF(Tabel42[[#This Row],[Kolom295]]=0,0,Tabel42[[#This Row],[Kolom299]]/Tabel42[[#This Row],[Kolom295]])</f>
        <v>0</v>
      </c>
      <c r="BC13" s="22">
        <f>IF(Tabel42[[#This Row],[Kolom2965]]=0,0,Tabel42[[#This Row],[Kolom300]]/Tabel42[[#This Row],[Kolom2965]])</f>
        <v>0</v>
      </c>
      <c r="BD13" s="22">
        <f>IF(Tabel42[[#This Row],[Kolom2966]]=0,0,Tabel42[[#This Row],[Kolom301]]/Tabel42[[#This Row],[Kolom2966]])</f>
        <v>0</v>
      </c>
      <c r="BE13" s="22">
        <f>IF(Tabel42[[#This Row],[Kolom2962]]=0,0,Tabel42[[#This Row],[Kolom294]]/Tabel42[[#This Row],[Kolom2962]])</f>
        <v>0.25</v>
      </c>
      <c r="BF13" s="22">
        <f>IF(Tabel42[[#This Row],[Kolom29622]]=0,0,Tabel42[[#This Row],[Kolom295]]/Tabel42[[#This Row],[Kolom29622]])</f>
        <v>0</v>
      </c>
      <c r="BG13" s="22">
        <f>IF(Tabel42[[#This Row],[Kolom29623]]=0,0,Tabel42[[#This Row],[Kolom296]]/Tabel42[[#This Row],[Kolom29623]])</f>
        <v>0</v>
      </c>
      <c r="BH13" s="22">
        <f>(10*Tabel42[[#This Row],[Kolom296232]]+5*Tabel42[[#This Row],[Kolom296233]]+3*Tabel42[[#This Row],[Kolom29624]]+2*Tabel42[[#This Row],[Kolom2963]]+Tabel42[[#This Row],[Kolom29]])/21</f>
        <v>4.329004329004329E-3</v>
      </c>
      <c r="BI13" s="22">
        <f>(10*Tabel42[[#This Row],[Kolom296232]]+5*Tabel42[[#This Row],[Kolom296233]]+3*Tabel42[[#This Row],[Kolom29624]]+2*Tabel42[[#This Row],[Kolom2963]])/20</f>
        <v>0</v>
      </c>
      <c r="BJ13" s="22">
        <f>(10*Tabel42[[#This Row],[Kolom29634]]+3*Tabel42[[#This Row],[Kolom29633]]+2*Tabel42[[#This Row],[Kolom29632]]+Tabel42[[#This Row],[Kolom2964]])/16</f>
        <v>4.6875E-2</v>
      </c>
      <c r="BK13" s="22">
        <f>(10*Tabel42[[#This Row],[Kolom29634]]+5*Tabel42[[#This Row],[Kolom29635]]+3*Tabel42[[#This Row],[Kolom29633]]+2*Tabel42[[#This Row],[Kolom29632]])/20</f>
        <v>3.7499999999999999E-2</v>
      </c>
      <c r="BL13" s="22">
        <f>Tabel42[[#This Row],[Kolom29]]</f>
        <v>9.0909090909090912E-2</v>
      </c>
      <c r="BM13" s="36">
        <f>_xlfn.RANK.EQ(Tabel42[[#This Row],[Kolom29]],$AI$7:$AI$37)</f>
        <v>18</v>
      </c>
      <c r="BN13" s="36">
        <f>_xlfn.RANK.EQ(Tabel42[[#This Row],[Kolom293]],BH$7:BH$37)</f>
        <v>22</v>
      </c>
      <c r="BO13" s="36">
        <f>_xlfn.RANK.EQ(Tabel42[[#This Row],[Kolom2933]],BI$7:BI$37)</f>
        <v>16</v>
      </c>
      <c r="BP13" s="36">
        <f>_xlfn.RANK.EQ(Tabel42[[#This Row],[Kolom29332]],BJ$7:BJ$37)</f>
        <v>15</v>
      </c>
      <c r="BQ13" s="36">
        <f>_xlfn.RANK.EQ(Tabel42[[#This Row],[Kolom2934]],BK$7:BK$37)</f>
        <v>15</v>
      </c>
      <c r="BR13" s="133">
        <f>AVERAGE(Tabel42[[#This Row],[Kolom2910]:[Kolom2911]])</f>
        <v>17.2</v>
      </c>
      <c r="BS13" s="135">
        <f>_xlfn.RANK.EQ(Tabel42[[#This Row],[Kolom30]],BR$7:BR$37)</f>
        <v>12</v>
      </c>
    </row>
    <row r="14" spans="1:71">
      <c r="B14" s="21" t="str">
        <f>'Symptomen (alle)'!A9</f>
        <v>ICH/White spot disease_x000D_(Ichthyophthirius)</v>
      </c>
      <c r="C14" s="21">
        <f>'Symptomen (alle)'!B9</f>
        <v>1</v>
      </c>
      <c r="D14" s="21" t="str">
        <f>IF(D$4="x",'Symptomen (alle)'!C9,0)</f>
        <v>x</v>
      </c>
      <c r="E14" s="21">
        <f>IF(E$4="x",'Symptomen (alle)'!D9,0)</f>
        <v>0</v>
      </c>
      <c r="F14" s="21">
        <f>IF(F$4="x",'Symptomen (alle)'!E9,0)</f>
        <v>0</v>
      </c>
      <c r="G14" s="21">
        <f>IF(G$4="x",'Symptomen (alle)'!F9,0)</f>
        <v>0</v>
      </c>
      <c r="H14" s="21">
        <f>IF(H$4="x",'Symptomen (alle)'!G9,0)</f>
        <v>0</v>
      </c>
      <c r="I14" s="21">
        <f>IF(I$4="x",'Symptomen (alle)'!H9,0)</f>
        <v>0</v>
      </c>
      <c r="J14" s="21">
        <f>IF(J$4="x",'Symptomen (alle)'!I9,0)</f>
        <v>2</v>
      </c>
      <c r="K14" s="21">
        <f>IF(K$4="x",'Symptomen (alle)'!J9,0)</f>
        <v>0</v>
      </c>
      <c r="L14" s="21">
        <f>IF(L$4="x",'Symptomen (alle)'!K9,0)</f>
        <v>0</v>
      </c>
      <c r="M14" s="21">
        <f>IF(M$4="x",'Symptomen (alle)'!L9,0)</f>
        <v>0</v>
      </c>
      <c r="N14" s="21">
        <f>IF(N$4="x",'Symptomen (alle)'!M9,0)</f>
        <v>0</v>
      </c>
      <c r="O14" s="21">
        <f>IF(O$4="x",'Symptomen (alle)'!N9,0)</f>
        <v>0</v>
      </c>
      <c r="P14" s="21">
        <f>IF(P$4="x",'Symptomen (alle)'!O9,0)</f>
        <v>0</v>
      </c>
      <c r="Q14" s="21">
        <f>IF(Q$4="x",'Symptomen (alle)'!P9,0)</f>
        <v>0</v>
      </c>
      <c r="R14" s="21">
        <f>IF(R$4="x",'Symptomen (alle)'!Q9,0)</f>
        <v>0</v>
      </c>
      <c r="S14" s="21">
        <f>IF(S$4="x",'Symptomen (alle)'!R9,0)</f>
        <v>0</v>
      </c>
      <c r="T14" s="21">
        <f>IF(T$4="x",'Symptomen (alle)'!S9,0)</f>
        <v>2</v>
      </c>
      <c r="U14" s="21">
        <f>IF(U$4="x",'Symptomen (alle)'!T9,0)</f>
        <v>0</v>
      </c>
      <c r="V14" s="21">
        <f>IF(V$4="x",'Symptomen (alle)'!U9,0)</f>
        <v>0</v>
      </c>
      <c r="W14" s="21">
        <f>IF(W$4="x",'Symptomen (alle)'!V9,0)</f>
        <v>2</v>
      </c>
      <c r="X14" s="21">
        <f>IF(X$4="x",'Symptomen (alle)'!W9,0)</f>
        <v>0</v>
      </c>
      <c r="Y14" s="21">
        <f>IF(Y$4="x",'Symptomen (alle)'!X9,0)</f>
        <v>0</v>
      </c>
      <c r="Z14" s="21">
        <f>IF(Z$4="x",'Symptomen (alle)'!Y9,0)</f>
        <v>0</v>
      </c>
      <c r="AA14" s="21">
        <f>IF(AA$4="x",'Symptomen (alle)'!Z9,0)</f>
        <v>0</v>
      </c>
      <c r="AB14" s="21">
        <f>IF(AB$4="x",'Symptomen (alle)'!AA9,0)</f>
        <v>0</v>
      </c>
      <c r="AC14" s="21">
        <f>IF(AC$4="x",'Symptomen (alle)'!AB9,0)</f>
        <v>0</v>
      </c>
      <c r="AD14" s="21">
        <f>IF(AD$4="x",'Symptomen (alle)'!AC9,0)</f>
        <v>0</v>
      </c>
      <c r="AE14" s="21">
        <f t="shared" si="1"/>
        <v>6</v>
      </c>
      <c r="AF14" s="21">
        <f>HLOOKUP($B$4,ZiekteFam!$B$1:$T$32,AG14,FALSE)</f>
        <v>3</v>
      </c>
      <c r="AG14" s="32">
        <f t="shared" si="2"/>
        <v>9</v>
      </c>
      <c r="AH14" s="32">
        <f>SUM('Symptomen (alle)'!D9:AC9)</f>
        <v>43</v>
      </c>
      <c r="AI14" s="22">
        <f>Tabel42[[#This Row],[Kolom25]]/Tabel42[[#This Row],[Kolom28]]</f>
        <v>0.13953488372093023</v>
      </c>
      <c r="AJ14" s="36">
        <f t="shared" si="0"/>
        <v>2</v>
      </c>
      <c r="AK14" s="36">
        <f t="shared" si="3"/>
        <v>0</v>
      </c>
      <c r="AL14" s="36">
        <f t="shared" si="4"/>
        <v>0</v>
      </c>
      <c r="AM14" s="36">
        <f t="shared" si="5"/>
        <v>0</v>
      </c>
      <c r="AN14" s="36">
        <f t="shared" si="6"/>
        <v>2</v>
      </c>
      <c r="AO14" s="36">
        <f>COUNTIF(Tabel42[[#This Row],[Kolom3]:[Kolom222]],10)</f>
        <v>0</v>
      </c>
      <c r="AP14" s="36">
        <f>COUNTIF(Tabel42[[#This Row],[Kolom3]:[Kolom222]],5)</f>
        <v>0</v>
      </c>
      <c r="AQ14" s="36">
        <f>COUNTIF(Tabel42[[#This Row],[Kolom3]:[Kolom222]],3)</f>
        <v>0</v>
      </c>
      <c r="AR14" s="36">
        <f>COUNTIF(Tabel42[[#This Row],[Kolom3]:[Kolom222]],2)</f>
        <v>3</v>
      </c>
      <c r="AS14" s="36">
        <f>COUNTIF(Tabel42[[#This Row],[Kolom3]:[Kolom222]],1)</f>
        <v>0</v>
      </c>
      <c r="AT14" s="36">
        <f>COUNTIF('Symptomen (alle)'!$D9:$AC9,10)</f>
        <v>1</v>
      </c>
      <c r="AU14" s="36">
        <f>COUNTIF('Symptomen (alle)'!$D9:$AC9,5)</f>
        <v>0</v>
      </c>
      <c r="AV14" s="36">
        <f>COUNTIF('Symptomen (alle)'!$D9:$AC9,3)</f>
        <v>4</v>
      </c>
      <c r="AW14" s="36">
        <f>COUNTIF('Symptomen (alle)'!$D9:$AC9,2)</f>
        <v>7</v>
      </c>
      <c r="AX14" s="36">
        <f>COUNTIF('Symptomen (alle)'!$D9:$AC9,1)</f>
        <v>7</v>
      </c>
      <c r="AY14" s="22">
        <f>IF(Tabel42[[#This Row],[Kolom300]]=0,0,Tabel42[[#This Row],[Kolom2972]]/Tabel42[[#This Row],[Kolom300]])</f>
        <v>0</v>
      </c>
      <c r="AZ14" s="22">
        <f>IF(Tabel42[[#This Row],[Kolom301]]=0,0,Tabel42[[#This Row],[Kolom2973]]/Tabel42[[#This Row],[Kolom301]])</f>
        <v>0</v>
      </c>
      <c r="BA14" s="22">
        <f>IF(Tabel42[[#This Row],[Kolom294]]=0,0,Tabel42[[#This Row],[Kolom298]]/Tabel42[[#This Row],[Kolom294]])</f>
        <v>0</v>
      </c>
      <c r="BB14" s="22">
        <f>IF(Tabel42[[#This Row],[Kolom295]]=0,0,Tabel42[[#This Row],[Kolom299]]/Tabel42[[#This Row],[Kolom295]])</f>
        <v>0.66666666666666663</v>
      </c>
      <c r="BC14" s="22">
        <f>IF(Tabel42[[#This Row],[Kolom2965]]=0,0,Tabel42[[#This Row],[Kolom300]]/Tabel42[[#This Row],[Kolom2965]])</f>
        <v>0</v>
      </c>
      <c r="BD14" s="22">
        <f>IF(Tabel42[[#This Row],[Kolom2966]]=0,0,Tabel42[[#This Row],[Kolom301]]/Tabel42[[#This Row],[Kolom2966]])</f>
        <v>0</v>
      </c>
      <c r="BE14" s="22">
        <f>IF(Tabel42[[#This Row],[Kolom2962]]=0,0,Tabel42[[#This Row],[Kolom294]]/Tabel42[[#This Row],[Kolom2962]])</f>
        <v>0</v>
      </c>
      <c r="BF14" s="22">
        <f>IF(Tabel42[[#This Row],[Kolom29622]]=0,0,Tabel42[[#This Row],[Kolom295]]/Tabel42[[#This Row],[Kolom29622]])</f>
        <v>0.42857142857142855</v>
      </c>
      <c r="BG14" s="22">
        <f>IF(Tabel42[[#This Row],[Kolom29623]]=0,0,Tabel42[[#This Row],[Kolom296]]/Tabel42[[#This Row],[Kolom29623]])</f>
        <v>0</v>
      </c>
      <c r="BH14" s="22">
        <f>(10*Tabel42[[#This Row],[Kolom296232]]+5*Tabel42[[#This Row],[Kolom296233]]+3*Tabel42[[#This Row],[Kolom29624]]+2*Tabel42[[#This Row],[Kolom2963]]+Tabel42[[#This Row],[Kolom29]])/21</f>
        <v>7.013658176448874E-2</v>
      </c>
      <c r="BI14" s="22">
        <f>(10*Tabel42[[#This Row],[Kolom296232]]+5*Tabel42[[#This Row],[Kolom296233]]+3*Tabel42[[#This Row],[Kolom29624]]+2*Tabel42[[#This Row],[Kolom2963]])/20</f>
        <v>6.6666666666666666E-2</v>
      </c>
      <c r="BJ14" s="22">
        <f>(10*Tabel42[[#This Row],[Kolom29634]]+3*Tabel42[[#This Row],[Kolom29633]]+2*Tabel42[[#This Row],[Kolom29632]]+Tabel42[[#This Row],[Kolom2964]])/16</f>
        <v>5.3571428571428568E-2</v>
      </c>
      <c r="BK14" s="22">
        <f>(10*Tabel42[[#This Row],[Kolom29634]]+5*Tabel42[[#This Row],[Kolom29635]]+3*Tabel42[[#This Row],[Kolom29633]]+2*Tabel42[[#This Row],[Kolom29632]])/20</f>
        <v>4.2857142857142858E-2</v>
      </c>
      <c r="BL14" s="22">
        <f>Tabel42[[#This Row],[Kolom29]]</f>
        <v>0.13953488372093023</v>
      </c>
      <c r="BM14" s="36">
        <f>_xlfn.RANK.EQ(Tabel42[[#This Row],[Kolom29]],$AI$7:$AI$37)</f>
        <v>13</v>
      </c>
      <c r="BN14" s="36">
        <f>_xlfn.RANK.EQ(Tabel42[[#This Row],[Kolom293]],BH$7:BH$37)</f>
        <v>13</v>
      </c>
      <c r="BO14" s="36">
        <f>_xlfn.RANK.EQ(Tabel42[[#This Row],[Kolom2933]],BI$7:BI$37)</f>
        <v>13</v>
      </c>
      <c r="BP14" s="36">
        <f>_xlfn.RANK.EQ(Tabel42[[#This Row],[Kolom29332]],BJ$7:BJ$37)</f>
        <v>13</v>
      </c>
      <c r="BQ14" s="36">
        <f>_xlfn.RANK.EQ(Tabel42[[#This Row],[Kolom2934]],BK$7:BK$37)</f>
        <v>13</v>
      </c>
      <c r="BR14" s="133">
        <f>AVERAGE(Tabel42[[#This Row],[Kolom2910]:[Kolom2911]])</f>
        <v>13</v>
      </c>
      <c r="BS14" s="135">
        <f>_xlfn.RANK.EQ(Tabel42[[#This Row],[Kolom30]],BR$7:BR$37)</f>
        <v>18</v>
      </c>
    </row>
    <row r="15" spans="1:71">
      <c r="B15" s="21" t="str">
        <f>'Symptomen (alle)'!A10</f>
        <v>Oodinium/Velvet disease</v>
      </c>
      <c r="C15">
        <f>'Symptomen (alle)'!B10</f>
        <v>1</v>
      </c>
      <c r="D15" s="21" t="str">
        <f>IF(D$4="x",'Symptomen (alle)'!C10,0)</f>
        <v>x</v>
      </c>
      <c r="E15" s="21">
        <f>IF(E$4="x",'Symptomen (alle)'!D10,0)</f>
        <v>0</v>
      </c>
      <c r="F15" s="21">
        <f>IF(F$4="x",'Symptomen (alle)'!E10,0)</f>
        <v>0</v>
      </c>
      <c r="G15" s="21">
        <f>IF(G$4="x",'Symptomen (alle)'!F10,0)</f>
        <v>0</v>
      </c>
      <c r="H15" s="21">
        <f>IF(H$4="x",'Symptomen (alle)'!G10,0)</f>
        <v>0</v>
      </c>
      <c r="I15" s="21">
        <f>IF(I$4="x",'Symptomen (alle)'!H10,0)</f>
        <v>0</v>
      </c>
      <c r="J15" s="21">
        <f>IF(J$4="x",'Symptomen (alle)'!I10,0)</f>
        <v>2</v>
      </c>
      <c r="K15" s="21">
        <f>IF(K$4="x",'Symptomen (alle)'!J10,0)</f>
        <v>0</v>
      </c>
      <c r="L15" s="21">
        <f>IF(L$4="x",'Symptomen (alle)'!K10,0)</f>
        <v>0</v>
      </c>
      <c r="M15" s="21">
        <f>IF(M$4="x",'Symptomen (alle)'!L10,0)</f>
        <v>0</v>
      </c>
      <c r="N15" s="21">
        <f>IF(N$4="x",'Symptomen (alle)'!M10,0)</f>
        <v>0</v>
      </c>
      <c r="O15" s="21">
        <f>IF(O$4="x",'Symptomen (alle)'!N10,0)</f>
        <v>0</v>
      </c>
      <c r="P15" s="21">
        <f>IF(P$4="x",'Symptomen (alle)'!O10,0)</f>
        <v>0</v>
      </c>
      <c r="Q15" s="21">
        <f>IF(Q$4="x",'Symptomen (alle)'!P10,0)</f>
        <v>0</v>
      </c>
      <c r="R15" s="21">
        <f>IF(R$4="x",'Symptomen (alle)'!Q10,0)</f>
        <v>0</v>
      </c>
      <c r="S15" s="21">
        <f>IF(S$4="x",'Symptomen (alle)'!R10,0)</f>
        <v>0</v>
      </c>
      <c r="T15" s="21">
        <f>IF(T$4="x",'Symptomen (alle)'!S10,0)</f>
        <v>10</v>
      </c>
      <c r="U15" s="21">
        <f>IF(U$4="x",'Symptomen (alle)'!T10,0)</f>
        <v>0</v>
      </c>
      <c r="V15" s="21">
        <f>IF(V$4="x",'Symptomen (alle)'!U10,0)</f>
        <v>0</v>
      </c>
      <c r="W15" s="21">
        <f>IF(W$4="x",'Symptomen (alle)'!V10,0)</f>
        <v>3</v>
      </c>
      <c r="X15" s="21">
        <f>IF(X$4="x",'Symptomen (alle)'!W10,0)</f>
        <v>0</v>
      </c>
      <c r="Y15" s="21">
        <f>IF(Y$4="x",'Symptomen (alle)'!X10,0)</f>
        <v>2</v>
      </c>
      <c r="Z15" s="21">
        <f>IF(Z$4="x",'Symptomen (alle)'!Y10,0)</f>
        <v>0</v>
      </c>
      <c r="AA15" s="21">
        <f>IF(AA$4="x",'Symptomen (alle)'!Z10,0)</f>
        <v>0</v>
      </c>
      <c r="AB15" s="21">
        <f>IF(AB$4="x",'Symptomen (alle)'!AA10,0)</f>
        <v>0</v>
      </c>
      <c r="AC15" s="21">
        <f>IF(AC$4="x",'Symptomen (alle)'!AB10,0)</f>
        <v>0</v>
      </c>
      <c r="AD15" s="21">
        <f>IF(AD$4="x",'Symptomen (alle)'!AC10,0)</f>
        <v>0</v>
      </c>
      <c r="AE15" s="21">
        <f t="shared" si="1"/>
        <v>17</v>
      </c>
      <c r="AF15" s="21">
        <f>HLOOKUP($B$4,ZiekteFam!$B$1:$T$32,AG15,FALSE)</f>
        <v>3</v>
      </c>
      <c r="AG15" s="32">
        <f t="shared" si="2"/>
        <v>10</v>
      </c>
      <c r="AH15" s="32">
        <f>SUM('Symptomen (alle)'!D10:AC10)</f>
        <v>41</v>
      </c>
      <c r="AI15" s="22">
        <f>Tabel42[[#This Row],[Kolom25]]/Tabel42[[#This Row],[Kolom28]]</f>
        <v>0.41463414634146339</v>
      </c>
      <c r="AJ15" s="36">
        <f t="shared" si="0"/>
        <v>2</v>
      </c>
      <c r="AK15" s="36">
        <f t="shared" si="3"/>
        <v>1</v>
      </c>
      <c r="AL15" s="36">
        <f t="shared" si="4"/>
        <v>0</v>
      </c>
      <c r="AM15" s="36">
        <f t="shared" si="5"/>
        <v>0</v>
      </c>
      <c r="AN15" s="36">
        <f t="shared" si="6"/>
        <v>1</v>
      </c>
      <c r="AO15" s="36">
        <f>COUNTIF(Tabel42[[#This Row],[Kolom3]:[Kolom222]],10)</f>
        <v>1</v>
      </c>
      <c r="AP15" s="36">
        <f>COUNTIF(Tabel42[[#This Row],[Kolom3]:[Kolom222]],5)</f>
        <v>0</v>
      </c>
      <c r="AQ15" s="36">
        <f>COUNTIF(Tabel42[[#This Row],[Kolom3]:[Kolom222]],3)</f>
        <v>1</v>
      </c>
      <c r="AR15" s="36">
        <f>COUNTIF(Tabel42[[#This Row],[Kolom3]:[Kolom222]],2)</f>
        <v>2</v>
      </c>
      <c r="AS15" s="36">
        <f>COUNTIF(Tabel42[[#This Row],[Kolom3]:[Kolom222]],1)</f>
        <v>0</v>
      </c>
      <c r="AT15" s="36">
        <f>COUNTIF('Symptomen (alle)'!$D10:$AC10,10)</f>
        <v>1</v>
      </c>
      <c r="AU15" s="36">
        <f>COUNTIF('Symptomen (alle)'!$D10:$AC10,5)</f>
        <v>0</v>
      </c>
      <c r="AV15" s="36">
        <f>COUNTIF('Symptomen (alle)'!$D10:$AC10,3)</f>
        <v>4</v>
      </c>
      <c r="AW15" s="36">
        <f>COUNTIF('Symptomen (alle)'!$D10:$AC10,2)</f>
        <v>7</v>
      </c>
      <c r="AX15" s="36">
        <f>COUNTIF('Symptomen (alle)'!$D10:$AC10,1)</f>
        <v>5</v>
      </c>
      <c r="AY15" s="22">
        <f>IF(Tabel42[[#This Row],[Kolom300]]=0,0,Tabel42[[#This Row],[Kolom2972]]/Tabel42[[#This Row],[Kolom300]])</f>
        <v>1</v>
      </c>
      <c r="AZ15" s="22">
        <f>IF(Tabel42[[#This Row],[Kolom301]]=0,0,Tabel42[[#This Row],[Kolom2973]]/Tabel42[[#This Row],[Kolom301]])</f>
        <v>0</v>
      </c>
      <c r="BA15" s="22">
        <f>IF(Tabel42[[#This Row],[Kolom294]]=0,0,Tabel42[[#This Row],[Kolom298]]/Tabel42[[#This Row],[Kolom294]])</f>
        <v>0</v>
      </c>
      <c r="BB15" s="22">
        <f>IF(Tabel42[[#This Row],[Kolom295]]=0,0,Tabel42[[#This Row],[Kolom299]]/Tabel42[[#This Row],[Kolom295]])</f>
        <v>0.5</v>
      </c>
      <c r="BC15" s="22">
        <f>IF(Tabel42[[#This Row],[Kolom2965]]=0,0,Tabel42[[#This Row],[Kolom300]]/Tabel42[[#This Row],[Kolom2965]])</f>
        <v>1</v>
      </c>
      <c r="BD15" s="22">
        <f>IF(Tabel42[[#This Row],[Kolom2966]]=0,0,Tabel42[[#This Row],[Kolom301]]/Tabel42[[#This Row],[Kolom2966]])</f>
        <v>0</v>
      </c>
      <c r="BE15" s="22">
        <f>IF(Tabel42[[#This Row],[Kolom2962]]=0,0,Tabel42[[#This Row],[Kolom294]]/Tabel42[[#This Row],[Kolom2962]])</f>
        <v>0.25</v>
      </c>
      <c r="BF15" s="22">
        <f>IF(Tabel42[[#This Row],[Kolom29622]]=0,0,Tabel42[[#This Row],[Kolom295]]/Tabel42[[#This Row],[Kolom29622]])</f>
        <v>0.2857142857142857</v>
      </c>
      <c r="BG15" s="22">
        <f>IF(Tabel42[[#This Row],[Kolom29623]]=0,0,Tabel42[[#This Row],[Kolom296]]/Tabel42[[#This Row],[Kolom29623]])</f>
        <v>0</v>
      </c>
      <c r="BH15" s="22">
        <f>(10*Tabel42[[#This Row],[Kolom296232]]+5*Tabel42[[#This Row],[Kolom296233]]+3*Tabel42[[#This Row],[Kolom29624]]+2*Tabel42[[#This Row],[Kolom2963]]+Tabel42[[#This Row],[Kolom29]])/21</f>
        <v>0.54355400696864109</v>
      </c>
      <c r="BI15" s="22">
        <f>(10*Tabel42[[#This Row],[Kolom296232]]+5*Tabel42[[#This Row],[Kolom296233]]+3*Tabel42[[#This Row],[Kolom29624]]+2*Tabel42[[#This Row],[Kolom2963]])/20</f>
        <v>0.55000000000000004</v>
      </c>
      <c r="BJ15" s="22">
        <f>(10*Tabel42[[#This Row],[Kolom29634]]+3*Tabel42[[#This Row],[Kolom29633]]+2*Tabel42[[#This Row],[Kolom29632]]+Tabel42[[#This Row],[Kolom2964]])/16</f>
        <v>0.7075892857142857</v>
      </c>
      <c r="BK15" s="22">
        <f>(10*Tabel42[[#This Row],[Kolom29634]]+5*Tabel42[[#This Row],[Kolom29635]]+3*Tabel42[[#This Row],[Kolom29633]]+2*Tabel42[[#This Row],[Kolom29632]])/20</f>
        <v>0.56607142857142856</v>
      </c>
      <c r="BL15" s="22">
        <f>Tabel42[[#This Row],[Kolom29]]</f>
        <v>0.41463414634146339</v>
      </c>
      <c r="BM15" s="36">
        <f>_xlfn.RANK.EQ(Tabel42[[#This Row],[Kolom29]],$AI$7:$AI$37)</f>
        <v>2</v>
      </c>
      <c r="BN15" s="36">
        <f>_xlfn.RANK.EQ(Tabel42[[#This Row],[Kolom293]],BH$7:BH$37)</f>
        <v>1</v>
      </c>
      <c r="BO15" s="36">
        <f>_xlfn.RANK.EQ(Tabel42[[#This Row],[Kolom2933]],BI$7:BI$37)</f>
        <v>1</v>
      </c>
      <c r="BP15" s="36">
        <f>_xlfn.RANK.EQ(Tabel42[[#This Row],[Kolom29332]],BJ$7:BJ$37)</f>
        <v>1</v>
      </c>
      <c r="BQ15" s="36">
        <f>_xlfn.RANK.EQ(Tabel42[[#This Row],[Kolom2934]],BK$7:BK$37)</f>
        <v>1</v>
      </c>
      <c r="BR15" s="133">
        <f>AVERAGE(Tabel42[[#This Row],[Kolom2910]:[Kolom2911]])</f>
        <v>1.2</v>
      </c>
      <c r="BS15" s="135">
        <f>_xlfn.RANK.EQ(Tabel42[[#This Row],[Kolom30]],BR$7:BR$37)</f>
        <v>31</v>
      </c>
    </row>
    <row r="16" spans="1:71">
      <c r="B16" s="21" t="str">
        <f>'Symptomen (alle)'!A11</f>
        <v>Black spot disease (mostly encapsulated worm larvae)</v>
      </c>
      <c r="C16" s="77">
        <f>'Symptomen (alle)'!B11</f>
        <v>1</v>
      </c>
      <c r="D16" s="21" t="str">
        <f>IF(D$4="x",'Symptomen (alle)'!C11,0)</f>
        <v>x</v>
      </c>
      <c r="E16" s="21">
        <f>IF(E$4="x",'Symptomen (alle)'!D11,0)</f>
        <v>0</v>
      </c>
      <c r="F16" s="21">
        <f>IF(F$4="x",'Symptomen (alle)'!E11,0)</f>
        <v>0</v>
      </c>
      <c r="G16" s="21">
        <f>IF(G$4="x",'Symptomen (alle)'!F11,0)</f>
        <v>0</v>
      </c>
      <c r="H16" s="21">
        <f>IF(H$4="x",'Symptomen (alle)'!G11,0)</f>
        <v>0</v>
      </c>
      <c r="I16" s="21">
        <f>IF(I$4="x",'Symptomen (alle)'!H11,0)</f>
        <v>0</v>
      </c>
      <c r="J16" s="21">
        <f>IF(J$4="x",'Symptomen (alle)'!I11,0)</f>
        <v>1</v>
      </c>
      <c r="K16" s="21">
        <f>IF(K$4="x",'Symptomen (alle)'!J11,0)</f>
        <v>0</v>
      </c>
      <c r="L16" s="21">
        <f>IF(L$4="x",'Symptomen (alle)'!K11,0)</f>
        <v>0</v>
      </c>
      <c r="M16" s="21">
        <f>IF(M$4="x",'Symptomen (alle)'!L11,0)</f>
        <v>0</v>
      </c>
      <c r="N16" s="21">
        <f>IF(N$4="x",'Symptomen (alle)'!M11,0)</f>
        <v>0</v>
      </c>
      <c r="O16" s="21">
        <f>IF(O$4="x",'Symptomen (alle)'!N11,0)</f>
        <v>0</v>
      </c>
      <c r="P16" s="21">
        <f>IF(P$4="x",'Symptomen (alle)'!O11,0)</f>
        <v>0</v>
      </c>
      <c r="Q16" s="21">
        <f>IF(Q$4="x",'Symptomen (alle)'!P11,0)</f>
        <v>0</v>
      </c>
      <c r="R16" s="21">
        <f>IF(R$4="x",'Symptomen (alle)'!Q11,0)</f>
        <v>0</v>
      </c>
      <c r="S16" s="21">
        <f>IF(S$4="x",'Symptomen (alle)'!R11,0)</f>
        <v>0</v>
      </c>
      <c r="T16" s="21">
        <f>IF(T$4="x",'Symptomen (alle)'!S11,0)</f>
        <v>0</v>
      </c>
      <c r="U16" s="21">
        <f>IF(U$4="x",'Symptomen (alle)'!T11,0)</f>
        <v>0</v>
      </c>
      <c r="V16" s="21">
        <f>IF(V$4="x",'Symptomen (alle)'!U11,0)</f>
        <v>0</v>
      </c>
      <c r="W16" s="21">
        <f>IF(W$4="x",'Symptomen (alle)'!V11,0)</f>
        <v>1</v>
      </c>
      <c r="X16" s="21">
        <f>IF(X$4="x",'Symptomen (alle)'!W11,0)</f>
        <v>0</v>
      </c>
      <c r="Y16" s="21">
        <f>IF(Y$4="x",'Symptomen (alle)'!X11,0)</f>
        <v>1</v>
      </c>
      <c r="Z16" s="21">
        <f>IF(Z$4="x",'Symptomen (alle)'!Y11,0)</f>
        <v>0</v>
      </c>
      <c r="AA16" s="21">
        <f>IF(AA$4="x",'Symptomen (alle)'!Z11,0)</f>
        <v>0</v>
      </c>
      <c r="AB16" s="21">
        <f>IF(AB$4="x",'Symptomen (alle)'!AA11,0)</f>
        <v>0</v>
      </c>
      <c r="AC16" s="21">
        <f>IF(AC$4="x",'Symptomen (alle)'!AB11,0)</f>
        <v>0</v>
      </c>
      <c r="AD16" s="21">
        <f>IF(AD$4="x",'Symptomen (alle)'!AC11,0)</f>
        <v>0</v>
      </c>
      <c r="AE16" s="21">
        <f t="shared" si="1"/>
        <v>3</v>
      </c>
      <c r="AF16" s="21">
        <f>HLOOKUP($B$4,ZiekteFam!$B$1:$T$32,AG16,FALSE)</f>
        <v>3</v>
      </c>
      <c r="AG16" s="32">
        <f t="shared" ref="AG16:AG17" si="7">ROW(AF16)-5</f>
        <v>11</v>
      </c>
      <c r="AH16" s="32">
        <f>SUM('Symptomen (alle)'!D11:AC11)</f>
        <v>24</v>
      </c>
      <c r="AI16" s="22">
        <f>Tabel42[[#This Row],[Kolom25]]/Tabel42[[#This Row],[Kolom28]]</f>
        <v>0.125</v>
      </c>
      <c r="AJ16" s="36">
        <f t="shared" si="0"/>
        <v>2</v>
      </c>
      <c r="AK16" s="36">
        <f t="shared" si="3"/>
        <v>0</v>
      </c>
      <c r="AL16" s="36">
        <f t="shared" si="4"/>
        <v>0</v>
      </c>
      <c r="AM16" s="36">
        <f t="shared" si="5"/>
        <v>0</v>
      </c>
      <c r="AN16" s="36">
        <f t="shared" si="6"/>
        <v>0</v>
      </c>
      <c r="AO16" s="36">
        <f>COUNTIF(Tabel42[[#This Row],[Kolom3]:[Kolom222]],10)</f>
        <v>0</v>
      </c>
      <c r="AP16" s="36">
        <f>COUNTIF(Tabel42[[#This Row],[Kolom3]:[Kolom222]],5)</f>
        <v>0</v>
      </c>
      <c r="AQ16" s="36">
        <f>COUNTIF(Tabel42[[#This Row],[Kolom3]:[Kolom222]],3)</f>
        <v>0</v>
      </c>
      <c r="AR16" s="36">
        <f>COUNTIF(Tabel42[[#This Row],[Kolom3]:[Kolom222]],2)</f>
        <v>0</v>
      </c>
      <c r="AS16" s="36">
        <f>COUNTIF(Tabel42[[#This Row],[Kolom3]:[Kolom222]],1)</f>
        <v>3</v>
      </c>
      <c r="AT16" s="36">
        <f>COUNTIF('Symptomen (alle)'!$D11:$AC11,10)</f>
        <v>1</v>
      </c>
      <c r="AU16" s="36">
        <f>COUNTIF('Symptomen (alle)'!$D11:$AC11,5)</f>
        <v>0</v>
      </c>
      <c r="AV16" s="36">
        <f>COUNTIF('Symptomen (alle)'!$D11:$AC11,3)</f>
        <v>1</v>
      </c>
      <c r="AW16" s="36">
        <f>COUNTIF('Symptomen (alle)'!$D11:$AC11,2)</f>
        <v>2</v>
      </c>
      <c r="AX16" s="36">
        <f>COUNTIF('Symptomen (alle)'!$D11:$AC11,1)</f>
        <v>7</v>
      </c>
      <c r="AY16" s="22">
        <f>IF(Tabel42[[#This Row],[Kolom300]]=0,0,Tabel42[[#This Row],[Kolom2972]]/Tabel42[[#This Row],[Kolom300]])</f>
        <v>0</v>
      </c>
      <c r="AZ16" s="22">
        <f>IF(Tabel42[[#This Row],[Kolom301]]=0,0,Tabel42[[#This Row],[Kolom2973]]/Tabel42[[#This Row],[Kolom301]])</f>
        <v>0</v>
      </c>
      <c r="BA16" s="22">
        <f>IF(Tabel42[[#This Row],[Kolom294]]=0,0,Tabel42[[#This Row],[Kolom298]]/Tabel42[[#This Row],[Kolom294]])</f>
        <v>0</v>
      </c>
      <c r="BB16" s="22">
        <f>IF(Tabel42[[#This Row],[Kolom295]]=0,0,Tabel42[[#This Row],[Kolom299]]/Tabel42[[#This Row],[Kolom295]])</f>
        <v>0</v>
      </c>
      <c r="BC16" s="22">
        <f>IF(Tabel42[[#This Row],[Kolom2965]]=0,0,Tabel42[[#This Row],[Kolom300]]/Tabel42[[#This Row],[Kolom2965]])</f>
        <v>0</v>
      </c>
      <c r="BD16" s="22">
        <f>IF(Tabel42[[#This Row],[Kolom2966]]=0,0,Tabel42[[#This Row],[Kolom301]]/Tabel42[[#This Row],[Kolom2966]])</f>
        <v>0</v>
      </c>
      <c r="BE16" s="22">
        <f>IF(Tabel42[[#This Row],[Kolom2962]]=0,0,Tabel42[[#This Row],[Kolom294]]/Tabel42[[#This Row],[Kolom2962]])</f>
        <v>0</v>
      </c>
      <c r="BF16" s="22">
        <f>IF(Tabel42[[#This Row],[Kolom29622]]=0,0,Tabel42[[#This Row],[Kolom295]]/Tabel42[[#This Row],[Kolom29622]])</f>
        <v>0</v>
      </c>
      <c r="BG16" s="22">
        <f>IF(Tabel42[[#This Row],[Kolom29623]]=0,0,Tabel42[[#This Row],[Kolom296]]/Tabel42[[#This Row],[Kolom29623]])</f>
        <v>0.42857142857142855</v>
      </c>
      <c r="BH16" s="22">
        <f>(10*Tabel42[[#This Row],[Kolom296232]]+5*Tabel42[[#This Row],[Kolom296233]]+3*Tabel42[[#This Row],[Kolom29624]]+2*Tabel42[[#This Row],[Kolom2963]]+Tabel42[[#This Row],[Kolom29]])/21</f>
        <v>5.9523809523809521E-3</v>
      </c>
      <c r="BI16" s="22">
        <f>(10*Tabel42[[#This Row],[Kolom296232]]+5*Tabel42[[#This Row],[Kolom296233]]+3*Tabel42[[#This Row],[Kolom29624]]+2*Tabel42[[#This Row],[Kolom2963]])/20</f>
        <v>0</v>
      </c>
      <c r="BJ16" s="22">
        <f>(10*Tabel42[[#This Row],[Kolom29634]]+3*Tabel42[[#This Row],[Kolom29633]]+2*Tabel42[[#This Row],[Kolom29632]]+Tabel42[[#This Row],[Kolom2964]])/16</f>
        <v>2.6785714285714284E-2</v>
      </c>
      <c r="BK16" s="22">
        <f>(10*Tabel42[[#This Row],[Kolom29634]]+5*Tabel42[[#This Row],[Kolom29635]]+3*Tabel42[[#This Row],[Kolom29633]]+2*Tabel42[[#This Row],[Kolom29632]])/20</f>
        <v>0</v>
      </c>
      <c r="BL16" s="22">
        <f>Tabel42[[#This Row],[Kolom29]]</f>
        <v>0.125</v>
      </c>
      <c r="BM16" s="36">
        <f>_xlfn.RANK.EQ(Tabel42[[#This Row],[Kolom29]],$AI$7:$AI$37)</f>
        <v>15</v>
      </c>
      <c r="BN16" s="36">
        <f>_xlfn.RANK.EQ(Tabel42[[#This Row],[Kolom293]],BH$7:BH$37)</f>
        <v>19</v>
      </c>
      <c r="BO16" s="36">
        <f>_xlfn.RANK.EQ(Tabel42[[#This Row],[Kolom2933]],BI$7:BI$37)</f>
        <v>16</v>
      </c>
      <c r="BP16" s="36">
        <f>_xlfn.RANK.EQ(Tabel42[[#This Row],[Kolom29332]],BJ$7:BJ$37)</f>
        <v>19</v>
      </c>
      <c r="BQ16" s="36">
        <f>_xlfn.RANK.EQ(Tabel42[[#This Row],[Kolom2934]],BK$7:BK$37)</f>
        <v>21</v>
      </c>
      <c r="BR16" s="133">
        <f>AVERAGE(Tabel42[[#This Row],[Kolom2910]:[Kolom2911]])</f>
        <v>18</v>
      </c>
      <c r="BS16" s="135">
        <f>_xlfn.RANK.EQ(Tabel42[[#This Row],[Kolom30]],BR$7:BR$37)</f>
        <v>11</v>
      </c>
    </row>
    <row r="17" spans="1:71">
      <c r="B17" s="21" t="str">
        <f>'Symptomen (alle)'!A12</f>
        <v>White grub disease (encapsulated worm larvae, NO ICH)</v>
      </c>
      <c r="C17" s="77" t="str">
        <f>'Symptomen (alle)'!B12</f>
        <v>4</v>
      </c>
      <c r="D17" s="21" t="str">
        <f>IF(D$4="x",'Symptomen (alle)'!C12,0)</f>
        <v>x</v>
      </c>
      <c r="E17" s="21">
        <f>IF(E$4="x",'Symptomen (alle)'!D12,0)</f>
        <v>0</v>
      </c>
      <c r="F17" s="21">
        <f>IF(F$4="x",'Symptomen (alle)'!E12,0)</f>
        <v>0</v>
      </c>
      <c r="G17" s="21">
        <f>IF(G$4="x",'Symptomen (alle)'!F12,0)</f>
        <v>0</v>
      </c>
      <c r="H17" s="21">
        <f>IF(H$4="x",'Symptomen (alle)'!G12,0)</f>
        <v>0</v>
      </c>
      <c r="I17" s="21">
        <f>IF(I$4="x",'Symptomen (alle)'!H12,0)</f>
        <v>0</v>
      </c>
      <c r="J17" s="21">
        <f>IF(J$4="x",'Symptomen (alle)'!I12,0)</f>
        <v>1</v>
      </c>
      <c r="K17" s="21">
        <f>IF(K$4="x",'Symptomen (alle)'!J12,0)</f>
        <v>0</v>
      </c>
      <c r="L17" s="21">
        <f>IF(L$4="x",'Symptomen (alle)'!K12,0)</f>
        <v>0</v>
      </c>
      <c r="M17" s="21">
        <f>IF(M$4="x",'Symptomen (alle)'!L12,0)</f>
        <v>0</v>
      </c>
      <c r="N17" s="21">
        <f>IF(N$4="x",'Symptomen (alle)'!M12,0)</f>
        <v>0</v>
      </c>
      <c r="O17" s="21">
        <f>IF(O$4="x",'Symptomen (alle)'!N12,0)</f>
        <v>0</v>
      </c>
      <c r="P17" s="21">
        <f>IF(P$4="x",'Symptomen (alle)'!O12,0)</f>
        <v>0</v>
      </c>
      <c r="Q17" s="21">
        <f>IF(Q$4="x",'Symptomen (alle)'!P12,0)</f>
        <v>0</v>
      </c>
      <c r="R17" s="21">
        <f>IF(R$4="x",'Symptomen (alle)'!Q12,0)</f>
        <v>0</v>
      </c>
      <c r="S17" s="21">
        <f>IF(S$4="x",'Symptomen (alle)'!R12,0)</f>
        <v>0</v>
      </c>
      <c r="T17" s="21">
        <f>IF(T$4="x",'Symptomen (alle)'!S12,0)</f>
        <v>0</v>
      </c>
      <c r="U17" s="21">
        <f>IF(U$4="x",'Symptomen (alle)'!T12,0)</f>
        <v>0</v>
      </c>
      <c r="V17" s="21">
        <f>IF(V$4="x",'Symptomen (alle)'!U12,0)</f>
        <v>0</v>
      </c>
      <c r="W17" s="21">
        <f>IF(W$4="x",'Symptomen (alle)'!V12,0)</f>
        <v>1</v>
      </c>
      <c r="X17" s="21">
        <f>IF(X$4="x",'Symptomen (alle)'!W12,0)</f>
        <v>0</v>
      </c>
      <c r="Y17" s="21">
        <f>IF(Y$4="x",'Symptomen (alle)'!X12,0)</f>
        <v>1</v>
      </c>
      <c r="Z17" s="21">
        <f>IF(Z$4="x",'Symptomen (alle)'!Y12,0)</f>
        <v>0</v>
      </c>
      <c r="AA17" s="21">
        <f>IF(AA$4="x",'Symptomen (alle)'!Z12,0)</f>
        <v>0</v>
      </c>
      <c r="AB17" s="21">
        <f>IF(AB$4="x",'Symptomen (alle)'!AA12,0)</f>
        <v>0</v>
      </c>
      <c r="AC17" s="21">
        <f>IF(AC$4="x",'Symptomen (alle)'!AB12,0)</f>
        <v>0</v>
      </c>
      <c r="AD17" s="21">
        <f>IF(AD$4="x",'Symptomen (alle)'!AC12,0)</f>
        <v>0</v>
      </c>
      <c r="AE17" s="21">
        <f t="shared" si="1"/>
        <v>3</v>
      </c>
      <c r="AF17" s="21">
        <f>HLOOKUP($B$4,ZiekteFam!$B$1:$T$32,AG17,FALSE)</f>
        <v>3</v>
      </c>
      <c r="AG17" s="32">
        <f t="shared" si="7"/>
        <v>12</v>
      </c>
      <c r="AH17" s="32">
        <f>SUM('Symptomen (alle)'!D12:AC12)</f>
        <v>25</v>
      </c>
      <c r="AI17" s="22">
        <f>Tabel42[[#This Row],[Kolom25]]/Tabel42[[#This Row],[Kolom28]]</f>
        <v>0.12</v>
      </c>
      <c r="AJ17" s="36">
        <f t="shared" si="0"/>
        <v>2</v>
      </c>
      <c r="AK17" s="36">
        <f t="shared" si="3"/>
        <v>0</v>
      </c>
      <c r="AL17" s="36">
        <f t="shared" si="4"/>
        <v>0</v>
      </c>
      <c r="AM17" s="36">
        <f t="shared" si="5"/>
        <v>0</v>
      </c>
      <c r="AN17" s="36">
        <f t="shared" si="6"/>
        <v>0</v>
      </c>
      <c r="AO17" s="36">
        <f>COUNTIF(Tabel42[[#This Row],[Kolom3]:[Kolom222]],10)</f>
        <v>0</v>
      </c>
      <c r="AP17" s="36">
        <f>COUNTIF(Tabel42[[#This Row],[Kolom3]:[Kolom222]],5)</f>
        <v>0</v>
      </c>
      <c r="AQ17" s="36">
        <f>COUNTIF(Tabel42[[#This Row],[Kolom3]:[Kolom222]],3)</f>
        <v>0</v>
      </c>
      <c r="AR17" s="36">
        <f>COUNTIF(Tabel42[[#This Row],[Kolom3]:[Kolom222]],2)</f>
        <v>0</v>
      </c>
      <c r="AS17" s="36">
        <f>COUNTIF(Tabel42[[#This Row],[Kolom3]:[Kolom222]],1)</f>
        <v>3</v>
      </c>
      <c r="AT17" s="36">
        <f>COUNTIF('Symptomen (alle)'!$D12:$AC12,10)</f>
        <v>1</v>
      </c>
      <c r="AU17" s="36">
        <f>COUNTIF('Symptomen (alle)'!$D12:$AC12,5)</f>
        <v>1</v>
      </c>
      <c r="AV17" s="36">
        <f>COUNTIF('Symptomen (alle)'!$D12:$AC12,3)</f>
        <v>0</v>
      </c>
      <c r="AW17" s="36">
        <f>COUNTIF('Symptomen (alle)'!$D12:$AC12,2)</f>
        <v>1</v>
      </c>
      <c r="AX17" s="36">
        <f>COUNTIF('Symptomen (alle)'!$D12:$AC12,1)</f>
        <v>8</v>
      </c>
      <c r="AY17" s="22">
        <f>IF(Tabel42[[#This Row],[Kolom300]]=0,0,Tabel42[[#This Row],[Kolom2972]]/Tabel42[[#This Row],[Kolom300]])</f>
        <v>0</v>
      </c>
      <c r="AZ17" s="22">
        <f>IF(Tabel42[[#This Row],[Kolom301]]=0,0,Tabel42[[#This Row],[Kolom2973]]/Tabel42[[#This Row],[Kolom301]])</f>
        <v>0</v>
      </c>
      <c r="BA17" s="22">
        <f>IF(Tabel42[[#This Row],[Kolom294]]=0,0,Tabel42[[#This Row],[Kolom298]]/Tabel42[[#This Row],[Kolom294]])</f>
        <v>0</v>
      </c>
      <c r="BB17" s="22">
        <f>IF(Tabel42[[#This Row],[Kolom295]]=0,0,Tabel42[[#This Row],[Kolom299]]/Tabel42[[#This Row],[Kolom295]])</f>
        <v>0</v>
      </c>
      <c r="BC17" s="22">
        <f>IF(Tabel42[[#This Row],[Kolom2965]]=0,0,Tabel42[[#This Row],[Kolom300]]/Tabel42[[#This Row],[Kolom2965]])</f>
        <v>0</v>
      </c>
      <c r="BD17" s="22">
        <f>IF(Tabel42[[#This Row],[Kolom2966]]=0,0,Tabel42[[#This Row],[Kolom301]]/Tabel42[[#This Row],[Kolom2966]])</f>
        <v>0</v>
      </c>
      <c r="BE17" s="22">
        <f>IF(Tabel42[[#This Row],[Kolom2962]]=0,0,Tabel42[[#This Row],[Kolom294]]/Tabel42[[#This Row],[Kolom2962]])</f>
        <v>0</v>
      </c>
      <c r="BF17" s="22">
        <f>IF(Tabel42[[#This Row],[Kolom29622]]=0,0,Tabel42[[#This Row],[Kolom295]]/Tabel42[[#This Row],[Kolom29622]])</f>
        <v>0</v>
      </c>
      <c r="BG17" s="22">
        <f>IF(Tabel42[[#This Row],[Kolom29623]]=0,0,Tabel42[[#This Row],[Kolom296]]/Tabel42[[#This Row],[Kolom29623]])</f>
        <v>0.375</v>
      </c>
      <c r="BH17" s="22">
        <f>(10*Tabel42[[#This Row],[Kolom296232]]+5*Tabel42[[#This Row],[Kolom296233]]+3*Tabel42[[#This Row],[Kolom29624]]+2*Tabel42[[#This Row],[Kolom2963]]+Tabel42[[#This Row],[Kolom29]])/21</f>
        <v>5.7142857142857143E-3</v>
      </c>
      <c r="BI17" s="22">
        <f>(10*Tabel42[[#This Row],[Kolom296232]]+5*Tabel42[[#This Row],[Kolom296233]]+3*Tabel42[[#This Row],[Kolom29624]]+2*Tabel42[[#This Row],[Kolom2963]])/20</f>
        <v>0</v>
      </c>
      <c r="BJ17" s="22">
        <f>(10*Tabel42[[#This Row],[Kolom29634]]+3*Tabel42[[#This Row],[Kolom29633]]+2*Tabel42[[#This Row],[Kolom29632]]+Tabel42[[#This Row],[Kolom2964]])/16</f>
        <v>2.34375E-2</v>
      </c>
      <c r="BK17" s="22">
        <f>(10*Tabel42[[#This Row],[Kolom29634]]+5*Tabel42[[#This Row],[Kolom29635]]+3*Tabel42[[#This Row],[Kolom29633]]+2*Tabel42[[#This Row],[Kolom29632]])/20</f>
        <v>0</v>
      </c>
      <c r="BL17" s="22">
        <f>Tabel42[[#This Row],[Kolom29]]</f>
        <v>0.12</v>
      </c>
      <c r="BM17" s="36">
        <f>_xlfn.RANK.EQ(Tabel42[[#This Row],[Kolom29]],$AI$7:$AI$37)</f>
        <v>16</v>
      </c>
      <c r="BN17" s="36">
        <f>_xlfn.RANK.EQ(Tabel42[[#This Row],[Kolom293]],BH$7:BH$37)</f>
        <v>20</v>
      </c>
      <c r="BO17" s="36">
        <f>_xlfn.RANK.EQ(Tabel42[[#This Row],[Kolom2933]],BI$7:BI$37)</f>
        <v>16</v>
      </c>
      <c r="BP17" s="36">
        <f>_xlfn.RANK.EQ(Tabel42[[#This Row],[Kolom29332]],BJ$7:BJ$37)</f>
        <v>20</v>
      </c>
      <c r="BQ17" s="36">
        <f>_xlfn.RANK.EQ(Tabel42[[#This Row],[Kolom2934]],BK$7:BK$37)</f>
        <v>21</v>
      </c>
      <c r="BR17" s="133">
        <f>AVERAGE(Tabel42[[#This Row],[Kolom2910]:[Kolom2911]])</f>
        <v>18.600000000000001</v>
      </c>
      <c r="BS17" s="135">
        <f>_xlfn.RANK.EQ(Tabel42[[#This Row],[Kolom30]],BR$7:BR$37)</f>
        <v>10</v>
      </c>
    </row>
    <row r="18" spans="1:71">
      <c r="B18" s="21" t="str">
        <f>'Symptomen (alle)'!A13</f>
        <v>Chilodonella/(Ichthyobodo/Costia)/Trichodina</v>
      </c>
      <c r="C18" s="77">
        <f>'Symptomen (alle)'!B13</f>
        <v>0</v>
      </c>
      <c r="D18" s="21">
        <f>IF(D$4="x",'Symptomen (alle)'!C13,0)</f>
        <v>0</v>
      </c>
      <c r="E18" s="21">
        <f>IF(E$4="x",'Symptomen (alle)'!D13,0)</f>
        <v>0</v>
      </c>
      <c r="F18" s="21">
        <f>IF(F$4="x",'Symptomen (alle)'!E13,0)</f>
        <v>0</v>
      </c>
      <c r="G18" s="21">
        <f>IF(G$4="x",'Symptomen (alle)'!F13,0)</f>
        <v>0</v>
      </c>
      <c r="H18" s="21">
        <f>IF(H$4="x",'Symptomen (alle)'!G13,0)</f>
        <v>0</v>
      </c>
      <c r="I18" s="21">
        <f>IF(I$4="x",'Symptomen (alle)'!H13,0)</f>
        <v>0</v>
      </c>
      <c r="J18" s="21">
        <f>IF(J$4="x",'Symptomen (alle)'!I13,0)</f>
        <v>2</v>
      </c>
      <c r="K18" s="21">
        <f>IF(K$4="x",'Symptomen (alle)'!J13,0)</f>
        <v>0</v>
      </c>
      <c r="L18" s="21">
        <f>IF(L$4="x",'Symptomen (alle)'!K13,0)</f>
        <v>0</v>
      </c>
      <c r="M18" s="21">
        <f>IF(M$4="x",'Symptomen (alle)'!L13,0)</f>
        <v>0</v>
      </c>
      <c r="N18" s="21">
        <f>IF(N$4="x",'Symptomen (alle)'!M13,0)</f>
        <v>0</v>
      </c>
      <c r="O18" s="21">
        <f>IF(O$4="x",'Symptomen (alle)'!N13,0)</f>
        <v>0</v>
      </c>
      <c r="P18" s="21">
        <f>IF(P$4="x",'Symptomen (alle)'!O13,0)</f>
        <v>0</v>
      </c>
      <c r="Q18" s="21">
        <f>IF(Q$4="x",'Symptomen (alle)'!P13,0)</f>
        <v>0</v>
      </c>
      <c r="R18" s="21">
        <f>IF(R$4="x",'Symptomen (alle)'!Q13,0)</f>
        <v>0</v>
      </c>
      <c r="S18" s="21">
        <f>IF(S$4="x",'Symptomen (alle)'!R13,0)</f>
        <v>0</v>
      </c>
      <c r="T18" s="21">
        <f>IF(T$4="x",'Symptomen (alle)'!S13,0)</f>
        <v>1</v>
      </c>
      <c r="U18" s="21">
        <f>IF(U$4="x",'Symptomen (alle)'!T13,0)</f>
        <v>0</v>
      </c>
      <c r="V18" s="21">
        <f>IF(V$4="x",'Symptomen (alle)'!U13,0)</f>
        <v>0</v>
      </c>
      <c r="W18" s="21">
        <f>IF(W$4="x",'Symptomen (alle)'!V13,0)</f>
        <v>2</v>
      </c>
      <c r="X18" s="21">
        <f>IF(X$4="x",'Symptomen (alle)'!W13,0)</f>
        <v>0</v>
      </c>
      <c r="Y18" s="21">
        <f>IF(Y$4="x",'Symptomen (alle)'!X13,0)</f>
        <v>2</v>
      </c>
      <c r="Z18" s="21">
        <f>IF(Z$4="x",'Symptomen (alle)'!Y13,0)</f>
        <v>0</v>
      </c>
      <c r="AA18" s="21">
        <f>IF(AA$4="x",'Symptomen (alle)'!Z13,0)</f>
        <v>0</v>
      </c>
      <c r="AB18" s="21">
        <f>IF(AB$4="x",'Symptomen (alle)'!AA13,0)</f>
        <v>0</v>
      </c>
      <c r="AC18" s="21">
        <f>IF(AC$4="x",'Symptomen (alle)'!AB13,0)</f>
        <v>0</v>
      </c>
      <c r="AD18" s="21">
        <f>IF(AD$4="x",'Symptomen (alle)'!AC13,0)</f>
        <v>0</v>
      </c>
      <c r="AE18" s="21">
        <f t="shared" si="1"/>
        <v>7</v>
      </c>
      <c r="AF18" s="21">
        <f>HLOOKUP($B$4,ZiekteFam!$B$1:$T$32,AG18,FALSE)</f>
        <v>0</v>
      </c>
      <c r="AG18" s="32">
        <f t="shared" si="2"/>
        <v>13</v>
      </c>
      <c r="AH18" s="32">
        <f>SUM('Symptomen (alle)'!D13:AC13)</f>
        <v>33</v>
      </c>
      <c r="AI18" s="22">
        <f>Tabel42[[#This Row],[Kolom25]]/Tabel42[[#This Row],[Kolom28]]</f>
        <v>0.21212121212121213</v>
      </c>
      <c r="AJ18" s="36">
        <f t="shared" si="0"/>
        <v>2</v>
      </c>
      <c r="AK18" s="36">
        <f t="shared" si="3"/>
        <v>0</v>
      </c>
      <c r="AL18" s="36">
        <f t="shared" si="4"/>
        <v>0</v>
      </c>
      <c r="AM18" s="36">
        <f t="shared" si="5"/>
        <v>0</v>
      </c>
      <c r="AN18" s="36">
        <f t="shared" si="6"/>
        <v>1</v>
      </c>
      <c r="AO18" s="36">
        <f>COUNTIF(Tabel42[[#This Row],[Kolom3]:[Kolom222]],10)</f>
        <v>0</v>
      </c>
      <c r="AP18" s="36">
        <f>COUNTIF(Tabel42[[#This Row],[Kolom3]:[Kolom222]],5)</f>
        <v>0</v>
      </c>
      <c r="AQ18" s="36">
        <f>COUNTIF(Tabel42[[#This Row],[Kolom3]:[Kolom222]],3)</f>
        <v>0</v>
      </c>
      <c r="AR18" s="36">
        <f>COUNTIF(Tabel42[[#This Row],[Kolom3]:[Kolom222]],2)</f>
        <v>3</v>
      </c>
      <c r="AS18" s="36">
        <f>COUNTIF(Tabel42[[#This Row],[Kolom3]:[Kolom222]],1)</f>
        <v>1</v>
      </c>
      <c r="AT18" s="36">
        <f>COUNTIF('Symptomen (alle)'!$D13:$AC13,10)</f>
        <v>0</v>
      </c>
      <c r="AU18" s="36">
        <f>COUNTIF('Symptomen (alle)'!$D13:$AC13,5)</f>
        <v>2</v>
      </c>
      <c r="AV18" s="36">
        <f>COUNTIF('Symptomen (alle)'!$D13:$AC13,3)</f>
        <v>2</v>
      </c>
      <c r="AW18" s="36">
        <f>COUNTIF('Symptomen (alle)'!$D13:$AC13,2)</f>
        <v>6</v>
      </c>
      <c r="AX18" s="36">
        <f>COUNTIF('Symptomen (alle)'!$D13:$AC13,1)</f>
        <v>5</v>
      </c>
      <c r="AY18" s="22">
        <f>IF(Tabel42[[#This Row],[Kolom300]]=0,0,Tabel42[[#This Row],[Kolom2972]]/Tabel42[[#This Row],[Kolom300]])</f>
        <v>0</v>
      </c>
      <c r="AZ18" s="22">
        <f>IF(Tabel42[[#This Row],[Kolom301]]=0,0,Tabel42[[#This Row],[Kolom2973]]/Tabel42[[#This Row],[Kolom301]])</f>
        <v>0</v>
      </c>
      <c r="BA18" s="22">
        <f>IF(Tabel42[[#This Row],[Kolom294]]=0,0,Tabel42[[#This Row],[Kolom298]]/Tabel42[[#This Row],[Kolom294]])</f>
        <v>0</v>
      </c>
      <c r="BB18" s="22">
        <f>IF(Tabel42[[#This Row],[Kolom295]]=0,0,Tabel42[[#This Row],[Kolom299]]/Tabel42[[#This Row],[Kolom295]])</f>
        <v>0.33333333333333331</v>
      </c>
      <c r="BC18" s="22">
        <f>IF(Tabel42[[#This Row],[Kolom2965]]=0,0,Tabel42[[#This Row],[Kolom300]]/Tabel42[[#This Row],[Kolom2965]])</f>
        <v>0</v>
      </c>
      <c r="BD18" s="22">
        <f>IF(Tabel42[[#This Row],[Kolom2966]]=0,0,Tabel42[[#This Row],[Kolom301]]/Tabel42[[#This Row],[Kolom2966]])</f>
        <v>0</v>
      </c>
      <c r="BE18" s="22">
        <f>IF(Tabel42[[#This Row],[Kolom2962]]=0,0,Tabel42[[#This Row],[Kolom294]]/Tabel42[[#This Row],[Kolom2962]])</f>
        <v>0</v>
      </c>
      <c r="BF18" s="22">
        <f>IF(Tabel42[[#This Row],[Kolom29622]]=0,0,Tabel42[[#This Row],[Kolom295]]/Tabel42[[#This Row],[Kolom29622]])</f>
        <v>0.5</v>
      </c>
      <c r="BG18" s="22">
        <f>IF(Tabel42[[#This Row],[Kolom29623]]=0,0,Tabel42[[#This Row],[Kolom296]]/Tabel42[[#This Row],[Kolom29623]])</f>
        <v>0.2</v>
      </c>
      <c r="BH18" s="22">
        <f>(10*Tabel42[[#This Row],[Kolom296232]]+5*Tabel42[[#This Row],[Kolom296233]]+3*Tabel42[[#This Row],[Kolom29624]]+2*Tabel42[[#This Row],[Kolom2963]]+Tabel42[[#This Row],[Kolom29]])/21</f>
        <v>4.1847041847041848E-2</v>
      </c>
      <c r="BI18" s="22">
        <f>(10*Tabel42[[#This Row],[Kolom296232]]+5*Tabel42[[#This Row],[Kolom296233]]+3*Tabel42[[#This Row],[Kolom29624]]+2*Tabel42[[#This Row],[Kolom2963]])/20</f>
        <v>3.3333333333333333E-2</v>
      </c>
      <c r="BJ18" s="22">
        <f>(10*Tabel42[[#This Row],[Kolom29634]]+3*Tabel42[[#This Row],[Kolom29633]]+2*Tabel42[[#This Row],[Kolom29632]]+Tabel42[[#This Row],[Kolom2964]])/16</f>
        <v>7.4999999999999997E-2</v>
      </c>
      <c r="BK18" s="22">
        <f>(10*Tabel42[[#This Row],[Kolom29634]]+5*Tabel42[[#This Row],[Kolom29635]]+3*Tabel42[[#This Row],[Kolom29633]]+2*Tabel42[[#This Row],[Kolom29632]])/20</f>
        <v>0.05</v>
      </c>
      <c r="BL18" s="22">
        <f>Tabel42[[#This Row],[Kolom29]]</f>
        <v>0.21212121212121213</v>
      </c>
      <c r="BM18" s="36">
        <f>_xlfn.RANK.EQ(Tabel42[[#This Row],[Kolom29]],$AI$7:$AI$37)</f>
        <v>6</v>
      </c>
      <c r="BN18" s="36">
        <f>_xlfn.RANK.EQ(Tabel42[[#This Row],[Kolom293]],BH$7:BH$37)</f>
        <v>15</v>
      </c>
      <c r="BO18" s="36">
        <f>_xlfn.RANK.EQ(Tabel42[[#This Row],[Kolom2933]],BI$7:BI$37)</f>
        <v>15</v>
      </c>
      <c r="BP18" s="36">
        <f>_xlfn.RANK.EQ(Tabel42[[#This Row],[Kolom29332]],BJ$7:BJ$37)</f>
        <v>11</v>
      </c>
      <c r="BQ18" s="36">
        <f>_xlfn.RANK.EQ(Tabel42[[#This Row],[Kolom2934]],BK$7:BK$37)</f>
        <v>12</v>
      </c>
      <c r="BR18" s="133">
        <f>AVERAGE(Tabel42[[#This Row],[Kolom2910]:[Kolom2911]])</f>
        <v>11.8</v>
      </c>
      <c r="BS18" s="135">
        <f>_xlfn.RANK.EQ(Tabel42[[#This Row],[Kolom30]],BR$7:BR$37)</f>
        <v>21</v>
      </c>
    </row>
    <row r="19" spans="1:71">
      <c r="B19" s="21" t="str">
        <f>'Symptomen (alle)'!A14</f>
        <v>Tetrahymena (also called Guppy-killer)</v>
      </c>
      <c r="C19" s="21">
        <f>'Symptomen (alle)'!B14</f>
        <v>0</v>
      </c>
      <c r="D19" s="21">
        <f>IF(D$4="x",'Symptomen (alle)'!C14,0)</f>
        <v>0</v>
      </c>
      <c r="E19" s="21">
        <f>IF(E$4="x",'Symptomen (alle)'!D14,0)</f>
        <v>0</v>
      </c>
      <c r="F19" s="21">
        <f>IF(F$4="x",'Symptomen (alle)'!E14,0)</f>
        <v>0</v>
      </c>
      <c r="G19" s="21">
        <f>IF(G$4="x",'Symptomen (alle)'!F14,0)</f>
        <v>0</v>
      </c>
      <c r="H19" s="21">
        <f>IF(H$4="x",'Symptomen (alle)'!G14,0)</f>
        <v>0</v>
      </c>
      <c r="I19" s="21">
        <f>IF(I$4="x",'Symptomen (alle)'!H14,0)</f>
        <v>0</v>
      </c>
      <c r="J19" s="21">
        <f>IF(J$4="x",'Symptomen (alle)'!I14,0)</f>
        <v>3</v>
      </c>
      <c r="K19" s="21">
        <f>IF(K$4="x",'Symptomen (alle)'!J14,0)</f>
        <v>0</v>
      </c>
      <c r="L19" s="21">
        <f>IF(L$4="x",'Symptomen (alle)'!K14,0)</f>
        <v>0</v>
      </c>
      <c r="M19" s="21">
        <f>IF(M$4="x",'Symptomen (alle)'!L14,0)</f>
        <v>0</v>
      </c>
      <c r="N19" s="21">
        <f>IF(N$4="x",'Symptomen (alle)'!M14,0)</f>
        <v>0</v>
      </c>
      <c r="O19" s="21">
        <f>IF(O$4="x",'Symptomen (alle)'!N14,0)</f>
        <v>0</v>
      </c>
      <c r="P19" s="21">
        <f>IF(P$4="x",'Symptomen (alle)'!O14,0)</f>
        <v>0</v>
      </c>
      <c r="Q19" s="21">
        <f>IF(Q$4="x",'Symptomen (alle)'!P14,0)</f>
        <v>0</v>
      </c>
      <c r="R19" s="21">
        <f>IF(R$4="x",'Symptomen (alle)'!Q14,0)</f>
        <v>0</v>
      </c>
      <c r="S19" s="21">
        <f>IF(S$4="x",'Symptomen (alle)'!R14,0)</f>
        <v>0</v>
      </c>
      <c r="T19" s="21">
        <f>IF(T$4="x",'Symptomen (alle)'!S14,0)</f>
        <v>0</v>
      </c>
      <c r="U19" s="21">
        <f>IF(U$4="x",'Symptomen (alle)'!T14,0)</f>
        <v>0</v>
      </c>
      <c r="V19" s="21">
        <f>IF(V$4="x",'Symptomen (alle)'!U14,0)</f>
        <v>0</v>
      </c>
      <c r="W19" s="21">
        <f>IF(W$4="x",'Symptomen (alle)'!V14,0)</f>
        <v>2</v>
      </c>
      <c r="X19" s="21">
        <f>IF(X$4="x",'Symptomen (alle)'!W14,0)</f>
        <v>0</v>
      </c>
      <c r="Y19" s="21">
        <f>IF(Y$4="x",'Symptomen (alle)'!X14,0)</f>
        <v>0</v>
      </c>
      <c r="Z19" s="21">
        <f>IF(Z$4="x",'Symptomen (alle)'!Y14,0)</f>
        <v>0</v>
      </c>
      <c r="AA19" s="21">
        <f>IF(AA$4="x",'Symptomen (alle)'!Z14,0)</f>
        <v>0</v>
      </c>
      <c r="AB19" s="21">
        <f>IF(AB$4="x",'Symptomen (alle)'!AA14,0)</f>
        <v>0</v>
      </c>
      <c r="AC19" s="21">
        <f>IF(AC$4="x",'Symptomen (alle)'!AB14,0)</f>
        <v>0</v>
      </c>
      <c r="AD19" s="21">
        <f>IF(AD$4="x",'Symptomen (alle)'!AC14,0)</f>
        <v>0</v>
      </c>
      <c r="AE19" s="21">
        <f t="shared" si="1"/>
        <v>5</v>
      </c>
      <c r="AF19" s="21">
        <f>HLOOKUP($B$4,ZiekteFam!$B$1:$T$32,AG19,FALSE)</f>
        <v>0</v>
      </c>
      <c r="AG19" s="32">
        <f t="shared" si="2"/>
        <v>14</v>
      </c>
      <c r="AH19" s="32">
        <f>SUM('Symptomen (alle)'!D14:AC14)</f>
        <v>27</v>
      </c>
      <c r="AI19" s="22">
        <f>Tabel42[[#This Row],[Kolom25]]/Tabel42[[#This Row],[Kolom28]]</f>
        <v>0.18518518518518517</v>
      </c>
      <c r="AJ19" s="36">
        <f t="shared" si="0"/>
        <v>2</v>
      </c>
      <c r="AK19" s="36">
        <f t="shared" si="3"/>
        <v>0</v>
      </c>
      <c r="AL19" s="36">
        <f t="shared" si="4"/>
        <v>0</v>
      </c>
      <c r="AM19" s="36">
        <f t="shared" si="5"/>
        <v>1</v>
      </c>
      <c r="AN19" s="36">
        <f t="shared" si="6"/>
        <v>0</v>
      </c>
      <c r="AO19" s="36">
        <f>COUNTIF(Tabel42[[#This Row],[Kolom3]:[Kolom222]],10)</f>
        <v>0</v>
      </c>
      <c r="AP19" s="36">
        <f>COUNTIF(Tabel42[[#This Row],[Kolom3]:[Kolom222]],5)</f>
        <v>0</v>
      </c>
      <c r="AQ19" s="36">
        <f>COUNTIF(Tabel42[[#This Row],[Kolom3]:[Kolom222]],3)</f>
        <v>1</v>
      </c>
      <c r="AR19" s="36">
        <f>COUNTIF(Tabel42[[#This Row],[Kolom3]:[Kolom222]],2)</f>
        <v>1</v>
      </c>
      <c r="AS19" s="36">
        <f>COUNTIF(Tabel42[[#This Row],[Kolom3]:[Kolom222]],1)</f>
        <v>0</v>
      </c>
      <c r="AT19" s="36">
        <f>COUNTIF('Symptomen (alle)'!$D14:$AC14,10)</f>
        <v>0</v>
      </c>
      <c r="AU19" s="36">
        <f>COUNTIF('Symptomen (alle)'!$D14:$AC14,5)</f>
        <v>1</v>
      </c>
      <c r="AV19" s="36">
        <f>COUNTIF('Symptomen (alle)'!$D14:$AC14,3)</f>
        <v>4</v>
      </c>
      <c r="AW19" s="36">
        <f>COUNTIF('Symptomen (alle)'!$D14:$AC14,2)</f>
        <v>2</v>
      </c>
      <c r="AX19" s="36">
        <f>COUNTIF('Symptomen (alle)'!$D14:$AC14,1)</f>
        <v>6</v>
      </c>
      <c r="AY19" s="22">
        <f>IF(Tabel42[[#This Row],[Kolom300]]=0,0,Tabel42[[#This Row],[Kolom2972]]/Tabel42[[#This Row],[Kolom300]])</f>
        <v>0</v>
      </c>
      <c r="AZ19" s="22">
        <f>IF(Tabel42[[#This Row],[Kolom301]]=0,0,Tabel42[[#This Row],[Kolom2973]]/Tabel42[[#This Row],[Kolom301]])</f>
        <v>0</v>
      </c>
      <c r="BA19" s="22">
        <f>IF(Tabel42[[#This Row],[Kolom294]]=0,0,Tabel42[[#This Row],[Kolom298]]/Tabel42[[#This Row],[Kolom294]])</f>
        <v>1</v>
      </c>
      <c r="BB19" s="22">
        <f>IF(Tabel42[[#This Row],[Kolom295]]=0,0,Tabel42[[#This Row],[Kolom299]]/Tabel42[[#This Row],[Kolom295]])</f>
        <v>0</v>
      </c>
      <c r="BC19" s="22">
        <f>IF(Tabel42[[#This Row],[Kolom2965]]=0,0,Tabel42[[#This Row],[Kolom300]]/Tabel42[[#This Row],[Kolom2965]])</f>
        <v>0</v>
      </c>
      <c r="BD19" s="22">
        <f>IF(Tabel42[[#This Row],[Kolom2966]]=0,0,Tabel42[[#This Row],[Kolom301]]/Tabel42[[#This Row],[Kolom2966]])</f>
        <v>0</v>
      </c>
      <c r="BE19" s="22">
        <f>IF(Tabel42[[#This Row],[Kolom2962]]=0,0,Tabel42[[#This Row],[Kolom294]]/Tabel42[[#This Row],[Kolom2962]])</f>
        <v>0.25</v>
      </c>
      <c r="BF19" s="22">
        <f>IF(Tabel42[[#This Row],[Kolom29622]]=0,0,Tabel42[[#This Row],[Kolom295]]/Tabel42[[#This Row],[Kolom29622]])</f>
        <v>0.5</v>
      </c>
      <c r="BG19" s="22">
        <f>IF(Tabel42[[#This Row],[Kolom29623]]=0,0,Tabel42[[#This Row],[Kolom296]]/Tabel42[[#This Row],[Kolom29623]])</f>
        <v>0</v>
      </c>
      <c r="BH19" s="22">
        <f>(10*Tabel42[[#This Row],[Kolom296232]]+5*Tabel42[[#This Row],[Kolom296233]]+3*Tabel42[[#This Row],[Kolom29624]]+2*Tabel42[[#This Row],[Kolom2963]]+Tabel42[[#This Row],[Kolom29]])/21</f>
        <v>0.15167548500881833</v>
      </c>
      <c r="BI19" s="22">
        <f>(10*Tabel42[[#This Row],[Kolom296232]]+5*Tabel42[[#This Row],[Kolom296233]]+3*Tabel42[[#This Row],[Kolom29624]]+2*Tabel42[[#This Row],[Kolom2963]])/20</f>
        <v>0.15</v>
      </c>
      <c r="BJ19" s="22">
        <f>(10*Tabel42[[#This Row],[Kolom29634]]+3*Tabel42[[#This Row],[Kolom29633]]+2*Tabel42[[#This Row],[Kolom29632]]+Tabel42[[#This Row],[Kolom2964]])/16</f>
        <v>0.109375</v>
      </c>
      <c r="BK19" s="22">
        <f>(10*Tabel42[[#This Row],[Kolom29634]]+5*Tabel42[[#This Row],[Kolom29635]]+3*Tabel42[[#This Row],[Kolom29633]]+2*Tabel42[[#This Row],[Kolom29632]])/20</f>
        <v>8.7499999999999994E-2</v>
      </c>
      <c r="BL19" s="22">
        <f>Tabel42[[#This Row],[Kolom29]]</f>
        <v>0.18518518518518517</v>
      </c>
      <c r="BM19" s="36">
        <f>_xlfn.RANK.EQ(Tabel42[[#This Row],[Kolom29]],$AI$7:$AI$37)</f>
        <v>8</v>
      </c>
      <c r="BN19" s="36">
        <f>_xlfn.RANK.EQ(Tabel42[[#This Row],[Kolom293]],BH$7:BH$37)</f>
        <v>6</v>
      </c>
      <c r="BO19" s="36">
        <f>_xlfn.RANK.EQ(Tabel42[[#This Row],[Kolom2933]],BI$7:BI$37)</f>
        <v>6</v>
      </c>
      <c r="BP19" s="36">
        <f>_xlfn.RANK.EQ(Tabel42[[#This Row],[Kolom29332]],BJ$7:BJ$37)</f>
        <v>8</v>
      </c>
      <c r="BQ19" s="36">
        <f>_xlfn.RANK.EQ(Tabel42[[#This Row],[Kolom2934]],BK$7:BK$37)</f>
        <v>7</v>
      </c>
      <c r="BR19" s="133">
        <f>AVERAGE(Tabel42[[#This Row],[Kolom2910]:[Kolom2911]])</f>
        <v>7</v>
      </c>
      <c r="BS19" s="135">
        <f>_xlfn.RANK.EQ(Tabel42[[#This Row],[Kolom30]],BR$7:BR$37)</f>
        <v>26</v>
      </c>
    </row>
    <row r="20" spans="1:71">
      <c r="B20" s="21" t="str">
        <f>'Symptomen (alle)'!A15</f>
        <v>Hole-in-the-head/HLLS/Head-and-Lateral-Line-Syndrome</v>
      </c>
      <c r="C20" s="21">
        <f>'Symptomen (alle)'!B15</f>
        <v>2</v>
      </c>
      <c r="D20" s="21">
        <f>IF(D$4="x",'Symptomen (alle)'!C15,0)</f>
        <v>0</v>
      </c>
      <c r="E20" s="21">
        <f>IF(E$4="x",'Symptomen (alle)'!D15,0)</f>
        <v>0</v>
      </c>
      <c r="F20" s="21">
        <f>IF(F$4="x",'Symptomen (alle)'!E15,0)</f>
        <v>0</v>
      </c>
      <c r="G20" s="21">
        <f>IF(G$4="x",'Symptomen (alle)'!F15,0)</f>
        <v>0</v>
      </c>
      <c r="H20" s="21">
        <f>IF(H$4="x",'Symptomen (alle)'!G15,0)</f>
        <v>0</v>
      </c>
      <c r="I20" s="21">
        <f>IF(I$4="x",'Symptomen (alle)'!H15,0)</f>
        <v>0</v>
      </c>
      <c r="J20" s="21">
        <f>IF(J$4="x",'Symptomen (alle)'!I15,0)</f>
        <v>10</v>
      </c>
      <c r="K20" s="21">
        <f>IF(K$4="x",'Symptomen (alle)'!J15,0)</f>
        <v>0</v>
      </c>
      <c r="L20" s="21">
        <f>IF(L$4="x",'Symptomen (alle)'!K15,0)</f>
        <v>0</v>
      </c>
      <c r="M20" s="21">
        <f>IF(M$4="x",'Symptomen (alle)'!L15,0)</f>
        <v>0</v>
      </c>
      <c r="N20" s="21">
        <f>IF(N$4="x",'Symptomen (alle)'!M15,0)</f>
        <v>0</v>
      </c>
      <c r="O20" s="21">
        <f>IF(O$4="x",'Symptomen (alle)'!N15,0)</f>
        <v>0</v>
      </c>
      <c r="P20" s="21">
        <f>IF(P$4="x",'Symptomen (alle)'!O15,0)</f>
        <v>0</v>
      </c>
      <c r="Q20" s="21">
        <f>IF(Q$4="x",'Symptomen (alle)'!P15,0)</f>
        <v>0</v>
      </c>
      <c r="R20" s="21">
        <f>IF(R$4="x",'Symptomen (alle)'!Q15,0)</f>
        <v>0</v>
      </c>
      <c r="S20" s="21">
        <f>IF(S$4="x",'Symptomen (alle)'!R15,0)</f>
        <v>0</v>
      </c>
      <c r="T20" s="21">
        <f>IF(T$4="x",'Symptomen (alle)'!S15,0)</f>
        <v>0</v>
      </c>
      <c r="U20" s="21">
        <f>IF(U$4="x",'Symptomen (alle)'!T15,0)</f>
        <v>0</v>
      </c>
      <c r="V20" s="21">
        <f>IF(V$4="x",'Symptomen (alle)'!U15,0)</f>
        <v>0</v>
      </c>
      <c r="W20" s="21">
        <f>IF(W$4="x",'Symptomen (alle)'!V15,0)</f>
        <v>0</v>
      </c>
      <c r="X20" s="21">
        <f>IF(X$4="x",'Symptomen (alle)'!W15,0)</f>
        <v>0</v>
      </c>
      <c r="Y20" s="21">
        <f>IF(Y$4="x",'Symptomen (alle)'!X15,0)</f>
        <v>0</v>
      </c>
      <c r="Z20" s="21">
        <f>IF(Z$4="x",'Symptomen (alle)'!Y15,0)</f>
        <v>0</v>
      </c>
      <c r="AA20" s="21">
        <f>IF(AA$4="x",'Symptomen (alle)'!Z15,0)</f>
        <v>0</v>
      </c>
      <c r="AB20" s="21">
        <f>IF(AB$4="x",'Symptomen (alle)'!AA15,0)</f>
        <v>0</v>
      </c>
      <c r="AC20" s="21">
        <f>IF(AC$4="x",'Symptomen (alle)'!AB15,0)</f>
        <v>0</v>
      </c>
      <c r="AD20" s="21">
        <f>IF(AD$4="x",'Symptomen (alle)'!AC15,0)</f>
        <v>0</v>
      </c>
      <c r="AE20" s="21">
        <f t="shared" si="1"/>
        <v>10</v>
      </c>
      <c r="AF20" s="21">
        <f>HLOOKUP($B$4,ZiekteFam!$B$1:$T$32,AG20,FALSE)</f>
        <v>10</v>
      </c>
      <c r="AG20" s="32">
        <f t="shared" si="2"/>
        <v>15</v>
      </c>
      <c r="AH20" s="32">
        <f>SUM('Symptomen (alle)'!D15:AC15)</f>
        <v>26</v>
      </c>
      <c r="AI20" s="22">
        <f>Tabel42[[#This Row],[Kolom25]]/Tabel42[[#This Row],[Kolom28]]</f>
        <v>0.38461538461538464</v>
      </c>
      <c r="AJ20" s="36">
        <f t="shared" si="0"/>
        <v>2</v>
      </c>
      <c r="AK20" s="36">
        <f t="shared" si="3"/>
        <v>1</v>
      </c>
      <c r="AL20" s="36">
        <f t="shared" si="4"/>
        <v>0</v>
      </c>
      <c r="AM20" s="36">
        <f t="shared" si="5"/>
        <v>0</v>
      </c>
      <c r="AN20" s="36">
        <f t="shared" si="6"/>
        <v>0</v>
      </c>
      <c r="AO20" s="36">
        <f>COUNTIF(Tabel42[[#This Row],[Kolom3]:[Kolom222]],10)</f>
        <v>1</v>
      </c>
      <c r="AP20" s="36">
        <f>COUNTIF(Tabel42[[#This Row],[Kolom3]:[Kolom222]],5)</f>
        <v>0</v>
      </c>
      <c r="AQ20" s="36">
        <f>COUNTIF(Tabel42[[#This Row],[Kolom3]:[Kolom222]],3)</f>
        <v>0</v>
      </c>
      <c r="AR20" s="36">
        <f>COUNTIF(Tabel42[[#This Row],[Kolom3]:[Kolom222]],2)</f>
        <v>0</v>
      </c>
      <c r="AS20" s="36">
        <f>COUNTIF(Tabel42[[#This Row],[Kolom3]:[Kolom222]],1)</f>
        <v>0</v>
      </c>
      <c r="AT20" s="36">
        <f>COUNTIF('Symptomen (alle)'!$D15:$AC15,10)</f>
        <v>1</v>
      </c>
      <c r="AU20" s="36">
        <f>COUNTIF('Symptomen (alle)'!$D15:$AC15,5)</f>
        <v>0</v>
      </c>
      <c r="AV20" s="36">
        <f>COUNTIF('Symptomen (alle)'!$D15:$AC15,3)</f>
        <v>2</v>
      </c>
      <c r="AW20" s="36">
        <f>COUNTIF('Symptomen (alle)'!$D15:$AC15,2)</f>
        <v>3</v>
      </c>
      <c r="AX20" s="36">
        <f>COUNTIF('Symptomen (alle)'!$D15:$AC15,1)</f>
        <v>4</v>
      </c>
      <c r="AY20" s="22">
        <f>IF(Tabel42[[#This Row],[Kolom300]]=0,0,Tabel42[[#This Row],[Kolom2972]]/Tabel42[[#This Row],[Kolom300]])</f>
        <v>1</v>
      </c>
      <c r="AZ20" s="22">
        <f>IF(Tabel42[[#This Row],[Kolom301]]=0,0,Tabel42[[#This Row],[Kolom2973]]/Tabel42[[#This Row],[Kolom301]])</f>
        <v>0</v>
      </c>
      <c r="BA20" s="22">
        <f>IF(Tabel42[[#This Row],[Kolom294]]=0,0,Tabel42[[#This Row],[Kolom298]]/Tabel42[[#This Row],[Kolom294]])</f>
        <v>0</v>
      </c>
      <c r="BB20" s="22">
        <f>IF(Tabel42[[#This Row],[Kolom295]]=0,0,Tabel42[[#This Row],[Kolom299]]/Tabel42[[#This Row],[Kolom295]])</f>
        <v>0</v>
      </c>
      <c r="BC20" s="22">
        <f>IF(Tabel42[[#This Row],[Kolom2965]]=0,0,Tabel42[[#This Row],[Kolom300]]/Tabel42[[#This Row],[Kolom2965]])</f>
        <v>1</v>
      </c>
      <c r="BD20" s="22">
        <f>IF(Tabel42[[#This Row],[Kolom2966]]=0,0,Tabel42[[#This Row],[Kolom301]]/Tabel42[[#This Row],[Kolom2966]])</f>
        <v>0</v>
      </c>
      <c r="BE20" s="22">
        <f>IF(Tabel42[[#This Row],[Kolom2962]]=0,0,Tabel42[[#This Row],[Kolom294]]/Tabel42[[#This Row],[Kolom2962]])</f>
        <v>0</v>
      </c>
      <c r="BF20" s="22">
        <f>IF(Tabel42[[#This Row],[Kolom29622]]=0,0,Tabel42[[#This Row],[Kolom295]]/Tabel42[[#This Row],[Kolom29622]])</f>
        <v>0</v>
      </c>
      <c r="BG20" s="22">
        <f>IF(Tabel42[[#This Row],[Kolom29623]]=0,0,Tabel42[[#This Row],[Kolom296]]/Tabel42[[#This Row],[Kolom29623]])</f>
        <v>0</v>
      </c>
      <c r="BH20" s="22">
        <f>(10*Tabel42[[#This Row],[Kolom296232]]+5*Tabel42[[#This Row],[Kolom296233]]+3*Tabel42[[#This Row],[Kolom29624]]+2*Tabel42[[#This Row],[Kolom2963]]+Tabel42[[#This Row],[Kolom29]])/21</f>
        <v>0.49450549450549453</v>
      </c>
      <c r="BI20" s="22">
        <f>(10*Tabel42[[#This Row],[Kolom296232]]+5*Tabel42[[#This Row],[Kolom296233]]+3*Tabel42[[#This Row],[Kolom29624]]+2*Tabel42[[#This Row],[Kolom2963]])/20</f>
        <v>0.5</v>
      </c>
      <c r="BJ20" s="22">
        <f>(10*Tabel42[[#This Row],[Kolom29634]]+3*Tabel42[[#This Row],[Kolom29633]]+2*Tabel42[[#This Row],[Kolom29632]]+Tabel42[[#This Row],[Kolom2964]])/16</f>
        <v>0.625</v>
      </c>
      <c r="BK20" s="22">
        <f>(10*Tabel42[[#This Row],[Kolom29634]]+5*Tabel42[[#This Row],[Kolom29635]]+3*Tabel42[[#This Row],[Kolom29633]]+2*Tabel42[[#This Row],[Kolom29632]])/20</f>
        <v>0.5</v>
      </c>
      <c r="BL20" s="22">
        <f>Tabel42[[#This Row],[Kolom29]]</f>
        <v>0.38461538461538464</v>
      </c>
      <c r="BM20" s="36">
        <f>_xlfn.RANK.EQ(Tabel42[[#This Row],[Kolom29]],$AI$7:$AI$37)</f>
        <v>3</v>
      </c>
      <c r="BN20" s="36">
        <f>_xlfn.RANK.EQ(Tabel42[[#This Row],[Kolom293]],BH$7:BH$37)</f>
        <v>3</v>
      </c>
      <c r="BO20" s="36">
        <f>_xlfn.RANK.EQ(Tabel42[[#This Row],[Kolom2933]],BI$7:BI$37)</f>
        <v>2</v>
      </c>
      <c r="BP20" s="36">
        <f>_xlfn.RANK.EQ(Tabel42[[#This Row],[Kolom29332]],BJ$7:BJ$37)</f>
        <v>3</v>
      </c>
      <c r="BQ20" s="36">
        <f>_xlfn.RANK.EQ(Tabel42[[#This Row],[Kolom2934]],BK$7:BK$37)</f>
        <v>3</v>
      </c>
      <c r="BR20" s="133">
        <f>AVERAGE(Tabel42[[#This Row],[Kolom2910]:[Kolom2911]])</f>
        <v>2.8</v>
      </c>
      <c r="BS20" s="135">
        <f>_xlfn.RANK.EQ(Tabel42[[#This Row],[Kolom30]],BR$7:BR$37)</f>
        <v>28</v>
      </c>
    </row>
    <row r="21" spans="1:71">
      <c r="B21" s="21" t="str">
        <f>'Symptomen (alle)'!A16</f>
        <v>Spironucleus/Hexamita</v>
      </c>
      <c r="C21" s="21">
        <f>'Symptomen (alle)'!B16</f>
        <v>2</v>
      </c>
      <c r="D21" s="21">
        <f>IF(D$4="x",'Symptomen (alle)'!C16,0)</f>
        <v>0</v>
      </c>
      <c r="E21" s="21">
        <f>IF(E$4="x",'Symptomen (alle)'!D16,0)</f>
        <v>0</v>
      </c>
      <c r="F21" s="21">
        <f>IF(F$4="x",'Symptomen (alle)'!E16,0)</f>
        <v>0</v>
      </c>
      <c r="G21" s="21">
        <f>IF(G$4="x",'Symptomen (alle)'!F16,0)</f>
        <v>0</v>
      </c>
      <c r="H21" s="21">
        <f>IF(H$4="x",'Symptomen (alle)'!G16,0)</f>
        <v>0</v>
      </c>
      <c r="I21" s="21">
        <f>IF(I$4="x",'Symptomen (alle)'!H16,0)</f>
        <v>0</v>
      </c>
      <c r="J21" s="21">
        <f>IF(J$4="x",'Symptomen (alle)'!I16,0)</f>
        <v>0</v>
      </c>
      <c r="K21" s="21">
        <f>IF(K$4="x",'Symptomen (alle)'!J16,0)</f>
        <v>0</v>
      </c>
      <c r="L21" s="21">
        <f>IF(L$4="x",'Symptomen (alle)'!K16,0)</f>
        <v>0</v>
      </c>
      <c r="M21" s="21">
        <f>IF(M$4="x",'Symptomen (alle)'!L16,0)</f>
        <v>0</v>
      </c>
      <c r="N21" s="21">
        <f>IF(N$4="x",'Symptomen (alle)'!M16,0)</f>
        <v>0</v>
      </c>
      <c r="O21" s="21">
        <f>IF(O$4="x",'Symptomen (alle)'!N16,0)</f>
        <v>0</v>
      </c>
      <c r="P21" s="21">
        <f>IF(P$4="x",'Symptomen (alle)'!O16,0)</f>
        <v>0</v>
      </c>
      <c r="Q21" s="21">
        <f>IF(Q$4="x",'Symptomen (alle)'!P16,0)</f>
        <v>0</v>
      </c>
      <c r="R21" s="21">
        <f>IF(R$4="x",'Symptomen (alle)'!Q16,0)</f>
        <v>0</v>
      </c>
      <c r="S21" s="21">
        <f>IF(S$4="x",'Symptomen (alle)'!R16,0)</f>
        <v>0</v>
      </c>
      <c r="T21" s="21">
        <f>IF(T$4="x",'Symptomen (alle)'!S16,0)</f>
        <v>0</v>
      </c>
      <c r="U21" s="21">
        <f>IF(U$4="x",'Symptomen (alle)'!T16,0)</f>
        <v>0</v>
      </c>
      <c r="V21" s="21">
        <f>IF(V$4="x",'Symptomen (alle)'!U16,0)</f>
        <v>0</v>
      </c>
      <c r="W21" s="21">
        <f>IF(W$4="x",'Symptomen (alle)'!V16,0)</f>
        <v>0</v>
      </c>
      <c r="X21" s="21">
        <f>IF(X$4="x",'Symptomen (alle)'!W16,0)</f>
        <v>0</v>
      </c>
      <c r="Y21" s="21">
        <f>IF(Y$4="x",'Symptomen (alle)'!X16,0)</f>
        <v>0</v>
      </c>
      <c r="Z21" s="21">
        <f>IF(Z$4="x",'Symptomen (alle)'!Y16,0)</f>
        <v>0</v>
      </c>
      <c r="AA21" s="21">
        <f>IF(AA$4="x",'Symptomen (alle)'!Z16,0)</f>
        <v>0</v>
      </c>
      <c r="AB21" s="21">
        <f>IF(AB$4="x",'Symptomen (alle)'!AA16,0)</f>
        <v>0</v>
      </c>
      <c r="AC21" s="21">
        <f>IF(AC$4="x",'Symptomen (alle)'!AB16,0)</f>
        <v>0</v>
      </c>
      <c r="AD21" s="21">
        <f>IF(AD$4="x",'Symptomen (alle)'!AC16,0)</f>
        <v>0</v>
      </c>
      <c r="AE21" s="21">
        <f t="shared" si="1"/>
        <v>0</v>
      </c>
      <c r="AF21" s="21">
        <f>HLOOKUP($B$4,ZiekteFam!$B$1:$T$32,AG21,FALSE)</f>
        <v>0</v>
      </c>
      <c r="AG21" s="32">
        <f t="shared" si="2"/>
        <v>16</v>
      </c>
      <c r="AH21" s="32">
        <f>SUM('Symptomen (alle)'!D16:AC16)</f>
        <v>26</v>
      </c>
      <c r="AI21" s="22">
        <f>Tabel42[[#This Row],[Kolom25]]/Tabel42[[#This Row],[Kolom28]]</f>
        <v>0</v>
      </c>
      <c r="AJ21" s="36">
        <f t="shared" si="0"/>
        <v>2</v>
      </c>
      <c r="AK21" s="36">
        <f t="shared" si="3"/>
        <v>0</v>
      </c>
      <c r="AL21" s="36">
        <f t="shared" si="4"/>
        <v>0</v>
      </c>
      <c r="AM21" s="36">
        <f t="shared" si="5"/>
        <v>0</v>
      </c>
      <c r="AN21" s="36">
        <f t="shared" si="6"/>
        <v>0</v>
      </c>
      <c r="AO21" s="36">
        <f>COUNTIF(Tabel42[[#This Row],[Kolom3]:[Kolom222]],10)</f>
        <v>0</v>
      </c>
      <c r="AP21" s="36">
        <f>COUNTIF(Tabel42[[#This Row],[Kolom3]:[Kolom222]],5)</f>
        <v>0</v>
      </c>
      <c r="AQ21" s="36">
        <f>COUNTIF(Tabel42[[#This Row],[Kolom3]:[Kolom222]],3)</f>
        <v>0</v>
      </c>
      <c r="AR21" s="36">
        <f>COUNTIF(Tabel42[[#This Row],[Kolom3]:[Kolom222]],2)</f>
        <v>0</v>
      </c>
      <c r="AS21" s="36">
        <f>COUNTIF(Tabel42[[#This Row],[Kolom3]:[Kolom222]],1)</f>
        <v>0</v>
      </c>
      <c r="AT21" s="36">
        <f>COUNTIF('Symptomen (alle)'!$D16:$AC16,10)</f>
        <v>1</v>
      </c>
      <c r="AU21" s="36">
        <f>COUNTIF('Symptomen (alle)'!$D16:$AC16,5)</f>
        <v>0</v>
      </c>
      <c r="AV21" s="36">
        <f>COUNTIF('Symptomen (alle)'!$D16:$AC16,3)</f>
        <v>3</v>
      </c>
      <c r="AW21" s="36">
        <f>COUNTIF('Symptomen (alle)'!$D16:$AC16,2)</f>
        <v>3</v>
      </c>
      <c r="AX21" s="36">
        <f>COUNTIF('Symptomen (alle)'!$D16:$AC16,1)</f>
        <v>1</v>
      </c>
      <c r="AY21" s="22">
        <f>IF(Tabel42[[#This Row],[Kolom300]]=0,0,Tabel42[[#This Row],[Kolom2972]]/Tabel42[[#This Row],[Kolom300]])</f>
        <v>0</v>
      </c>
      <c r="AZ21" s="22">
        <f>IF(Tabel42[[#This Row],[Kolom301]]=0,0,Tabel42[[#This Row],[Kolom2973]]/Tabel42[[#This Row],[Kolom301]])</f>
        <v>0</v>
      </c>
      <c r="BA21" s="22">
        <f>IF(Tabel42[[#This Row],[Kolom294]]=0,0,Tabel42[[#This Row],[Kolom298]]/Tabel42[[#This Row],[Kolom294]])</f>
        <v>0</v>
      </c>
      <c r="BB21" s="22">
        <f>IF(Tabel42[[#This Row],[Kolom295]]=0,0,Tabel42[[#This Row],[Kolom299]]/Tabel42[[#This Row],[Kolom295]])</f>
        <v>0</v>
      </c>
      <c r="BC21" s="22">
        <f>IF(Tabel42[[#This Row],[Kolom2965]]=0,0,Tabel42[[#This Row],[Kolom300]]/Tabel42[[#This Row],[Kolom2965]])</f>
        <v>0</v>
      </c>
      <c r="BD21" s="22">
        <f>IF(Tabel42[[#This Row],[Kolom2966]]=0,0,Tabel42[[#This Row],[Kolom301]]/Tabel42[[#This Row],[Kolom2966]])</f>
        <v>0</v>
      </c>
      <c r="BE21" s="22">
        <f>IF(Tabel42[[#This Row],[Kolom2962]]=0,0,Tabel42[[#This Row],[Kolom294]]/Tabel42[[#This Row],[Kolom2962]])</f>
        <v>0</v>
      </c>
      <c r="BF21" s="22">
        <f>IF(Tabel42[[#This Row],[Kolom29622]]=0,0,Tabel42[[#This Row],[Kolom295]]/Tabel42[[#This Row],[Kolom29622]])</f>
        <v>0</v>
      </c>
      <c r="BG21" s="22">
        <f>IF(Tabel42[[#This Row],[Kolom29623]]=0,0,Tabel42[[#This Row],[Kolom296]]/Tabel42[[#This Row],[Kolom29623]])</f>
        <v>0</v>
      </c>
      <c r="BH21" s="22">
        <f>(10*Tabel42[[#This Row],[Kolom296232]]+5*Tabel42[[#This Row],[Kolom296233]]+3*Tabel42[[#This Row],[Kolom29624]]+2*Tabel42[[#This Row],[Kolom2963]]+Tabel42[[#This Row],[Kolom29]])/21</f>
        <v>0</v>
      </c>
      <c r="BI21" s="22">
        <f>(10*Tabel42[[#This Row],[Kolom296232]]+5*Tabel42[[#This Row],[Kolom296233]]+3*Tabel42[[#This Row],[Kolom29624]]+2*Tabel42[[#This Row],[Kolom2963]])/20</f>
        <v>0</v>
      </c>
      <c r="BJ21" s="22">
        <f>(10*Tabel42[[#This Row],[Kolom29634]]+3*Tabel42[[#This Row],[Kolom29633]]+2*Tabel42[[#This Row],[Kolom29632]]+Tabel42[[#This Row],[Kolom2964]])/16</f>
        <v>0</v>
      </c>
      <c r="BK21" s="22">
        <f>(10*Tabel42[[#This Row],[Kolom29634]]+5*Tabel42[[#This Row],[Kolom29635]]+3*Tabel42[[#This Row],[Kolom29633]]+2*Tabel42[[#This Row],[Kolom29632]])/20</f>
        <v>0</v>
      </c>
      <c r="BL21" s="22">
        <f>Tabel42[[#This Row],[Kolom29]]</f>
        <v>0</v>
      </c>
      <c r="BM21" s="36">
        <f>_xlfn.RANK.EQ(Tabel42[[#This Row],[Kolom29]],$AI$7:$AI$37)</f>
        <v>27</v>
      </c>
      <c r="BN21" s="36">
        <f>_xlfn.RANK.EQ(Tabel42[[#This Row],[Kolom293]],BH$7:BH$37)</f>
        <v>27</v>
      </c>
      <c r="BO21" s="36">
        <f>_xlfn.RANK.EQ(Tabel42[[#This Row],[Kolom2933]],BI$7:BI$37)</f>
        <v>16</v>
      </c>
      <c r="BP21" s="36">
        <f>_xlfn.RANK.EQ(Tabel42[[#This Row],[Kolom29332]],BJ$7:BJ$37)</f>
        <v>27</v>
      </c>
      <c r="BQ21" s="36">
        <f>_xlfn.RANK.EQ(Tabel42[[#This Row],[Kolom2934]],BK$7:BK$37)</f>
        <v>21</v>
      </c>
      <c r="BR21" s="133">
        <f>AVERAGE(Tabel42[[#This Row],[Kolom2910]:[Kolom2911]])</f>
        <v>23.6</v>
      </c>
      <c r="BS21" s="135">
        <f>_xlfn.RANK.EQ(Tabel42[[#This Row],[Kolom30]],BR$7:BR$37)</f>
        <v>1</v>
      </c>
    </row>
    <row r="22" spans="1:71">
      <c r="B22" s="21" t="str">
        <f>'Symptomen (alle)'!A17</f>
        <v>Fungus (mostly Saprolegnia)</v>
      </c>
      <c r="C22">
        <f>'Symptomen (alle)'!B17</f>
        <v>3</v>
      </c>
      <c r="D22" s="21" t="str">
        <f>IF(D$4="x",'Symptomen (alle)'!C17,0)</f>
        <v>x</v>
      </c>
      <c r="E22" s="21">
        <f>IF(E$4="x",'Symptomen (alle)'!D17,0)</f>
        <v>0</v>
      </c>
      <c r="F22" s="21">
        <f>IF(F$4="x",'Symptomen (alle)'!E17,0)</f>
        <v>0</v>
      </c>
      <c r="G22" s="21">
        <f>IF(G$4="x",'Symptomen (alle)'!F17,0)</f>
        <v>0</v>
      </c>
      <c r="H22" s="21">
        <f>IF(H$4="x",'Symptomen (alle)'!G17,0)</f>
        <v>0</v>
      </c>
      <c r="I22" s="21">
        <f>IF(I$4="x",'Symptomen (alle)'!H17,0)</f>
        <v>0</v>
      </c>
      <c r="J22" s="21">
        <f>IF(J$4="x",'Symptomen (alle)'!I17,0)</f>
        <v>2</v>
      </c>
      <c r="K22" s="21">
        <f>IF(K$4="x",'Symptomen (alle)'!J17,0)</f>
        <v>0</v>
      </c>
      <c r="L22" s="21">
        <f>IF(L$4="x",'Symptomen (alle)'!K17,0)</f>
        <v>0</v>
      </c>
      <c r="M22" s="21">
        <f>IF(M$4="x",'Symptomen (alle)'!L17,0)</f>
        <v>0</v>
      </c>
      <c r="N22" s="21">
        <f>IF(N$4="x",'Symptomen (alle)'!M17,0)</f>
        <v>0</v>
      </c>
      <c r="O22" s="21">
        <f>IF(O$4="x",'Symptomen (alle)'!N17,0)</f>
        <v>0</v>
      </c>
      <c r="P22" s="21">
        <f>IF(P$4="x",'Symptomen (alle)'!O17,0)</f>
        <v>0</v>
      </c>
      <c r="Q22" s="21">
        <f>IF(Q$4="x",'Symptomen (alle)'!P17,0)</f>
        <v>0</v>
      </c>
      <c r="R22" s="21">
        <f>IF(R$4="x",'Symptomen (alle)'!Q17,0)</f>
        <v>0</v>
      </c>
      <c r="S22" s="21">
        <f>IF(S$4="x",'Symptomen (alle)'!R17,0)</f>
        <v>0</v>
      </c>
      <c r="T22" s="21">
        <f>IF(T$4="x",'Symptomen (alle)'!S17,0)</f>
        <v>0</v>
      </c>
      <c r="U22" s="21">
        <f>IF(U$4="x",'Symptomen (alle)'!T17,0)</f>
        <v>0</v>
      </c>
      <c r="V22" s="21">
        <f>IF(V$4="x",'Symptomen (alle)'!U17,0)</f>
        <v>0</v>
      </c>
      <c r="W22" s="21">
        <f>IF(W$4="x",'Symptomen (alle)'!V17,0)</f>
        <v>0</v>
      </c>
      <c r="X22" s="21">
        <f>IF(X$4="x",'Symptomen (alle)'!W17,0)</f>
        <v>0</v>
      </c>
      <c r="Y22" s="21">
        <f>IF(Y$4="x",'Symptomen (alle)'!X17,0)</f>
        <v>0</v>
      </c>
      <c r="Z22" s="21">
        <f>IF(Z$4="x",'Symptomen (alle)'!Y17,0)</f>
        <v>0</v>
      </c>
      <c r="AA22" s="21">
        <f>IF(AA$4="x",'Symptomen (alle)'!Z17,0)</f>
        <v>0</v>
      </c>
      <c r="AB22" s="21">
        <f>IF(AB$4="x",'Symptomen (alle)'!AA17,0)</f>
        <v>0</v>
      </c>
      <c r="AC22" s="21">
        <f>IF(AC$4="x",'Symptomen (alle)'!AB17,0)</f>
        <v>0</v>
      </c>
      <c r="AD22" s="21">
        <f>IF(AD$4="x",'Symptomen (alle)'!AC17,0)</f>
        <v>0</v>
      </c>
      <c r="AE22" s="21">
        <f t="shared" si="1"/>
        <v>2</v>
      </c>
      <c r="AF22" s="21">
        <f>HLOOKUP($B$4,ZiekteFam!$B$1:$T$32,AG22,FALSE)</f>
        <v>3</v>
      </c>
      <c r="AG22" s="32">
        <f t="shared" si="2"/>
        <v>17</v>
      </c>
      <c r="AH22" s="32">
        <f>SUM('Symptomen (alle)'!D17:AC17)</f>
        <v>28</v>
      </c>
      <c r="AI22" s="22">
        <f>Tabel42[[#This Row],[Kolom25]]/Tabel42[[#This Row],[Kolom28]]</f>
        <v>7.1428571428571425E-2</v>
      </c>
      <c r="AJ22" s="36">
        <f t="shared" si="0"/>
        <v>2</v>
      </c>
      <c r="AK22" s="36">
        <f t="shared" si="3"/>
        <v>0</v>
      </c>
      <c r="AL22" s="36">
        <f t="shared" si="4"/>
        <v>0</v>
      </c>
      <c r="AM22" s="36">
        <f t="shared" si="5"/>
        <v>0</v>
      </c>
      <c r="AN22" s="36">
        <f t="shared" si="6"/>
        <v>1</v>
      </c>
      <c r="AO22" s="36">
        <f>COUNTIF(Tabel42[[#This Row],[Kolom3]:[Kolom222]],10)</f>
        <v>0</v>
      </c>
      <c r="AP22" s="36">
        <f>COUNTIF(Tabel42[[#This Row],[Kolom3]:[Kolom222]],5)</f>
        <v>0</v>
      </c>
      <c r="AQ22" s="36">
        <f>COUNTIF(Tabel42[[#This Row],[Kolom3]:[Kolom222]],3)</f>
        <v>0</v>
      </c>
      <c r="AR22" s="36">
        <f>COUNTIF(Tabel42[[#This Row],[Kolom3]:[Kolom222]],2)</f>
        <v>1</v>
      </c>
      <c r="AS22" s="36">
        <f>COUNTIF(Tabel42[[#This Row],[Kolom3]:[Kolom222]],1)</f>
        <v>0</v>
      </c>
      <c r="AT22" s="36">
        <f>COUNTIF('Symptomen (alle)'!$D17:$AC17,10)</f>
        <v>1</v>
      </c>
      <c r="AU22" s="36">
        <f>COUNTIF('Symptomen (alle)'!$D17:$AC17,5)</f>
        <v>0</v>
      </c>
      <c r="AV22" s="36">
        <f>COUNTIF('Symptomen (alle)'!$D17:$AC17,3)</f>
        <v>1</v>
      </c>
      <c r="AW22" s="36">
        <f>COUNTIF('Symptomen (alle)'!$D17:$AC17,2)</f>
        <v>6</v>
      </c>
      <c r="AX22" s="36">
        <f>COUNTIF('Symptomen (alle)'!$D17:$AC17,1)</f>
        <v>3</v>
      </c>
      <c r="AY22" s="22">
        <f>IF(Tabel42[[#This Row],[Kolom300]]=0,0,Tabel42[[#This Row],[Kolom2972]]/Tabel42[[#This Row],[Kolom300]])</f>
        <v>0</v>
      </c>
      <c r="AZ22" s="22">
        <f>IF(Tabel42[[#This Row],[Kolom301]]=0,0,Tabel42[[#This Row],[Kolom2973]]/Tabel42[[#This Row],[Kolom301]])</f>
        <v>0</v>
      </c>
      <c r="BA22" s="22">
        <f>IF(Tabel42[[#This Row],[Kolom294]]=0,0,Tabel42[[#This Row],[Kolom298]]/Tabel42[[#This Row],[Kolom294]])</f>
        <v>0</v>
      </c>
      <c r="BB22" s="22">
        <f>IF(Tabel42[[#This Row],[Kolom295]]=0,0,Tabel42[[#This Row],[Kolom299]]/Tabel42[[#This Row],[Kolom295]])</f>
        <v>1</v>
      </c>
      <c r="BC22" s="22">
        <f>IF(Tabel42[[#This Row],[Kolom2965]]=0,0,Tabel42[[#This Row],[Kolom300]]/Tabel42[[#This Row],[Kolom2965]])</f>
        <v>0</v>
      </c>
      <c r="BD22" s="22">
        <f>IF(Tabel42[[#This Row],[Kolom2966]]=0,0,Tabel42[[#This Row],[Kolom301]]/Tabel42[[#This Row],[Kolom2966]])</f>
        <v>0</v>
      </c>
      <c r="BE22" s="22">
        <f>IF(Tabel42[[#This Row],[Kolom2962]]=0,0,Tabel42[[#This Row],[Kolom294]]/Tabel42[[#This Row],[Kolom2962]])</f>
        <v>0</v>
      </c>
      <c r="BF22" s="22">
        <f>IF(Tabel42[[#This Row],[Kolom29622]]=0,0,Tabel42[[#This Row],[Kolom295]]/Tabel42[[#This Row],[Kolom29622]])</f>
        <v>0.16666666666666666</v>
      </c>
      <c r="BG22" s="22">
        <f>IF(Tabel42[[#This Row],[Kolom29623]]=0,0,Tabel42[[#This Row],[Kolom296]]/Tabel42[[#This Row],[Kolom29623]])</f>
        <v>0</v>
      </c>
      <c r="BH22" s="22">
        <f>(10*Tabel42[[#This Row],[Kolom296232]]+5*Tabel42[[#This Row],[Kolom296233]]+3*Tabel42[[#This Row],[Kolom29624]]+2*Tabel42[[#This Row],[Kolom2963]]+Tabel42[[#This Row],[Kolom29]])/21</f>
        <v>9.8639455782312938E-2</v>
      </c>
      <c r="BI22" s="22">
        <f>(10*Tabel42[[#This Row],[Kolom296232]]+5*Tabel42[[#This Row],[Kolom296233]]+3*Tabel42[[#This Row],[Kolom29624]]+2*Tabel42[[#This Row],[Kolom2963]])/20</f>
        <v>0.1</v>
      </c>
      <c r="BJ22" s="22">
        <f>(10*Tabel42[[#This Row],[Kolom29634]]+3*Tabel42[[#This Row],[Kolom29633]]+2*Tabel42[[#This Row],[Kolom29632]]+Tabel42[[#This Row],[Kolom2964]])/16</f>
        <v>2.0833333333333332E-2</v>
      </c>
      <c r="BK22" s="22">
        <f>(10*Tabel42[[#This Row],[Kolom29634]]+5*Tabel42[[#This Row],[Kolom29635]]+3*Tabel42[[#This Row],[Kolom29633]]+2*Tabel42[[#This Row],[Kolom29632]])/20</f>
        <v>1.6666666666666666E-2</v>
      </c>
      <c r="BL22" s="22">
        <f>Tabel42[[#This Row],[Kolom29]]</f>
        <v>7.1428571428571425E-2</v>
      </c>
      <c r="BM22" s="36">
        <f>_xlfn.RANK.EQ(Tabel42[[#This Row],[Kolom29]],$AI$7:$AI$37)</f>
        <v>19</v>
      </c>
      <c r="BN22" s="36">
        <f>_xlfn.RANK.EQ(Tabel42[[#This Row],[Kolom293]],BH$7:BH$37)</f>
        <v>9</v>
      </c>
      <c r="BO22" s="36">
        <f>_xlfn.RANK.EQ(Tabel42[[#This Row],[Kolom2933]],BI$7:BI$37)</f>
        <v>8</v>
      </c>
      <c r="BP22" s="36">
        <f>_xlfn.RANK.EQ(Tabel42[[#This Row],[Kolom29332]],BJ$7:BJ$37)</f>
        <v>21</v>
      </c>
      <c r="BQ22" s="36">
        <f>_xlfn.RANK.EQ(Tabel42[[#This Row],[Kolom2934]],BK$7:BK$37)</f>
        <v>18</v>
      </c>
      <c r="BR22" s="133">
        <f>AVERAGE(Tabel42[[#This Row],[Kolom2910]:[Kolom2911]])</f>
        <v>15</v>
      </c>
      <c r="BS22" s="135">
        <f>_xlfn.RANK.EQ(Tabel42[[#This Row],[Kolom30]],BR$7:BR$37)</f>
        <v>15</v>
      </c>
    </row>
    <row r="23" spans="1:71">
      <c r="B23" s="21" t="str">
        <f>'Symptomen (alle)'!A18</f>
        <v>False Fungal Parasites (Stalked ciliates)</v>
      </c>
      <c r="C23" s="77">
        <f>'Symptomen (alle)'!B18</f>
        <v>3</v>
      </c>
      <c r="D23" s="21" t="str">
        <f>IF(D$4="x",'Symptomen (alle)'!C18,0)</f>
        <v>x</v>
      </c>
      <c r="E23" s="21">
        <f>IF(E$4="x",'Symptomen (alle)'!D18,0)</f>
        <v>0</v>
      </c>
      <c r="F23" s="21">
        <f>IF(F$4="x",'Symptomen (alle)'!E18,0)</f>
        <v>0</v>
      </c>
      <c r="G23" s="21">
        <f>IF(G$4="x",'Symptomen (alle)'!F18,0)</f>
        <v>0</v>
      </c>
      <c r="H23" s="21">
        <f>IF(H$4="x",'Symptomen (alle)'!G18,0)</f>
        <v>0</v>
      </c>
      <c r="I23" s="21">
        <f>IF(I$4="x",'Symptomen (alle)'!H18,0)</f>
        <v>0</v>
      </c>
      <c r="J23" s="21">
        <f>IF(J$4="x",'Symptomen (alle)'!I18,0)</f>
        <v>1</v>
      </c>
      <c r="K23" s="21">
        <f>IF(K$4="x",'Symptomen (alle)'!J18,0)</f>
        <v>0</v>
      </c>
      <c r="L23" s="21">
        <f>IF(L$4="x",'Symptomen (alle)'!K18,0)</f>
        <v>0</v>
      </c>
      <c r="M23" s="21">
        <f>IF(M$4="x",'Symptomen (alle)'!L18,0)</f>
        <v>0</v>
      </c>
      <c r="N23" s="21">
        <f>IF(N$4="x",'Symptomen (alle)'!M18,0)</f>
        <v>0</v>
      </c>
      <c r="O23" s="21">
        <f>IF(O$4="x",'Symptomen (alle)'!N18,0)</f>
        <v>0</v>
      </c>
      <c r="P23" s="21">
        <f>IF(P$4="x",'Symptomen (alle)'!O18,0)</f>
        <v>0</v>
      </c>
      <c r="Q23" s="21">
        <f>IF(Q$4="x",'Symptomen (alle)'!P18,0)</f>
        <v>0</v>
      </c>
      <c r="R23" s="21">
        <f>IF(R$4="x",'Symptomen (alle)'!Q18,0)</f>
        <v>0</v>
      </c>
      <c r="S23" s="21">
        <f>IF(S$4="x",'Symptomen (alle)'!R18,0)</f>
        <v>0</v>
      </c>
      <c r="T23" s="21">
        <f>IF(T$4="x",'Symptomen (alle)'!S18,0)</f>
        <v>0</v>
      </c>
      <c r="U23" s="21">
        <f>IF(U$4="x",'Symptomen (alle)'!T18,0)</f>
        <v>0</v>
      </c>
      <c r="V23" s="21">
        <f>IF(V$4="x",'Symptomen (alle)'!U18,0)</f>
        <v>0</v>
      </c>
      <c r="W23" s="21">
        <f>IF(W$4="x",'Symptomen (alle)'!V18,0)</f>
        <v>0</v>
      </c>
      <c r="X23" s="21">
        <f>IF(X$4="x",'Symptomen (alle)'!W18,0)</f>
        <v>0</v>
      </c>
      <c r="Y23" s="21">
        <f>IF(Y$4="x",'Symptomen (alle)'!X18,0)</f>
        <v>0</v>
      </c>
      <c r="Z23" s="21">
        <f>IF(Z$4="x",'Symptomen (alle)'!Y18,0)</f>
        <v>0</v>
      </c>
      <c r="AA23" s="21">
        <f>IF(AA$4="x",'Symptomen (alle)'!Z18,0)</f>
        <v>0</v>
      </c>
      <c r="AB23" s="21">
        <f>IF(AB$4="x",'Symptomen (alle)'!AA18,0)</f>
        <v>0</v>
      </c>
      <c r="AC23" s="21">
        <f>IF(AC$4="x",'Symptomen (alle)'!AB18,0)</f>
        <v>0</v>
      </c>
      <c r="AD23" s="21">
        <f>IF(AD$4="x",'Symptomen (alle)'!AC18,0)</f>
        <v>0</v>
      </c>
      <c r="AE23" s="21">
        <f t="shared" si="1"/>
        <v>1</v>
      </c>
      <c r="AF23" s="21">
        <f>HLOOKUP($B$4,ZiekteFam!$B$1:$T$32,AG23,FALSE)</f>
        <v>0</v>
      </c>
      <c r="AG23" s="32">
        <f t="shared" si="2"/>
        <v>18</v>
      </c>
      <c r="AH23" s="32">
        <f>SUM('Symptomen (alle)'!D18:AC18)</f>
        <v>28</v>
      </c>
      <c r="AI23" s="22">
        <f>Tabel42[[#This Row],[Kolom25]]/Tabel42[[#This Row],[Kolom28]]</f>
        <v>3.5714285714285712E-2</v>
      </c>
      <c r="AJ23" s="36">
        <f t="shared" si="0"/>
        <v>2</v>
      </c>
      <c r="AK23" s="36">
        <f t="shared" si="3"/>
        <v>0</v>
      </c>
      <c r="AL23" s="36">
        <f t="shared" si="4"/>
        <v>0</v>
      </c>
      <c r="AM23" s="36">
        <f t="shared" si="5"/>
        <v>0</v>
      </c>
      <c r="AN23" s="36">
        <f t="shared" si="6"/>
        <v>0</v>
      </c>
      <c r="AO23" s="36">
        <f>COUNTIF(Tabel42[[#This Row],[Kolom3]:[Kolom222]],10)</f>
        <v>0</v>
      </c>
      <c r="AP23" s="36">
        <f>COUNTIF(Tabel42[[#This Row],[Kolom3]:[Kolom222]],5)</f>
        <v>0</v>
      </c>
      <c r="AQ23" s="36">
        <f>COUNTIF(Tabel42[[#This Row],[Kolom3]:[Kolom222]],3)</f>
        <v>0</v>
      </c>
      <c r="AR23" s="36">
        <f>COUNTIF(Tabel42[[#This Row],[Kolom3]:[Kolom222]],2)</f>
        <v>0</v>
      </c>
      <c r="AS23" s="36">
        <f>COUNTIF(Tabel42[[#This Row],[Kolom3]:[Kolom222]],1)</f>
        <v>1</v>
      </c>
      <c r="AT23" s="36">
        <f>COUNTIF('Symptomen (alle)'!$D18:$AC18,10)</f>
        <v>1</v>
      </c>
      <c r="AU23" s="36">
        <f>COUNTIF('Symptomen (alle)'!$D18:$AC18,5)</f>
        <v>0</v>
      </c>
      <c r="AV23" s="36">
        <f>COUNTIF('Symptomen (alle)'!$D18:$AC18,3)</f>
        <v>2</v>
      </c>
      <c r="AW23" s="36">
        <f>COUNTIF('Symptomen (alle)'!$D18:$AC18,2)</f>
        <v>3</v>
      </c>
      <c r="AX23" s="36">
        <f>COUNTIF('Symptomen (alle)'!$D18:$AC18,1)</f>
        <v>6</v>
      </c>
      <c r="AY23" s="22">
        <f>IF(Tabel42[[#This Row],[Kolom300]]=0,0,Tabel42[[#This Row],[Kolom2972]]/Tabel42[[#This Row],[Kolom300]])</f>
        <v>0</v>
      </c>
      <c r="AZ23" s="22">
        <f>IF(Tabel42[[#This Row],[Kolom301]]=0,0,Tabel42[[#This Row],[Kolom2973]]/Tabel42[[#This Row],[Kolom301]])</f>
        <v>0</v>
      </c>
      <c r="BA23" s="22">
        <f>IF(Tabel42[[#This Row],[Kolom294]]=0,0,Tabel42[[#This Row],[Kolom298]]/Tabel42[[#This Row],[Kolom294]])</f>
        <v>0</v>
      </c>
      <c r="BB23" s="22">
        <f>IF(Tabel42[[#This Row],[Kolom295]]=0,0,Tabel42[[#This Row],[Kolom299]]/Tabel42[[#This Row],[Kolom295]])</f>
        <v>0</v>
      </c>
      <c r="BC23" s="22">
        <f>IF(Tabel42[[#This Row],[Kolom2965]]=0,0,Tabel42[[#This Row],[Kolom300]]/Tabel42[[#This Row],[Kolom2965]])</f>
        <v>0</v>
      </c>
      <c r="BD23" s="22">
        <f>IF(Tabel42[[#This Row],[Kolom2966]]=0,0,Tabel42[[#This Row],[Kolom301]]/Tabel42[[#This Row],[Kolom2966]])</f>
        <v>0</v>
      </c>
      <c r="BE23" s="22">
        <f>IF(Tabel42[[#This Row],[Kolom2962]]=0,0,Tabel42[[#This Row],[Kolom294]]/Tabel42[[#This Row],[Kolom2962]])</f>
        <v>0</v>
      </c>
      <c r="BF23" s="22">
        <f>IF(Tabel42[[#This Row],[Kolom29622]]=0,0,Tabel42[[#This Row],[Kolom295]]/Tabel42[[#This Row],[Kolom29622]])</f>
        <v>0</v>
      </c>
      <c r="BG23" s="22">
        <f>IF(Tabel42[[#This Row],[Kolom29623]]=0,0,Tabel42[[#This Row],[Kolom296]]/Tabel42[[#This Row],[Kolom29623]])</f>
        <v>0.16666666666666666</v>
      </c>
      <c r="BH23" s="22">
        <f>(10*Tabel42[[#This Row],[Kolom296232]]+5*Tabel42[[#This Row],[Kolom296233]]+3*Tabel42[[#This Row],[Kolom29624]]+2*Tabel42[[#This Row],[Kolom2963]]+Tabel42[[#This Row],[Kolom29]])/21</f>
        <v>1.7006802721088435E-3</v>
      </c>
      <c r="BI23" s="22">
        <f>(10*Tabel42[[#This Row],[Kolom296232]]+5*Tabel42[[#This Row],[Kolom296233]]+3*Tabel42[[#This Row],[Kolom29624]]+2*Tabel42[[#This Row],[Kolom2963]])/20</f>
        <v>0</v>
      </c>
      <c r="BJ23" s="22">
        <f>(10*Tabel42[[#This Row],[Kolom29634]]+3*Tabel42[[#This Row],[Kolom29633]]+2*Tabel42[[#This Row],[Kolom29632]]+Tabel42[[#This Row],[Kolom2964]])/16</f>
        <v>1.0416666666666666E-2</v>
      </c>
      <c r="BK23" s="22">
        <f>(10*Tabel42[[#This Row],[Kolom29634]]+5*Tabel42[[#This Row],[Kolom29635]]+3*Tabel42[[#This Row],[Kolom29633]]+2*Tabel42[[#This Row],[Kolom29632]])/20</f>
        <v>0</v>
      </c>
      <c r="BL23" s="22">
        <f>Tabel42[[#This Row],[Kolom29]]</f>
        <v>3.5714285714285712E-2</v>
      </c>
      <c r="BM23" s="36">
        <f>_xlfn.RANK.EQ(Tabel42[[#This Row],[Kolom29]],$AI$7:$AI$37)</f>
        <v>24</v>
      </c>
      <c r="BN23" s="36">
        <f>_xlfn.RANK.EQ(Tabel42[[#This Row],[Kolom293]],BH$7:BH$37)</f>
        <v>24</v>
      </c>
      <c r="BO23" s="36">
        <f>_xlfn.RANK.EQ(Tabel42[[#This Row],[Kolom2933]],BI$7:BI$37)</f>
        <v>16</v>
      </c>
      <c r="BP23" s="36">
        <f>_xlfn.RANK.EQ(Tabel42[[#This Row],[Kolom29332]],BJ$7:BJ$37)</f>
        <v>26</v>
      </c>
      <c r="BQ23" s="36">
        <f>_xlfn.RANK.EQ(Tabel42[[#This Row],[Kolom2934]],BK$7:BK$37)</f>
        <v>21</v>
      </c>
      <c r="BR23" s="133">
        <f>AVERAGE(Tabel42[[#This Row],[Kolom2910]:[Kolom2911]])</f>
        <v>22.2</v>
      </c>
      <c r="BS23" s="135">
        <f>_xlfn.RANK.EQ(Tabel42[[#This Row],[Kolom30]],BR$7:BR$37)</f>
        <v>6</v>
      </c>
    </row>
    <row r="24" spans="1:71">
      <c r="B24" s="21" t="str">
        <f>'Symptomen (alle)'!A19</f>
        <v>Sporozoa parasites</v>
      </c>
      <c r="C24" s="21">
        <f>'Symptomen (alle)'!B19</f>
        <v>4</v>
      </c>
      <c r="D24" s="21">
        <f>IF(D$4="x",'Symptomen (alle)'!C19,0)</f>
        <v>0</v>
      </c>
      <c r="E24" s="21">
        <f>IF(E$4="x",'Symptomen (alle)'!D19,0)</f>
        <v>0</v>
      </c>
      <c r="F24" s="21">
        <f>IF(F$4="x",'Symptomen (alle)'!E19,0)</f>
        <v>0</v>
      </c>
      <c r="G24" s="21">
        <f>IF(G$4="x",'Symptomen (alle)'!F19,0)</f>
        <v>0</v>
      </c>
      <c r="H24" s="21">
        <f>IF(H$4="x",'Symptomen (alle)'!G19,0)</f>
        <v>0</v>
      </c>
      <c r="I24" s="21">
        <f>IF(I$4="x",'Symptomen (alle)'!H19,0)</f>
        <v>0</v>
      </c>
      <c r="J24" s="21">
        <f>IF(J$4="x",'Symptomen (alle)'!I19,0)</f>
        <v>3</v>
      </c>
      <c r="K24" s="21">
        <f>IF(K$4="x",'Symptomen (alle)'!J19,0)</f>
        <v>0</v>
      </c>
      <c r="L24" s="21">
        <f>IF(L$4="x",'Symptomen (alle)'!K19,0)</f>
        <v>0</v>
      </c>
      <c r="M24" s="21">
        <f>IF(M$4="x",'Symptomen (alle)'!L19,0)</f>
        <v>0</v>
      </c>
      <c r="N24" s="21">
        <f>IF(N$4="x",'Symptomen (alle)'!M19,0)</f>
        <v>0</v>
      </c>
      <c r="O24" s="21">
        <f>IF(O$4="x",'Symptomen (alle)'!N19,0)</f>
        <v>0</v>
      </c>
      <c r="P24" s="21">
        <f>IF(P$4="x",'Symptomen (alle)'!O19,0)</f>
        <v>0</v>
      </c>
      <c r="Q24" s="21">
        <f>IF(Q$4="x",'Symptomen (alle)'!P19,0)</f>
        <v>0</v>
      </c>
      <c r="R24" s="21">
        <f>IF(R$4="x",'Symptomen (alle)'!Q19,0)</f>
        <v>0</v>
      </c>
      <c r="S24" s="21">
        <f>IF(S$4="x",'Symptomen (alle)'!R19,0)</f>
        <v>0</v>
      </c>
      <c r="T24" s="21">
        <f>IF(T$4="x",'Symptomen (alle)'!S19,0)</f>
        <v>0</v>
      </c>
      <c r="U24" s="21">
        <f>IF(U$4="x",'Symptomen (alle)'!T19,0)</f>
        <v>0</v>
      </c>
      <c r="V24" s="21">
        <f>IF(V$4="x",'Symptomen (alle)'!U19,0)</f>
        <v>0</v>
      </c>
      <c r="W24" s="21">
        <f>IF(W$4="x",'Symptomen (alle)'!V19,0)</f>
        <v>0</v>
      </c>
      <c r="X24" s="21">
        <f>IF(X$4="x",'Symptomen (alle)'!W19,0)</f>
        <v>0</v>
      </c>
      <c r="Y24" s="21">
        <f>IF(Y$4="x",'Symptomen (alle)'!X19,0)</f>
        <v>0</v>
      </c>
      <c r="Z24" s="21">
        <f>IF(Z$4="x",'Symptomen (alle)'!Y19,0)</f>
        <v>0</v>
      </c>
      <c r="AA24" s="21">
        <f>IF(AA$4="x",'Symptomen (alle)'!Z19,0)</f>
        <v>0</v>
      </c>
      <c r="AB24" s="21">
        <f>IF(AB$4="x",'Symptomen (alle)'!AA19,0)</f>
        <v>0</v>
      </c>
      <c r="AC24" s="21">
        <f>IF(AC$4="x",'Symptomen (alle)'!AB19,0)</f>
        <v>0</v>
      </c>
      <c r="AD24" s="21">
        <f>IF(AD$4="x",'Symptomen (alle)'!AC19,0)</f>
        <v>0</v>
      </c>
      <c r="AE24" s="21">
        <f t="shared" si="1"/>
        <v>3</v>
      </c>
      <c r="AF24" s="21">
        <f>HLOOKUP($B$4,ZiekteFam!$B$1:$T$32,AG24,FALSE)</f>
        <v>0</v>
      </c>
      <c r="AG24" s="32">
        <f t="shared" si="2"/>
        <v>19</v>
      </c>
      <c r="AH24" s="32">
        <f>SUM('Symptomen (alle)'!D19:AC19)</f>
        <v>18</v>
      </c>
      <c r="AI24" s="22">
        <f>Tabel42[[#This Row],[Kolom25]]/Tabel42[[#This Row],[Kolom28]]</f>
        <v>0.16666666666666666</v>
      </c>
      <c r="AJ24" s="36">
        <f t="shared" si="0"/>
        <v>2</v>
      </c>
      <c r="AK24" s="36">
        <f t="shared" si="3"/>
        <v>0</v>
      </c>
      <c r="AL24" s="36">
        <f t="shared" si="4"/>
        <v>0</v>
      </c>
      <c r="AM24" s="36">
        <f t="shared" si="5"/>
        <v>1</v>
      </c>
      <c r="AN24" s="36">
        <f t="shared" si="6"/>
        <v>0</v>
      </c>
      <c r="AO24" s="36">
        <f>COUNTIF(Tabel42[[#This Row],[Kolom3]:[Kolom222]],10)</f>
        <v>0</v>
      </c>
      <c r="AP24" s="36">
        <f>COUNTIF(Tabel42[[#This Row],[Kolom3]:[Kolom222]],5)</f>
        <v>0</v>
      </c>
      <c r="AQ24" s="36">
        <f>COUNTIF(Tabel42[[#This Row],[Kolom3]:[Kolom222]],3)</f>
        <v>1</v>
      </c>
      <c r="AR24" s="36">
        <f>COUNTIF(Tabel42[[#This Row],[Kolom3]:[Kolom222]],2)</f>
        <v>0</v>
      </c>
      <c r="AS24" s="36">
        <f>COUNTIF(Tabel42[[#This Row],[Kolom3]:[Kolom222]],1)</f>
        <v>0</v>
      </c>
      <c r="AT24" s="36">
        <f>COUNTIF('Symptomen (alle)'!$D19:$AC19,10)</f>
        <v>0</v>
      </c>
      <c r="AU24" s="36">
        <f>COUNTIF('Symptomen (alle)'!$D19:$AC19,5)</f>
        <v>0</v>
      </c>
      <c r="AV24" s="36">
        <f>COUNTIF('Symptomen (alle)'!$D19:$AC19,3)</f>
        <v>5</v>
      </c>
      <c r="AW24" s="36">
        <f>COUNTIF('Symptomen (alle)'!$D19:$AC19,2)</f>
        <v>0</v>
      </c>
      <c r="AX24" s="36">
        <f>COUNTIF('Symptomen (alle)'!$D19:$AC19,1)</f>
        <v>3</v>
      </c>
      <c r="AY24" s="22">
        <f>IF(Tabel42[[#This Row],[Kolom300]]=0,0,Tabel42[[#This Row],[Kolom2972]]/Tabel42[[#This Row],[Kolom300]])</f>
        <v>0</v>
      </c>
      <c r="AZ24" s="22">
        <f>IF(Tabel42[[#This Row],[Kolom301]]=0,0,Tabel42[[#This Row],[Kolom2973]]/Tabel42[[#This Row],[Kolom301]])</f>
        <v>0</v>
      </c>
      <c r="BA24" s="22">
        <f>IF(Tabel42[[#This Row],[Kolom294]]=0,0,Tabel42[[#This Row],[Kolom298]]/Tabel42[[#This Row],[Kolom294]])</f>
        <v>1</v>
      </c>
      <c r="BB24" s="22">
        <f>IF(Tabel42[[#This Row],[Kolom295]]=0,0,Tabel42[[#This Row],[Kolom299]]/Tabel42[[#This Row],[Kolom295]])</f>
        <v>0</v>
      </c>
      <c r="BC24" s="22">
        <f>IF(Tabel42[[#This Row],[Kolom2965]]=0,0,Tabel42[[#This Row],[Kolom300]]/Tabel42[[#This Row],[Kolom2965]])</f>
        <v>0</v>
      </c>
      <c r="BD24" s="22">
        <f>IF(Tabel42[[#This Row],[Kolom2966]]=0,0,Tabel42[[#This Row],[Kolom301]]/Tabel42[[#This Row],[Kolom2966]])</f>
        <v>0</v>
      </c>
      <c r="BE24" s="22">
        <f>IF(Tabel42[[#This Row],[Kolom2962]]=0,0,Tabel42[[#This Row],[Kolom294]]/Tabel42[[#This Row],[Kolom2962]])</f>
        <v>0.2</v>
      </c>
      <c r="BF24" s="22">
        <f>IF(Tabel42[[#This Row],[Kolom29622]]=0,0,Tabel42[[#This Row],[Kolom295]]/Tabel42[[#This Row],[Kolom29622]])</f>
        <v>0</v>
      </c>
      <c r="BG24" s="22">
        <f>IF(Tabel42[[#This Row],[Kolom29623]]=0,0,Tabel42[[#This Row],[Kolom296]]/Tabel42[[#This Row],[Kolom29623]])</f>
        <v>0</v>
      </c>
      <c r="BH24" s="22">
        <f>(10*Tabel42[[#This Row],[Kolom296232]]+5*Tabel42[[#This Row],[Kolom296233]]+3*Tabel42[[#This Row],[Kolom29624]]+2*Tabel42[[#This Row],[Kolom2963]]+Tabel42[[#This Row],[Kolom29]])/21</f>
        <v>0.15079365079365079</v>
      </c>
      <c r="BI24" s="22">
        <f>(10*Tabel42[[#This Row],[Kolom296232]]+5*Tabel42[[#This Row],[Kolom296233]]+3*Tabel42[[#This Row],[Kolom29624]]+2*Tabel42[[#This Row],[Kolom2963]])/20</f>
        <v>0.15</v>
      </c>
      <c r="BJ24" s="22">
        <f>(10*Tabel42[[#This Row],[Kolom29634]]+3*Tabel42[[#This Row],[Kolom29633]]+2*Tabel42[[#This Row],[Kolom29632]]+Tabel42[[#This Row],[Kolom2964]])/16</f>
        <v>3.7500000000000006E-2</v>
      </c>
      <c r="BK24" s="22">
        <f>(10*Tabel42[[#This Row],[Kolom29634]]+5*Tabel42[[#This Row],[Kolom29635]]+3*Tabel42[[#This Row],[Kolom29633]]+2*Tabel42[[#This Row],[Kolom29632]])/20</f>
        <v>3.0000000000000006E-2</v>
      </c>
      <c r="BL24" s="22">
        <f>Tabel42[[#This Row],[Kolom29]]</f>
        <v>0.16666666666666666</v>
      </c>
      <c r="BM24" s="36">
        <f>_xlfn.RANK.EQ(Tabel42[[#This Row],[Kolom29]],$AI$7:$AI$37)</f>
        <v>11</v>
      </c>
      <c r="BN24" s="36">
        <f>_xlfn.RANK.EQ(Tabel42[[#This Row],[Kolom293]],BH$7:BH$37)</f>
        <v>7</v>
      </c>
      <c r="BO24" s="36">
        <f>_xlfn.RANK.EQ(Tabel42[[#This Row],[Kolom2933]],BI$7:BI$37)</f>
        <v>6</v>
      </c>
      <c r="BP24" s="36">
        <f>_xlfn.RANK.EQ(Tabel42[[#This Row],[Kolom29332]],BJ$7:BJ$37)</f>
        <v>17</v>
      </c>
      <c r="BQ24" s="36">
        <f>_xlfn.RANK.EQ(Tabel42[[#This Row],[Kolom2934]],BK$7:BK$37)</f>
        <v>17</v>
      </c>
      <c r="BR24" s="133">
        <f>AVERAGE(Tabel42[[#This Row],[Kolom2910]:[Kolom2911]])</f>
        <v>11.6</v>
      </c>
      <c r="BS24" s="135">
        <f>_xlfn.RANK.EQ(Tabel42[[#This Row],[Kolom30]],BR$7:BR$37)</f>
        <v>22</v>
      </c>
    </row>
    <row r="25" spans="1:71">
      <c r="B25" s="21" t="str">
        <f>'Symptomen (alle)'!A20</f>
        <v>Plistophora (real Neon disease)</v>
      </c>
      <c r="C25" s="21">
        <f>'Symptomen (alle)'!B20</f>
        <v>4</v>
      </c>
      <c r="D25" s="21">
        <f>IF(D$4="x",'Symptomen (alle)'!C20,0)</f>
        <v>0</v>
      </c>
      <c r="E25" s="21">
        <f>IF(E$4="x",'Symptomen (alle)'!D20,0)</f>
        <v>0</v>
      </c>
      <c r="F25" s="21">
        <f>IF(F$4="x",'Symptomen (alle)'!E20,0)</f>
        <v>0</v>
      </c>
      <c r="G25" s="21">
        <f>IF(G$4="x",'Symptomen (alle)'!F20,0)</f>
        <v>0</v>
      </c>
      <c r="H25" s="21">
        <f>IF(H$4="x",'Symptomen (alle)'!G20,0)</f>
        <v>0</v>
      </c>
      <c r="I25" s="21">
        <f>IF(I$4="x",'Symptomen (alle)'!H20,0)</f>
        <v>0</v>
      </c>
      <c r="J25" s="21">
        <f>IF(J$4="x",'Symptomen (alle)'!I20,0)</f>
        <v>10</v>
      </c>
      <c r="K25" s="21">
        <f>IF(K$4="x",'Symptomen (alle)'!J20,0)</f>
        <v>0</v>
      </c>
      <c r="L25" s="21">
        <f>IF(L$4="x",'Symptomen (alle)'!K20,0)</f>
        <v>0</v>
      </c>
      <c r="M25" s="21">
        <f>IF(M$4="x",'Symptomen (alle)'!L20,0)</f>
        <v>0</v>
      </c>
      <c r="N25" s="21">
        <f>IF(N$4="x",'Symptomen (alle)'!M20,0)</f>
        <v>0</v>
      </c>
      <c r="O25" s="21">
        <f>IF(O$4="x",'Symptomen (alle)'!N20,0)</f>
        <v>0</v>
      </c>
      <c r="P25" s="21">
        <f>IF(P$4="x",'Symptomen (alle)'!O20,0)</f>
        <v>0</v>
      </c>
      <c r="Q25" s="21">
        <f>IF(Q$4="x",'Symptomen (alle)'!P20,0)</f>
        <v>0</v>
      </c>
      <c r="R25" s="21">
        <f>IF(R$4="x",'Symptomen (alle)'!Q20,0)</f>
        <v>0</v>
      </c>
      <c r="S25" s="21">
        <f>IF(S$4="x",'Symptomen (alle)'!R20,0)</f>
        <v>0</v>
      </c>
      <c r="T25" s="21">
        <f>IF(T$4="x",'Symptomen (alle)'!S20,0)</f>
        <v>0</v>
      </c>
      <c r="U25" s="21">
        <f>IF(U$4="x",'Symptomen (alle)'!T20,0)</f>
        <v>0</v>
      </c>
      <c r="V25" s="21">
        <f>IF(V$4="x",'Symptomen (alle)'!U20,0)</f>
        <v>0</v>
      </c>
      <c r="W25" s="21">
        <f>IF(W$4="x",'Symptomen (alle)'!V20,0)</f>
        <v>0</v>
      </c>
      <c r="X25" s="21">
        <f>IF(X$4="x",'Symptomen (alle)'!W20,0)</f>
        <v>0</v>
      </c>
      <c r="Y25" s="21">
        <f>IF(Y$4="x",'Symptomen (alle)'!X20,0)</f>
        <v>0</v>
      </c>
      <c r="Z25" s="21">
        <f>IF(Z$4="x",'Symptomen (alle)'!Y20,0)</f>
        <v>0</v>
      </c>
      <c r="AA25" s="21">
        <f>IF(AA$4="x",'Symptomen (alle)'!Z20,0)</f>
        <v>0</v>
      </c>
      <c r="AB25" s="21">
        <f>IF(AB$4="x",'Symptomen (alle)'!AA20,0)</f>
        <v>0</v>
      </c>
      <c r="AC25" s="21">
        <f>IF(AC$4="x",'Symptomen (alle)'!AB20,0)</f>
        <v>0</v>
      </c>
      <c r="AD25" s="21">
        <f>IF(AD$4="x",'Symptomen (alle)'!AC20,0)</f>
        <v>0</v>
      </c>
      <c r="AE25" s="21">
        <f t="shared" si="1"/>
        <v>10</v>
      </c>
      <c r="AF25" s="21">
        <f>HLOOKUP($B$4,ZiekteFam!$B$1:$T$32,AG25,FALSE)</f>
        <v>0</v>
      </c>
      <c r="AG25" s="32">
        <f t="shared" si="2"/>
        <v>20</v>
      </c>
      <c r="AH25" s="32">
        <f>SUM('Symptomen (alle)'!D20:AC20)</f>
        <v>14</v>
      </c>
      <c r="AI25" s="22">
        <f>Tabel42[[#This Row],[Kolom25]]/Tabel42[[#This Row],[Kolom28]]</f>
        <v>0.7142857142857143</v>
      </c>
      <c r="AJ25" s="36">
        <f t="shared" si="0"/>
        <v>2</v>
      </c>
      <c r="AK25" s="36">
        <f t="shared" si="3"/>
        <v>1</v>
      </c>
      <c r="AL25" s="36">
        <f t="shared" si="4"/>
        <v>0</v>
      </c>
      <c r="AM25" s="36">
        <f t="shared" si="5"/>
        <v>0</v>
      </c>
      <c r="AN25" s="36">
        <f t="shared" si="6"/>
        <v>0</v>
      </c>
      <c r="AO25" s="36">
        <f>COUNTIF(Tabel42[[#This Row],[Kolom3]:[Kolom222]],10)</f>
        <v>1</v>
      </c>
      <c r="AP25" s="36">
        <f>COUNTIF(Tabel42[[#This Row],[Kolom3]:[Kolom222]],5)</f>
        <v>0</v>
      </c>
      <c r="AQ25" s="36">
        <f>COUNTIF(Tabel42[[#This Row],[Kolom3]:[Kolom222]],3)</f>
        <v>0</v>
      </c>
      <c r="AR25" s="36">
        <f>COUNTIF(Tabel42[[#This Row],[Kolom3]:[Kolom222]],2)</f>
        <v>0</v>
      </c>
      <c r="AS25" s="36">
        <f>COUNTIF(Tabel42[[#This Row],[Kolom3]:[Kolom222]],1)</f>
        <v>0</v>
      </c>
      <c r="AT25" s="36">
        <f>COUNTIF('Symptomen (alle)'!$D20:$AC20,10)</f>
        <v>1</v>
      </c>
      <c r="AU25" s="36">
        <f>COUNTIF('Symptomen (alle)'!$D20:$AC20,5)</f>
        <v>0</v>
      </c>
      <c r="AV25" s="36">
        <f>COUNTIF('Symptomen (alle)'!$D20:$AC20,3)</f>
        <v>1</v>
      </c>
      <c r="AW25" s="36">
        <f>COUNTIF('Symptomen (alle)'!$D20:$AC20,2)</f>
        <v>0</v>
      </c>
      <c r="AX25" s="36">
        <f>COUNTIF('Symptomen (alle)'!$D20:$AC20,1)</f>
        <v>1</v>
      </c>
      <c r="AY25" s="22">
        <f>IF(Tabel42[[#This Row],[Kolom300]]=0,0,Tabel42[[#This Row],[Kolom2972]]/Tabel42[[#This Row],[Kolom300]])</f>
        <v>1</v>
      </c>
      <c r="AZ25" s="22">
        <f>IF(Tabel42[[#This Row],[Kolom301]]=0,0,Tabel42[[#This Row],[Kolom2973]]/Tabel42[[#This Row],[Kolom301]])</f>
        <v>0</v>
      </c>
      <c r="BA25" s="22">
        <f>IF(Tabel42[[#This Row],[Kolom294]]=0,0,Tabel42[[#This Row],[Kolom298]]/Tabel42[[#This Row],[Kolom294]])</f>
        <v>0</v>
      </c>
      <c r="BB25" s="22">
        <f>IF(Tabel42[[#This Row],[Kolom295]]=0,0,Tabel42[[#This Row],[Kolom299]]/Tabel42[[#This Row],[Kolom295]])</f>
        <v>0</v>
      </c>
      <c r="BC25" s="22">
        <f>IF(Tabel42[[#This Row],[Kolom2965]]=0,0,Tabel42[[#This Row],[Kolom300]]/Tabel42[[#This Row],[Kolom2965]])</f>
        <v>1</v>
      </c>
      <c r="BD25" s="22">
        <f>IF(Tabel42[[#This Row],[Kolom2966]]=0,0,Tabel42[[#This Row],[Kolom301]]/Tabel42[[#This Row],[Kolom2966]])</f>
        <v>0</v>
      </c>
      <c r="BE25" s="22">
        <f>IF(Tabel42[[#This Row],[Kolom2962]]=0,0,Tabel42[[#This Row],[Kolom294]]/Tabel42[[#This Row],[Kolom2962]])</f>
        <v>0</v>
      </c>
      <c r="BF25" s="22">
        <f>IF(Tabel42[[#This Row],[Kolom29622]]=0,0,Tabel42[[#This Row],[Kolom295]]/Tabel42[[#This Row],[Kolom29622]])</f>
        <v>0</v>
      </c>
      <c r="BG25" s="22">
        <f>IF(Tabel42[[#This Row],[Kolom29623]]=0,0,Tabel42[[#This Row],[Kolom296]]/Tabel42[[#This Row],[Kolom29623]])</f>
        <v>0</v>
      </c>
      <c r="BH25" s="22">
        <f>(10*Tabel42[[#This Row],[Kolom296232]]+5*Tabel42[[#This Row],[Kolom296233]]+3*Tabel42[[#This Row],[Kolom29624]]+2*Tabel42[[#This Row],[Kolom2963]]+Tabel42[[#This Row],[Kolom29]])/21</f>
        <v>0.51020408163265307</v>
      </c>
      <c r="BI25" s="22">
        <f>(10*Tabel42[[#This Row],[Kolom296232]]+5*Tabel42[[#This Row],[Kolom296233]]+3*Tabel42[[#This Row],[Kolom29624]]+2*Tabel42[[#This Row],[Kolom2963]])/20</f>
        <v>0.5</v>
      </c>
      <c r="BJ25" s="22">
        <f>(10*Tabel42[[#This Row],[Kolom29634]]+3*Tabel42[[#This Row],[Kolom29633]]+2*Tabel42[[#This Row],[Kolom29632]]+Tabel42[[#This Row],[Kolom2964]])/16</f>
        <v>0.625</v>
      </c>
      <c r="BK25" s="22">
        <f>(10*Tabel42[[#This Row],[Kolom29634]]+5*Tabel42[[#This Row],[Kolom29635]]+3*Tabel42[[#This Row],[Kolom29633]]+2*Tabel42[[#This Row],[Kolom29632]])/20</f>
        <v>0.5</v>
      </c>
      <c r="BL25" s="22">
        <f>Tabel42[[#This Row],[Kolom29]]</f>
        <v>0.7142857142857143</v>
      </c>
      <c r="BM25" s="36">
        <f>_xlfn.RANK.EQ(Tabel42[[#This Row],[Kolom29]],$AI$7:$AI$37)</f>
        <v>1</v>
      </c>
      <c r="BN25" s="36">
        <f>_xlfn.RANK.EQ(Tabel42[[#This Row],[Kolom293]],BH$7:BH$37)</f>
        <v>2</v>
      </c>
      <c r="BO25" s="36">
        <f>_xlfn.RANK.EQ(Tabel42[[#This Row],[Kolom2933]],BI$7:BI$37)</f>
        <v>2</v>
      </c>
      <c r="BP25" s="36">
        <f>_xlfn.RANK.EQ(Tabel42[[#This Row],[Kolom29332]],BJ$7:BJ$37)</f>
        <v>3</v>
      </c>
      <c r="BQ25" s="36">
        <f>_xlfn.RANK.EQ(Tabel42[[#This Row],[Kolom2934]],BK$7:BK$37)</f>
        <v>3</v>
      </c>
      <c r="BR25" s="133">
        <f>AVERAGE(Tabel42[[#This Row],[Kolom2910]:[Kolom2911]])</f>
        <v>2.2000000000000002</v>
      </c>
      <c r="BS25" s="135">
        <f>_xlfn.RANK.EQ(Tabel42[[#This Row],[Kolom30]],BR$7:BR$37)</f>
        <v>30</v>
      </c>
    </row>
    <row r="26" spans="1:71">
      <c r="B26" s="21" t="str">
        <f>'Symptomen (alle)'!A21</f>
        <v>Columnaris/Flavobacteria (also: false neon disease)</v>
      </c>
      <c r="C26" s="21">
        <f>'Symptomen (alle)'!B21</f>
        <v>4</v>
      </c>
      <c r="D26" s="21">
        <f>IF(D$4="x",'Symptomen (alle)'!C21,0)</f>
        <v>0</v>
      </c>
      <c r="E26" s="21">
        <f>IF(E$4="x",'Symptomen (alle)'!D21,0)</f>
        <v>0</v>
      </c>
      <c r="F26" s="21">
        <f>IF(F$4="x",'Symptomen (alle)'!E21,0)</f>
        <v>0</v>
      </c>
      <c r="G26" s="21">
        <f>IF(G$4="x",'Symptomen (alle)'!F21,0)</f>
        <v>0</v>
      </c>
      <c r="H26" s="21">
        <f>IF(H$4="x",'Symptomen (alle)'!G21,0)</f>
        <v>0</v>
      </c>
      <c r="I26" s="21">
        <f>IF(I$4="x",'Symptomen (alle)'!H21,0)</f>
        <v>0</v>
      </c>
      <c r="J26" s="21">
        <f>IF(J$4="x",'Symptomen (alle)'!I21,0)</f>
        <v>10</v>
      </c>
      <c r="K26" s="21">
        <f>IF(K$4="x",'Symptomen (alle)'!J21,0)</f>
        <v>0</v>
      </c>
      <c r="L26" s="21">
        <f>IF(L$4="x",'Symptomen (alle)'!K21,0)</f>
        <v>0</v>
      </c>
      <c r="M26" s="21">
        <f>IF(M$4="x",'Symptomen (alle)'!L21,0)</f>
        <v>0</v>
      </c>
      <c r="N26" s="21">
        <f>IF(N$4="x",'Symptomen (alle)'!M21,0)</f>
        <v>0</v>
      </c>
      <c r="O26" s="21">
        <f>IF(O$4="x",'Symptomen (alle)'!N21,0)</f>
        <v>0</v>
      </c>
      <c r="P26" s="21">
        <f>IF(P$4="x",'Symptomen (alle)'!O21,0)</f>
        <v>0</v>
      </c>
      <c r="Q26" s="21">
        <f>IF(Q$4="x",'Symptomen (alle)'!P21,0)</f>
        <v>0</v>
      </c>
      <c r="R26" s="21">
        <f>IF(R$4="x",'Symptomen (alle)'!Q21,0)</f>
        <v>0</v>
      </c>
      <c r="S26" s="21">
        <f>IF(S$4="x",'Symptomen (alle)'!R21,0)</f>
        <v>0</v>
      </c>
      <c r="T26" s="21">
        <f>IF(T$4="x",'Symptomen (alle)'!S21,0)</f>
        <v>1</v>
      </c>
      <c r="U26" s="21">
        <f>IF(U$4="x",'Symptomen (alle)'!T21,0)</f>
        <v>0</v>
      </c>
      <c r="V26" s="21">
        <f>IF(V$4="x",'Symptomen (alle)'!U21,0)</f>
        <v>0</v>
      </c>
      <c r="W26" s="21">
        <f>IF(W$4="x",'Symptomen (alle)'!V21,0)</f>
        <v>1</v>
      </c>
      <c r="X26" s="21">
        <f>IF(X$4="x",'Symptomen (alle)'!W21,0)</f>
        <v>0</v>
      </c>
      <c r="Y26" s="21">
        <f>IF(Y$4="x",'Symptomen (alle)'!X21,0)</f>
        <v>0</v>
      </c>
      <c r="Z26" s="21">
        <f>IF(Z$4="x",'Symptomen (alle)'!Y21,0)</f>
        <v>0</v>
      </c>
      <c r="AA26" s="21">
        <f>IF(AA$4="x",'Symptomen (alle)'!Z21,0)</f>
        <v>0</v>
      </c>
      <c r="AB26" s="21">
        <f>IF(AB$4="x",'Symptomen (alle)'!AA21,0)</f>
        <v>0</v>
      </c>
      <c r="AC26" s="21">
        <f>IF(AC$4="x",'Symptomen (alle)'!AB21,0)</f>
        <v>0</v>
      </c>
      <c r="AD26" s="21">
        <f>IF(AD$4="x",'Symptomen (alle)'!AC21,0)</f>
        <v>0</v>
      </c>
      <c r="AE26" s="21">
        <f t="shared" si="1"/>
        <v>12</v>
      </c>
      <c r="AF26" s="21">
        <f>HLOOKUP($B$4,ZiekteFam!$B$1:$T$32,AG26,FALSE)</f>
        <v>3</v>
      </c>
      <c r="AG26" s="32">
        <f t="shared" si="2"/>
        <v>21</v>
      </c>
      <c r="AH26" s="32">
        <f>SUM('Symptomen (alle)'!D21:AC21)</f>
        <v>66</v>
      </c>
      <c r="AI26" s="22">
        <f>Tabel42[[#This Row],[Kolom25]]/Tabel42[[#This Row],[Kolom28]]</f>
        <v>0.18181818181818182</v>
      </c>
      <c r="AJ26" s="36">
        <f t="shared" si="0"/>
        <v>2</v>
      </c>
      <c r="AK26" s="36">
        <f t="shared" si="3"/>
        <v>1</v>
      </c>
      <c r="AL26" s="36">
        <f t="shared" si="4"/>
        <v>0</v>
      </c>
      <c r="AM26" s="36">
        <f t="shared" si="5"/>
        <v>0</v>
      </c>
      <c r="AN26" s="36">
        <f t="shared" si="6"/>
        <v>0</v>
      </c>
      <c r="AO26" s="36">
        <f>COUNTIF(Tabel42[[#This Row],[Kolom3]:[Kolom222]],10)</f>
        <v>1</v>
      </c>
      <c r="AP26" s="36">
        <f>COUNTIF(Tabel42[[#This Row],[Kolom3]:[Kolom222]],5)</f>
        <v>0</v>
      </c>
      <c r="AQ26" s="36">
        <f>COUNTIF(Tabel42[[#This Row],[Kolom3]:[Kolom222]],3)</f>
        <v>0</v>
      </c>
      <c r="AR26" s="36">
        <f>COUNTIF(Tabel42[[#This Row],[Kolom3]:[Kolom222]],2)</f>
        <v>0</v>
      </c>
      <c r="AS26" s="36">
        <f>COUNTIF(Tabel42[[#This Row],[Kolom3]:[Kolom222]],1)</f>
        <v>2</v>
      </c>
      <c r="AT26" s="36">
        <f>COUNTIF('Symptomen (alle)'!$D21:$AC21,10)</f>
        <v>4</v>
      </c>
      <c r="AU26" s="36">
        <f>COUNTIF('Symptomen (alle)'!$D21:$AC21,5)</f>
        <v>0</v>
      </c>
      <c r="AV26" s="36">
        <f>COUNTIF('Symptomen (alle)'!$D21:$AC21,3)</f>
        <v>3</v>
      </c>
      <c r="AW26" s="36">
        <f>COUNTIF('Symptomen (alle)'!$D21:$AC21,2)</f>
        <v>5</v>
      </c>
      <c r="AX26" s="36">
        <f>COUNTIF('Symptomen (alle)'!$D21:$AC21,1)</f>
        <v>7</v>
      </c>
      <c r="AY26" s="22">
        <f>IF(Tabel42[[#This Row],[Kolom300]]=0,0,Tabel42[[#This Row],[Kolom2972]]/Tabel42[[#This Row],[Kolom300]])</f>
        <v>1</v>
      </c>
      <c r="AZ26" s="22">
        <f>IF(Tabel42[[#This Row],[Kolom301]]=0,0,Tabel42[[#This Row],[Kolom2973]]/Tabel42[[#This Row],[Kolom301]])</f>
        <v>0</v>
      </c>
      <c r="BA26" s="22">
        <f>IF(Tabel42[[#This Row],[Kolom294]]=0,0,Tabel42[[#This Row],[Kolom298]]/Tabel42[[#This Row],[Kolom294]])</f>
        <v>0</v>
      </c>
      <c r="BB26" s="22">
        <f>IF(Tabel42[[#This Row],[Kolom295]]=0,0,Tabel42[[#This Row],[Kolom299]]/Tabel42[[#This Row],[Kolom295]])</f>
        <v>0</v>
      </c>
      <c r="BC26" s="22">
        <f>IF(Tabel42[[#This Row],[Kolom2965]]=0,0,Tabel42[[#This Row],[Kolom300]]/Tabel42[[#This Row],[Kolom2965]])</f>
        <v>0.25</v>
      </c>
      <c r="BD26" s="22">
        <f>IF(Tabel42[[#This Row],[Kolom2966]]=0,0,Tabel42[[#This Row],[Kolom301]]/Tabel42[[#This Row],[Kolom2966]])</f>
        <v>0</v>
      </c>
      <c r="BE26" s="22">
        <f>IF(Tabel42[[#This Row],[Kolom2962]]=0,0,Tabel42[[#This Row],[Kolom294]]/Tabel42[[#This Row],[Kolom2962]])</f>
        <v>0</v>
      </c>
      <c r="BF26" s="22">
        <f>IF(Tabel42[[#This Row],[Kolom29622]]=0,0,Tabel42[[#This Row],[Kolom295]]/Tabel42[[#This Row],[Kolom29622]])</f>
        <v>0</v>
      </c>
      <c r="BG26" s="22">
        <f>IF(Tabel42[[#This Row],[Kolom29623]]=0,0,Tabel42[[#This Row],[Kolom296]]/Tabel42[[#This Row],[Kolom29623]])</f>
        <v>0.2857142857142857</v>
      </c>
      <c r="BH26" s="22">
        <f>(10*Tabel42[[#This Row],[Kolom296232]]+5*Tabel42[[#This Row],[Kolom296233]]+3*Tabel42[[#This Row],[Kolom29624]]+2*Tabel42[[#This Row],[Kolom2963]]+Tabel42[[#This Row],[Kolom29]])/21</f>
        <v>0.48484848484848486</v>
      </c>
      <c r="BI26" s="22">
        <f>(10*Tabel42[[#This Row],[Kolom296232]]+5*Tabel42[[#This Row],[Kolom296233]]+3*Tabel42[[#This Row],[Kolom29624]]+2*Tabel42[[#This Row],[Kolom2963]])/20</f>
        <v>0.5</v>
      </c>
      <c r="BJ26" s="22">
        <f>(10*Tabel42[[#This Row],[Kolom29634]]+3*Tabel42[[#This Row],[Kolom29633]]+2*Tabel42[[#This Row],[Kolom29632]]+Tabel42[[#This Row],[Kolom2964]])/16</f>
        <v>0.17410714285714285</v>
      </c>
      <c r="BK26" s="22">
        <f>(10*Tabel42[[#This Row],[Kolom29634]]+5*Tabel42[[#This Row],[Kolom29635]]+3*Tabel42[[#This Row],[Kolom29633]]+2*Tabel42[[#This Row],[Kolom29632]])/20</f>
        <v>0.125</v>
      </c>
      <c r="BL26" s="22">
        <f>Tabel42[[#This Row],[Kolom29]]</f>
        <v>0.18181818181818182</v>
      </c>
      <c r="BM26" s="36">
        <f>_xlfn.RANK.EQ(Tabel42[[#This Row],[Kolom29]],$AI$7:$AI$37)</f>
        <v>9</v>
      </c>
      <c r="BN26" s="36">
        <f>_xlfn.RANK.EQ(Tabel42[[#This Row],[Kolom293]],BH$7:BH$37)</f>
        <v>5</v>
      </c>
      <c r="BO26" s="36">
        <f>_xlfn.RANK.EQ(Tabel42[[#This Row],[Kolom2933]],BI$7:BI$37)</f>
        <v>2</v>
      </c>
      <c r="BP26" s="36">
        <f>_xlfn.RANK.EQ(Tabel42[[#This Row],[Kolom29332]],BJ$7:BJ$37)</f>
        <v>5</v>
      </c>
      <c r="BQ26" s="36">
        <f>_xlfn.RANK.EQ(Tabel42[[#This Row],[Kolom2934]],BK$7:BK$37)</f>
        <v>5</v>
      </c>
      <c r="BR26" s="133">
        <f>AVERAGE(Tabel42[[#This Row],[Kolom2910]:[Kolom2911]])</f>
        <v>5.2</v>
      </c>
      <c r="BS26" s="135">
        <f>_xlfn.RANK.EQ(Tabel42[[#This Row],[Kolom30]],BR$7:BR$37)</f>
        <v>27</v>
      </c>
    </row>
    <row r="27" spans="1:71">
      <c r="B27" s="21" t="str">
        <f>'Symptomen (alle)'!A22</f>
        <v xml:space="preserve">Dropsy/Septicaemia/Ascites </v>
      </c>
      <c r="C27">
        <f>'Symptomen (alle)'!B22</f>
        <v>0</v>
      </c>
      <c r="D27" s="21">
        <f>IF(D$4="x",'Symptomen (alle)'!C22,0)</f>
        <v>0</v>
      </c>
      <c r="E27" s="21">
        <f>IF(E$4="x",'Symptomen (alle)'!D22,0)</f>
        <v>0</v>
      </c>
      <c r="F27" s="21">
        <f>IF(F$4="x",'Symptomen (alle)'!E22,0)</f>
        <v>0</v>
      </c>
      <c r="G27" s="21">
        <f>IF(G$4="x",'Symptomen (alle)'!F22,0)</f>
        <v>0</v>
      </c>
      <c r="H27" s="21">
        <f>IF(H$4="x",'Symptomen (alle)'!G22,0)</f>
        <v>0</v>
      </c>
      <c r="I27" s="21">
        <f>IF(I$4="x",'Symptomen (alle)'!H22,0)</f>
        <v>0</v>
      </c>
      <c r="J27" s="21">
        <f>IF(J$4="x",'Symptomen (alle)'!I22,0)</f>
        <v>1</v>
      </c>
      <c r="K27" s="21">
        <f>IF(K$4="x",'Symptomen (alle)'!J22,0)</f>
        <v>0</v>
      </c>
      <c r="L27" s="21">
        <f>IF(L$4="x",'Symptomen (alle)'!K22,0)</f>
        <v>0</v>
      </c>
      <c r="M27" s="21">
        <f>IF(M$4="x",'Symptomen (alle)'!L22,0)</f>
        <v>0</v>
      </c>
      <c r="N27" s="21">
        <f>IF(N$4="x",'Symptomen (alle)'!M22,0)</f>
        <v>0</v>
      </c>
      <c r="O27" s="21">
        <f>IF(O$4="x",'Symptomen (alle)'!N22,0)</f>
        <v>0</v>
      </c>
      <c r="P27" s="21">
        <f>IF(P$4="x",'Symptomen (alle)'!O22,0)</f>
        <v>0</v>
      </c>
      <c r="Q27" s="21">
        <f>IF(Q$4="x",'Symptomen (alle)'!P22,0)</f>
        <v>0</v>
      </c>
      <c r="R27" s="21">
        <f>IF(R$4="x",'Symptomen (alle)'!Q22,0)</f>
        <v>0</v>
      </c>
      <c r="S27" s="21">
        <f>IF(S$4="x",'Symptomen (alle)'!R22,0)</f>
        <v>0</v>
      </c>
      <c r="T27" s="21">
        <f>IF(T$4="x",'Symptomen (alle)'!S22,0)</f>
        <v>0</v>
      </c>
      <c r="U27" s="21">
        <f>IF(U$4="x",'Symptomen (alle)'!T22,0)</f>
        <v>0</v>
      </c>
      <c r="V27" s="21">
        <f>IF(V$4="x",'Symptomen (alle)'!U22,0)</f>
        <v>0</v>
      </c>
      <c r="W27" s="21">
        <f>IF(W$4="x",'Symptomen (alle)'!V22,0)</f>
        <v>0</v>
      </c>
      <c r="X27" s="21">
        <f>IF(X$4="x",'Symptomen (alle)'!W22,0)</f>
        <v>0</v>
      </c>
      <c r="Y27" s="21">
        <f>IF(Y$4="x",'Symptomen (alle)'!X22,0)</f>
        <v>0</v>
      </c>
      <c r="Z27" s="21">
        <f>IF(Z$4="x",'Symptomen (alle)'!Y22,0)</f>
        <v>0</v>
      </c>
      <c r="AA27" s="21">
        <f>IF(AA$4="x",'Symptomen (alle)'!Z22,0)</f>
        <v>0</v>
      </c>
      <c r="AB27" s="21">
        <f>IF(AB$4="x",'Symptomen (alle)'!AA22,0)</f>
        <v>0</v>
      </c>
      <c r="AC27" s="21">
        <f>IF(AC$4="x",'Symptomen (alle)'!AB22,0)</f>
        <v>0</v>
      </c>
      <c r="AD27" s="21">
        <f>IF(AD$4="x",'Symptomen (alle)'!AC22,0)</f>
        <v>0</v>
      </c>
      <c r="AE27" s="21">
        <f t="shared" si="1"/>
        <v>1</v>
      </c>
      <c r="AF27" s="21">
        <f>HLOOKUP($B$4,ZiekteFam!$B$1:$T$32,AG27,FALSE)</f>
        <v>3</v>
      </c>
      <c r="AG27" s="32">
        <f t="shared" si="2"/>
        <v>22</v>
      </c>
      <c r="AH27" s="32">
        <f>SUM('Symptomen (alle)'!D22:AC22)</f>
        <v>44</v>
      </c>
      <c r="AI27" s="22">
        <f>Tabel42[[#This Row],[Kolom25]]/Tabel42[[#This Row],[Kolom28]]</f>
        <v>2.2727272727272728E-2</v>
      </c>
      <c r="AJ27" s="36">
        <f t="shared" si="0"/>
        <v>2</v>
      </c>
      <c r="AK27" s="36">
        <f t="shared" si="3"/>
        <v>0</v>
      </c>
      <c r="AL27" s="36">
        <f t="shared" si="4"/>
        <v>0</v>
      </c>
      <c r="AM27" s="36">
        <f t="shared" si="5"/>
        <v>0</v>
      </c>
      <c r="AN27" s="36">
        <f t="shared" si="6"/>
        <v>0</v>
      </c>
      <c r="AO27" s="36">
        <f>COUNTIF(Tabel42[[#This Row],[Kolom3]:[Kolom222]],10)</f>
        <v>0</v>
      </c>
      <c r="AP27" s="36">
        <f>COUNTIF(Tabel42[[#This Row],[Kolom3]:[Kolom222]],5)</f>
        <v>0</v>
      </c>
      <c r="AQ27" s="36">
        <f>COUNTIF(Tabel42[[#This Row],[Kolom3]:[Kolom222]],3)</f>
        <v>0</v>
      </c>
      <c r="AR27" s="36">
        <f>COUNTIF(Tabel42[[#This Row],[Kolom3]:[Kolom222]],2)</f>
        <v>0</v>
      </c>
      <c r="AS27" s="36">
        <f>COUNTIF(Tabel42[[#This Row],[Kolom3]:[Kolom222]],1)</f>
        <v>1</v>
      </c>
      <c r="AT27" s="36">
        <f>COUNTIF('Symptomen (alle)'!$D22:$AC22,10)</f>
        <v>2</v>
      </c>
      <c r="AU27" s="36">
        <f>COUNTIF('Symptomen (alle)'!$D22:$AC22,5)</f>
        <v>1</v>
      </c>
      <c r="AV27" s="36">
        <f>COUNTIF('Symptomen (alle)'!$D22:$AC22,3)</f>
        <v>4</v>
      </c>
      <c r="AW27" s="36">
        <f>COUNTIF('Symptomen (alle)'!$D22:$AC22,2)</f>
        <v>2</v>
      </c>
      <c r="AX27" s="36">
        <f>COUNTIF('Symptomen (alle)'!$D22:$AC22,1)</f>
        <v>3</v>
      </c>
      <c r="AY27" s="22">
        <f>IF(Tabel42[[#This Row],[Kolom300]]=0,0,Tabel42[[#This Row],[Kolom2972]]/Tabel42[[#This Row],[Kolom300]])</f>
        <v>0</v>
      </c>
      <c r="AZ27" s="22">
        <f>IF(Tabel42[[#This Row],[Kolom301]]=0,0,Tabel42[[#This Row],[Kolom2973]]/Tabel42[[#This Row],[Kolom301]])</f>
        <v>0</v>
      </c>
      <c r="BA27" s="22">
        <f>IF(Tabel42[[#This Row],[Kolom294]]=0,0,Tabel42[[#This Row],[Kolom298]]/Tabel42[[#This Row],[Kolom294]])</f>
        <v>0</v>
      </c>
      <c r="BB27" s="22">
        <f>IF(Tabel42[[#This Row],[Kolom295]]=0,0,Tabel42[[#This Row],[Kolom299]]/Tabel42[[#This Row],[Kolom295]])</f>
        <v>0</v>
      </c>
      <c r="BC27" s="22">
        <f>IF(Tabel42[[#This Row],[Kolom2965]]=0,0,Tabel42[[#This Row],[Kolom300]]/Tabel42[[#This Row],[Kolom2965]])</f>
        <v>0</v>
      </c>
      <c r="BD27" s="22">
        <f>IF(Tabel42[[#This Row],[Kolom2966]]=0,0,Tabel42[[#This Row],[Kolom301]]/Tabel42[[#This Row],[Kolom2966]])</f>
        <v>0</v>
      </c>
      <c r="BE27" s="22">
        <f>IF(Tabel42[[#This Row],[Kolom2962]]=0,0,Tabel42[[#This Row],[Kolom294]]/Tabel42[[#This Row],[Kolom2962]])</f>
        <v>0</v>
      </c>
      <c r="BF27" s="22">
        <f>IF(Tabel42[[#This Row],[Kolom29622]]=0,0,Tabel42[[#This Row],[Kolom295]]/Tabel42[[#This Row],[Kolom29622]])</f>
        <v>0</v>
      </c>
      <c r="BG27" s="22">
        <f>IF(Tabel42[[#This Row],[Kolom29623]]=0,0,Tabel42[[#This Row],[Kolom296]]/Tabel42[[#This Row],[Kolom29623]])</f>
        <v>0.33333333333333331</v>
      </c>
      <c r="BH27" s="22">
        <f>(10*Tabel42[[#This Row],[Kolom296232]]+5*Tabel42[[#This Row],[Kolom296233]]+3*Tabel42[[#This Row],[Kolom29624]]+2*Tabel42[[#This Row],[Kolom2963]]+Tabel42[[#This Row],[Kolom29]])/21</f>
        <v>1.0822510822510823E-3</v>
      </c>
      <c r="BI27" s="22">
        <f>(10*Tabel42[[#This Row],[Kolom296232]]+5*Tabel42[[#This Row],[Kolom296233]]+3*Tabel42[[#This Row],[Kolom29624]]+2*Tabel42[[#This Row],[Kolom2963]])/20</f>
        <v>0</v>
      </c>
      <c r="BJ27" s="22">
        <f>(10*Tabel42[[#This Row],[Kolom29634]]+3*Tabel42[[#This Row],[Kolom29633]]+2*Tabel42[[#This Row],[Kolom29632]]+Tabel42[[#This Row],[Kolom2964]])/16</f>
        <v>2.0833333333333332E-2</v>
      </c>
      <c r="BK27" s="22">
        <f>(10*Tabel42[[#This Row],[Kolom29634]]+5*Tabel42[[#This Row],[Kolom29635]]+3*Tabel42[[#This Row],[Kolom29633]]+2*Tabel42[[#This Row],[Kolom29632]])/20</f>
        <v>0</v>
      </c>
      <c r="BL27" s="22">
        <f>Tabel42[[#This Row],[Kolom29]]</f>
        <v>2.2727272727272728E-2</v>
      </c>
      <c r="BM27" s="36">
        <f>_xlfn.RANK.EQ(Tabel42[[#This Row],[Kolom29]],$AI$7:$AI$37)</f>
        <v>25</v>
      </c>
      <c r="BN27" s="36">
        <f>_xlfn.RANK.EQ(Tabel42[[#This Row],[Kolom293]],BH$7:BH$37)</f>
        <v>25</v>
      </c>
      <c r="BO27" s="36">
        <f>_xlfn.RANK.EQ(Tabel42[[#This Row],[Kolom2933]],BI$7:BI$37)</f>
        <v>16</v>
      </c>
      <c r="BP27" s="36">
        <f>_xlfn.RANK.EQ(Tabel42[[#This Row],[Kolom29332]],BJ$7:BJ$37)</f>
        <v>21</v>
      </c>
      <c r="BQ27" s="36">
        <f>_xlfn.RANK.EQ(Tabel42[[#This Row],[Kolom2934]],BK$7:BK$37)</f>
        <v>21</v>
      </c>
      <c r="BR27" s="133">
        <f>AVERAGE(Tabel42[[#This Row],[Kolom2910]:[Kolom2911]])</f>
        <v>21.6</v>
      </c>
      <c r="BS27" s="135">
        <f>_xlfn.RANK.EQ(Tabel42[[#This Row],[Kolom30]],BR$7:BR$37)</f>
        <v>7</v>
      </c>
    </row>
    <row r="28" spans="1:71" s="61" customFormat="1">
      <c r="A28" s="86"/>
      <c r="B28" s="59" t="str">
        <f>'Symptomen (alle)'!A23</f>
        <v>Mycobacteria, Fish tuberculosis, TB, FishTB, FishMB</v>
      </c>
      <c r="C28" s="83">
        <f>'Symptomen (alle)'!B23</f>
        <v>0</v>
      </c>
      <c r="D28" s="21">
        <f>IF(D$4="x",'Symptomen (alle)'!C23,0)</f>
        <v>0</v>
      </c>
      <c r="E28" s="21">
        <f>IF(E$4="x",'Symptomen (alle)'!D23,0)</f>
        <v>0</v>
      </c>
      <c r="F28" s="21">
        <f>IF(F$4="x",'Symptomen (alle)'!E23,0)</f>
        <v>0</v>
      </c>
      <c r="G28" s="21">
        <f>IF(G$4="x",'Symptomen (alle)'!F23,0)</f>
        <v>0</v>
      </c>
      <c r="H28" s="21">
        <f>IF(H$4="x",'Symptomen (alle)'!G23,0)</f>
        <v>0</v>
      </c>
      <c r="I28" s="21">
        <f>IF(I$4="x",'Symptomen (alle)'!H23,0)</f>
        <v>0</v>
      </c>
      <c r="J28" s="21">
        <f>IF(J$4="x",'Symptomen (alle)'!I23,0)</f>
        <v>2</v>
      </c>
      <c r="K28" s="21">
        <f>IF(K$4="x",'Symptomen (alle)'!J23,0)</f>
        <v>0</v>
      </c>
      <c r="L28" s="21">
        <f>IF(L$4="x",'Symptomen (alle)'!K23,0)</f>
        <v>0</v>
      </c>
      <c r="M28" s="21">
        <f>IF(M$4="x",'Symptomen (alle)'!L23,0)</f>
        <v>0</v>
      </c>
      <c r="N28" s="21">
        <f>IF(N$4="x",'Symptomen (alle)'!M23,0)</f>
        <v>0</v>
      </c>
      <c r="O28" s="21">
        <f>IF(O$4="x",'Symptomen (alle)'!N23,0)</f>
        <v>0</v>
      </c>
      <c r="P28" s="21">
        <f>IF(P$4="x",'Symptomen (alle)'!O23,0)</f>
        <v>0</v>
      </c>
      <c r="Q28" s="21">
        <f>IF(Q$4="x",'Symptomen (alle)'!P23,0)</f>
        <v>0</v>
      </c>
      <c r="R28" s="21">
        <f>IF(R$4="x",'Symptomen (alle)'!Q23,0)</f>
        <v>0</v>
      </c>
      <c r="S28" s="21">
        <f>IF(S$4="x",'Symptomen (alle)'!R23,0)</f>
        <v>0</v>
      </c>
      <c r="T28" s="21">
        <f>IF(T$4="x",'Symptomen (alle)'!S23,0)</f>
        <v>0</v>
      </c>
      <c r="U28" s="21">
        <f>IF(U$4="x",'Symptomen (alle)'!T23,0)</f>
        <v>0</v>
      </c>
      <c r="V28" s="21">
        <f>IF(V$4="x",'Symptomen (alle)'!U23,0)</f>
        <v>0</v>
      </c>
      <c r="W28" s="21">
        <f>IF(W$4="x",'Symptomen (alle)'!V23,0)</f>
        <v>0</v>
      </c>
      <c r="X28" s="21">
        <f>IF(X$4="x",'Symptomen (alle)'!W23,0)</f>
        <v>0</v>
      </c>
      <c r="Y28" s="21">
        <f>IF(Y$4="x",'Symptomen (alle)'!X23,0)</f>
        <v>0</v>
      </c>
      <c r="Z28" s="21">
        <f>IF(Z$4="x",'Symptomen (alle)'!Y23,0)</f>
        <v>0</v>
      </c>
      <c r="AA28" s="21">
        <f>IF(AA$4="x",'Symptomen (alle)'!Z23,0)</f>
        <v>0</v>
      </c>
      <c r="AB28" s="21">
        <f>IF(AB$4="x",'Symptomen (alle)'!AA23,0)</f>
        <v>0</v>
      </c>
      <c r="AC28" s="21">
        <f>IF(AC$4="x",'Symptomen (alle)'!AB23,0)</f>
        <v>0</v>
      </c>
      <c r="AD28" s="21">
        <f>IF(AD$4="x",'Symptomen (alle)'!AC23,0)</f>
        <v>0</v>
      </c>
      <c r="AE28" s="21">
        <f t="shared" si="1"/>
        <v>2</v>
      </c>
      <c r="AF28" s="21">
        <f>HLOOKUP($B$4,ZiekteFam!$B$1:$T$32,AG28,FALSE)</f>
        <v>3</v>
      </c>
      <c r="AG28" s="84">
        <f t="shared" si="2"/>
        <v>23</v>
      </c>
      <c r="AH28" s="32">
        <f>SUM('Symptomen (alle)'!D23:AC23)</f>
        <v>50</v>
      </c>
      <c r="AI28" s="85">
        <f>Tabel42[[#This Row],[Kolom25]]/Tabel42[[#This Row],[Kolom28]]</f>
        <v>0.04</v>
      </c>
      <c r="AJ28" s="36">
        <f t="shared" si="0"/>
        <v>2</v>
      </c>
      <c r="AK28" s="36">
        <f>COUNTIF($F28:$J28,10)+COUNTIF($P28:$T28,10)</f>
        <v>0</v>
      </c>
      <c r="AL28" s="36">
        <f t="shared" si="4"/>
        <v>0</v>
      </c>
      <c r="AM28" s="36">
        <f t="shared" si="5"/>
        <v>0</v>
      </c>
      <c r="AN28" s="36">
        <f t="shared" si="6"/>
        <v>1</v>
      </c>
      <c r="AO28" s="36">
        <f>COUNTIF(Tabel42[[#This Row],[Kolom3]:[Kolom222]],10)</f>
        <v>0</v>
      </c>
      <c r="AP28" s="36">
        <f>COUNTIF(Tabel42[[#This Row],[Kolom3]:[Kolom222]],5)</f>
        <v>0</v>
      </c>
      <c r="AQ28" s="83">
        <f>COUNTIF(Tabel42[[#This Row],[Kolom3]:[Kolom222]],3)</f>
        <v>0</v>
      </c>
      <c r="AR28" s="83">
        <f>COUNTIF(Tabel42[[#This Row],[Kolom3]:[Kolom222]],2)</f>
        <v>1</v>
      </c>
      <c r="AS28" s="83">
        <f>COUNTIF(Tabel42[[#This Row],[Kolom3]:[Kolom222]],1)</f>
        <v>0</v>
      </c>
      <c r="AT28" s="36">
        <f>COUNTIF('Symptomen (alle)'!$D23:$AC23,10)</f>
        <v>3</v>
      </c>
      <c r="AU28" s="36">
        <f>COUNTIF('Symptomen (alle)'!$D23:$AC23,5)</f>
        <v>0</v>
      </c>
      <c r="AV28" s="36">
        <f>COUNTIF('Symptomen (alle)'!$D23:$AC23,3)</f>
        <v>4</v>
      </c>
      <c r="AW28" s="36">
        <f>COUNTIF('Symptomen (alle)'!$D23:$AC23,2)</f>
        <v>3</v>
      </c>
      <c r="AX28" s="36">
        <f>COUNTIF('Symptomen (alle)'!$D23:$AC23,1)</f>
        <v>2</v>
      </c>
      <c r="AY28" s="22">
        <f>IF(Tabel42[[#This Row],[Kolom300]]=0,0,Tabel42[[#This Row],[Kolom2972]]/Tabel42[[#This Row],[Kolom300]])</f>
        <v>0</v>
      </c>
      <c r="AZ28" s="22">
        <f>IF(Tabel42[[#This Row],[Kolom301]]=0,0,Tabel42[[#This Row],[Kolom2973]]/Tabel42[[#This Row],[Kolom301]])</f>
        <v>0</v>
      </c>
      <c r="BA28" s="85">
        <f>IF(Tabel42[[#This Row],[Kolom294]]=0,0,Tabel42[[#This Row],[Kolom298]]/Tabel42[[#This Row],[Kolom294]])</f>
        <v>0</v>
      </c>
      <c r="BB28" s="85">
        <f>IF(Tabel42[[#This Row],[Kolom295]]=0,0,Tabel42[[#This Row],[Kolom299]]/Tabel42[[#This Row],[Kolom295]])</f>
        <v>1</v>
      </c>
      <c r="BC28" s="85">
        <f>IF(Tabel42[[#This Row],[Kolom2965]]=0,0,Tabel42[[#This Row],[Kolom300]]/Tabel42[[#This Row],[Kolom2965]])</f>
        <v>0</v>
      </c>
      <c r="BD28" s="85">
        <f>IF(Tabel42[[#This Row],[Kolom2966]]=0,0,Tabel42[[#This Row],[Kolom301]]/Tabel42[[#This Row],[Kolom2966]])</f>
        <v>0</v>
      </c>
      <c r="BE28" s="85">
        <f>IF(Tabel42[[#This Row],[Kolom2962]]=0,0,Tabel42[[#This Row],[Kolom294]]/Tabel42[[#This Row],[Kolom2962]])</f>
        <v>0</v>
      </c>
      <c r="BF28" s="85">
        <f>IF(Tabel42[[#This Row],[Kolom29622]]=0,0,Tabel42[[#This Row],[Kolom295]]/Tabel42[[#This Row],[Kolom29622]])</f>
        <v>0.33333333333333331</v>
      </c>
      <c r="BG28" s="85">
        <f>IF(Tabel42[[#This Row],[Kolom29623]]=0,0,Tabel42[[#This Row],[Kolom296]]/Tabel42[[#This Row],[Kolom29623]])</f>
        <v>0</v>
      </c>
      <c r="BH28" s="22">
        <f>(10*Tabel42[[#This Row],[Kolom296232]]+5*Tabel42[[#This Row],[Kolom296233]]+3*Tabel42[[#This Row],[Kolom29624]]+2*Tabel42[[#This Row],[Kolom2963]]+Tabel42[[#This Row],[Kolom29]])/21</f>
        <v>9.7142857142857142E-2</v>
      </c>
      <c r="BI28" s="22">
        <f>(10*Tabel42[[#This Row],[Kolom296232]]+5*Tabel42[[#This Row],[Kolom296233]]+3*Tabel42[[#This Row],[Kolom29624]]+2*Tabel42[[#This Row],[Kolom2963]])/20</f>
        <v>0.1</v>
      </c>
      <c r="BJ28" s="85">
        <f>(10*Tabel42[[#This Row],[Kolom29634]]+3*Tabel42[[#This Row],[Kolom29633]]+2*Tabel42[[#This Row],[Kolom29632]]+Tabel42[[#This Row],[Kolom2964]])/16</f>
        <v>4.1666666666666664E-2</v>
      </c>
      <c r="BK28" s="22">
        <f>(10*Tabel42[[#This Row],[Kolom29634]]+5*Tabel42[[#This Row],[Kolom29635]]+3*Tabel42[[#This Row],[Kolom29633]]+2*Tabel42[[#This Row],[Kolom29632]])/20</f>
        <v>3.3333333333333333E-2</v>
      </c>
      <c r="BL28" s="85">
        <f>Tabel42[[#This Row],[Kolom29]]</f>
        <v>0.04</v>
      </c>
      <c r="BM28" s="136">
        <f>_xlfn.RANK.EQ(Tabel42[[#This Row],[Kolom29]],$AI$7:$AI$37)</f>
        <v>23</v>
      </c>
      <c r="BN28" s="136">
        <f>_xlfn.RANK.EQ(Tabel42[[#This Row],[Kolom293]],BH$7:BH$37)</f>
        <v>12</v>
      </c>
      <c r="BO28" s="136">
        <f>_xlfn.RANK.EQ(Tabel42[[#This Row],[Kolom2933]],BI$7:BI$37)</f>
        <v>8</v>
      </c>
      <c r="BP28" s="136">
        <f>_xlfn.RANK.EQ(Tabel42[[#This Row],[Kolom29332]],BJ$7:BJ$37)</f>
        <v>16</v>
      </c>
      <c r="BQ28" s="136">
        <f>_xlfn.RANK.EQ(Tabel42[[#This Row],[Kolom2934]],BK$7:BK$37)</f>
        <v>16</v>
      </c>
      <c r="BR28" s="134">
        <f>AVERAGE(Tabel42[[#This Row],[Kolom2910]:[Kolom2911]])</f>
        <v>15</v>
      </c>
      <c r="BS28" s="136">
        <f>_xlfn.RANK.EQ(Tabel42[[#This Row],[Kolom30]],BR$7:BR$37)</f>
        <v>15</v>
      </c>
    </row>
    <row r="29" spans="1:71" s="61" customFormat="1">
      <c r="A29" s="86"/>
      <c r="B29" s="59" t="str">
        <f>'Symptomen (alle)'!A24</f>
        <v>Bacterial infection, Other</v>
      </c>
      <c r="C29" s="83">
        <f>'Symptomen (alle)'!B24</f>
        <v>0</v>
      </c>
      <c r="D29" s="21">
        <f>IF(D$4="x",'Symptomen (alle)'!C24,0)</f>
        <v>0</v>
      </c>
      <c r="E29" s="21">
        <f>IF(E$4="x",'Symptomen (alle)'!D24,0)</f>
        <v>0</v>
      </c>
      <c r="F29" s="21">
        <f>IF(F$4="x",'Symptomen (alle)'!E24,0)</f>
        <v>0</v>
      </c>
      <c r="G29" s="21">
        <f>IF(G$4="x",'Symptomen (alle)'!F24,0)</f>
        <v>0</v>
      </c>
      <c r="H29" s="21">
        <f>IF(H$4="x",'Symptomen (alle)'!G24,0)</f>
        <v>0</v>
      </c>
      <c r="I29" s="21">
        <f>IF(I$4="x",'Symptomen (alle)'!H24,0)</f>
        <v>0</v>
      </c>
      <c r="J29" s="21">
        <f>IF(J$4="x",'Symptomen (alle)'!I24,0)</f>
        <v>2</v>
      </c>
      <c r="K29" s="21">
        <f>IF(K$4="x",'Symptomen (alle)'!J24,0)</f>
        <v>0</v>
      </c>
      <c r="L29" s="21">
        <f>IF(L$4="x",'Symptomen (alle)'!K24,0)</f>
        <v>0</v>
      </c>
      <c r="M29" s="21">
        <f>IF(M$4="x",'Symptomen (alle)'!L24,0)</f>
        <v>0</v>
      </c>
      <c r="N29" s="21">
        <f>IF(N$4="x",'Symptomen (alle)'!M24,0)</f>
        <v>0</v>
      </c>
      <c r="O29" s="21">
        <f>IF(O$4="x",'Symptomen (alle)'!N24,0)</f>
        <v>0</v>
      </c>
      <c r="P29" s="21">
        <f>IF(P$4="x",'Symptomen (alle)'!O24,0)</f>
        <v>0</v>
      </c>
      <c r="Q29" s="21">
        <f>IF(Q$4="x",'Symptomen (alle)'!P24,0)</f>
        <v>0</v>
      </c>
      <c r="R29" s="21">
        <f>IF(R$4="x",'Symptomen (alle)'!Q24,0)</f>
        <v>0</v>
      </c>
      <c r="S29" s="21">
        <f>IF(S$4="x",'Symptomen (alle)'!R24,0)</f>
        <v>0</v>
      </c>
      <c r="T29" s="21">
        <f>IF(T$4="x",'Symptomen (alle)'!S24,0)</f>
        <v>0</v>
      </c>
      <c r="U29" s="21">
        <f>IF(U$4="x",'Symptomen (alle)'!T24,0)</f>
        <v>0</v>
      </c>
      <c r="V29" s="21">
        <f>IF(V$4="x",'Symptomen (alle)'!U24,0)</f>
        <v>0</v>
      </c>
      <c r="W29" s="21">
        <f>IF(W$4="x",'Symptomen (alle)'!V24,0)</f>
        <v>0</v>
      </c>
      <c r="X29" s="21">
        <f>IF(X$4="x",'Symptomen (alle)'!W24,0)</f>
        <v>0</v>
      </c>
      <c r="Y29" s="21">
        <f>IF(Y$4="x",'Symptomen (alle)'!X24,0)</f>
        <v>0</v>
      </c>
      <c r="Z29" s="21">
        <f>IF(Z$4="x",'Symptomen (alle)'!Y24,0)</f>
        <v>0</v>
      </c>
      <c r="AA29" s="21">
        <f>IF(AA$4="x",'Symptomen (alle)'!Z24,0)</f>
        <v>0</v>
      </c>
      <c r="AB29" s="21">
        <f>IF(AB$4="x",'Symptomen (alle)'!AA24,0)</f>
        <v>0</v>
      </c>
      <c r="AC29" s="21">
        <f>IF(AC$4="x",'Symptomen (alle)'!AB24,0)</f>
        <v>0</v>
      </c>
      <c r="AD29" s="21">
        <f>IF(AD$4="x",'Symptomen (alle)'!AC24,0)</f>
        <v>0</v>
      </c>
      <c r="AE29" s="21">
        <f t="shared" si="1"/>
        <v>2</v>
      </c>
      <c r="AF29" s="21">
        <f>HLOOKUP($B$4,ZiekteFam!$B$1:$T$32,AG29,FALSE)</f>
        <v>3</v>
      </c>
      <c r="AG29" s="84">
        <f t="shared" si="2"/>
        <v>24</v>
      </c>
      <c r="AH29" s="32">
        <f>SUM('Symptomen (alle)'!D24:AC24)</f>
        <v>34</v>
      </c>
      <c r="AI29" s="85">
        <f>Tabel42[[#This Row],[Kolom25]]/Tabel42[[#This Row],[Kolom28]]</f>
        <v>5.8823529411764705E-2</v>
      </c>
      <c r="AJ29" s="36">
        <f t="shared" si="0"/>
        <v>2</v>
      </c>
      <c r="AK29" s="36">
        <f t="shared" si="3"/>
        <v>0</v>
      </c>
      <c r="AL29" s="36">
        <f t="shared" si="4"/>
        <v>0</v>
      </c>
      <c r="AM29" s="36">
        <f t="shared" si="5"/>
        <v>0</v>
      </c>
      <c r="AN29" s="36">
        <f t="shared" si="6"/>
        <v>1</v>
      </c>
      <c r="AO29" s="36">
        <f>COUNTIF(Tabel42[[#This Row],[Kolom3]:[Kolom222]],10)</f>
        <v>0</v>
      </c>
      <c r="AP29" s="36">
        <f>COUNTIF(Tabel42[[#This Row],[Kolom3]:[Kolom222]],5)</f>
        <v>0</v>
      </c>
      <c r="AQ29" s="83">
        <f>COUNTIF(Tabel42[[#This Row],[Kolom3]:[Kolom222]],3)</f>
        <v>0</v>
      </c>
      <c r="AR29" s="83">
        <f>COUNTIF(Tabel42[[#This Row],[Kolom3]:[Kolom222]],2)</f>
        <v>1</v>
      </c>
      <c r="AS29" s="83">
        <f>COUNTIF(Tabel42[[#This Row],[Kolom3]:[Kolom222]],1)</f>
        <v>0</v>
      </c>
      <c r="AT29" s="36">
        <f>COUNTIF('Symptomen (alle)'!$D24:$AC24,10)</f>
        <v>0</v>
      </c>
      <c r="AU29" s="36">
        <f>COUNTIF('Symptomen (alle)'!$D24:$AC24,5)</f>
        <v>1</v>
      </c>
      <c r="AV29" s="36">
        <f>COUNTIF('Symptomen (alle)'!$D24:$AC24,3)</f>
        <v>4</v>
      </c>
      <c r="AW29" s="36">
        <f>COUNTIF('Symptomen (alle)'!$D24:$AC24,2)</f>
        <v>7</v>
      </c>
      <c r="AX29" s="36">
        <f>COUNTIF('Symptomen (alle)'!$D24:$AC24,1)</f>
        <v>3</v>
      </c>
      <c r="AY29" s="22">
        <f>IF(Tabel42[[#This Row],[Kolom300]]=0,0,Tabel42[[#This Row],[Kolom2972]]/Tabel42[[#This Row],[Kolom300]])</f>
        <v>0</v>
      </c>
      <c r="AZ29" s="22">
        <f>IF(Tabel42[[#This Row],[Kolom301]]=0,0,Tabel42[[#This Row],[Kolom2973]]/Tabel42[[#This Row],[Kolom301]])</f>
        <v>0</v>
      </c>
      <c r="BA29" s="85">
        <f>IF(Tabel42[[#This Row],[Kolom294]]=0,0,Tabel42[[#This Row],[Kolom298]]/Tabel42[[#This Row],[Kolom294]])</f>
        <v>0</v>
      </c>
      <c r="BB29" s="85">
        <f>IF(Tabel42[[#This Row],[Kolom295]]=0,0,Tabel42[[#This Row],[Kolom299]]/Tabel42[[#This Row],[Kolom295]])</f>
        <v>1</v>
      </c>
      <c r="BC29" s="85">
        <f>IF(Tabel42[[#This Row],[Kolom2965]]=0,0,Tabel42[[#This Row],[Kolom300]]/Tabel42[[#This Row],[Kolom2965]])</f>
        <v>0</v>
      </c>
      <c r="BD29" s="85">
        <f>IF(Tabel42[[#This Row],[Kolom2966]]=0,0,Tabel42[[#This Row],[Kolom301]]/Tabel42[[#This Row],[Kolom2966]])</f>
        <v>0</v>
      </c>
      <c r="BE29" s="85">
        <f>IF(Tabel42[[#This Row],[Kolom2962]]=0,0,Tabel42[[#This Row],[Kolom294]]/Tabel42[[#This Row],[Kolom2962]])</f>
        <v>0</v>
      </c>
      <c r="BF29" s="85">
        <f>IF(Tabel42[[#This Row],[Kolom29622]]=0,0,Tabel42[[#This Row],[Kolom295]]/Tabel42[[#This Row],[Kolom29622]])</f>
        <v>0.14285714285714285</v>
      </c>
      <c r="BG29" s="85">
        <f>IF(Tabel42[[#This Row],[Kolom29623]]=0,0,Tabel42[[#This Row],[Kolom296]]/Tabel42[[#This Row],[Kolom29623]])</f>
        <v>0</v>
      </c>
      <c r="BH29" s="22">
        <f>(10*Tabel42[[#This Row],[Kolom296232]]+5*Tabel42[[#This Row],[Kolom296233]]+3*Tabel42[[#This Row],[Kolom29624]]+2*Tabel42[[#This Row],[Kolom2963]]+Tabel42[[#This Row],[Kolom29]])/21</f>
        <v>9.8039215686274495E-2</v>
      </c>
      <c r="BI29" s="22">
        <f>(10*Tabel42[[#This Row],[Kolom296232]]+5*Tabel42[[#This Row],[Kolom296233]]+3*Tabel42[[#This Row],[Kolom29624]]+2*Tabel42[[#This Row],[Kolom2963]])/20</f>
        <v>0.1</v>
      </c>
      <c r="BJ29" s="85">
        <f>(10*Tabel42[[#This Row],[Kolom29634]]+3*Tabel42[[#This Row],[Kolom29633]]+2*Tabel42[[#This Row],[Kolom29632]]+Tabel42[[#This Row],[Kolom2964]])/16</f>
        <v>1.7857142857142856E-2</v>
      </c>
      <c r="BK29" s="22">
        <f>(10*Tabel42[[#This Row],[Kolom29634]]+5*Tabel42[[#This Row],[Kolom29635]]+3*Tabel42[[#This Row],[Kolom29633]]+2*Tabel42[[#This Row],[Kolom29632]])/20</f>
        <v>1.4285714285714285E-2</v>
      </c>
      <c r="BL29" s="85">
        <f>Tabel42[[#This Row],[Kolom29]]</f>
        <v>5.8823529411764705E-2</v>
      </c>
      <c r="BM29" s="136">
        <f>_xlfn.RANK.EQ(Tabel42[[#This Row],[Kolom29]],$AI$7:$AI$37)</f>
        <v>20</v>
      </c>
      <c r="BN29" s="136">
        <f>_xlfn.RANK.EQ(Tabel42[[#This Row],[Kolom293]],BH$7:BH$37)</f>
        <v>10</v>
      </c>
      <c r="BO29" s="136">
        <f>_xlfn.RANK.EQ(Tabel42[[#This Row],[Kolom2933]],BI$7:BI$37)</f>
        <v>8</v>
      </c>
      <c r="BP29" s="136">
        <f>_xlfn.RANK.EQ(Tabel42[[#This Row],[Kolom29332]],BJ$7:BJ$37)</f>
        <v>23</v>
      </c>
      <c r="BQ29" s="136">
        <f>_xlfn.RANK.EQ(Tabel42[[#This Row],[Kolom2934]],BK$7:BK$37)</f>
        <v>19</v>
      </c>
      <c r="BR29" s="134">
        <f>AVERAGE(Tabel42[[#This Row],[Kolom2910]:[Kolom2911]])</f>
        <v>16</v>
      </c>
      <c r="BS29" s="136">
        <f>_xlfn.RANK.EQ(Tabel42[[#This Row],[Kolom30]],BR$7:BR$37)</f>
        <v>14</v>
      </c>
    </row>
    <row r="30" spans="1:71">
      <c r="B30" s="21" t="str">
        <f>'Symptomen (alle)'!A25</f>
        <v>Lymphocystis/Cauliflower disease</v>
      </c>
      <c r="C30" s="21">
        <f>'Symptomen (alle)'!B25</f>
        <v>1</v>
      </c>
      <c r="D30" s="21" t="str">
        <f>IF(D$4="x",'Symptomen (alle)'!C25,0)</f>
        <v>x</v>
      </c>
      <c r="E30" s="21">
        <f>IF(E$4="x",'Symptomen (alle)'!D25,0)</f>
        <v>0</v>
      </c>
      <c r="F30" s="21">
        <f>IF(F$4="x",'Symptomen (alle)'!E25,0)</f>
        <v>0</v>
      </c>
      <c r="G30" s="21">
        <f>IF(G$4="x",'Symptomen (alle)'!F25,0)</f>
        <v>0</v>
      </c>
      <c r="H30" s="21">
        <f>IF(H$4="x",'Symptomen (alle)'!G25,0)</f>
        <v>0</v>
      </c>
      <c r="I30" s="21">
        <f>IF(I$4="x",'Symptomen (alle)'!H25,0)</f>
        <v>0</v>
      </c>
      <c r="J30" s="21">
        <f>IF(J$4="x",'Symptomen (alle)'!I25,0)</f>
        <v>1</v>
      </c>
      <c r="K30" s="21">
        <f>IF(K$4="x",'Symptomen (alle)'!J25,0)</f>
        <v>0</v>
      </c>
      <c r="L30" s="21">
        <f>IF(L$4="x",'Symptomen (alle)'!K25,0)</f>
        <v>0</v>
      </c>
      <c r="M30" s="21">
        <f>IF(M$4="x",'Symptomen (alle)'!L25,0)</f>
        <v>0</v>
      </c>
      <c r="N30" s="21">
        <f>IF(N$4="x",'Symptomen (alle)'!M25,0)</f>
        <v>0</v>
      </c>
      <c r="O30" s="21">
        <f>IF(O$4="x",'Symptomen (alle)'!N25,0)</f>
        <v>0</v>
      </c>
      <c r="P30" s="21">
        <f>IF(P$4="x",'Symptomen (alle)'!O25,0)</f>
        <v>0</v>
      </c>
      <c r="Q30" s="21">
        <f>IF(Q$4="x",'Symptomen (alle)'!P25,0)</f>
        <v>0</v>
      </c>
      <c r="R30" s="21">
        <f>IF(R$4="x",'Symptomen (alle)'!Q25,0)</f>
        <v>0</v>
      </c>
      <c r="S30" s="21">
        <f>IF(S$4="x",'Symptomen (alle)'!R25,0)</f>
        <v>0</v>
      </c>
      <c r="T30" s="21">
        <f>IF(T$4="x",'Symptomen (alle)'!S25,0)</f>
        <v>1</v>
      </c>
      <c r="U30" s="21">
        <f>IF(U$4="x",'Symptomen (alle)'!T25,0)</f>
        <v>0</v>
      </c>
      <c r="V30" s="21">
        <f>IF(V$4="x",'Symptomen (alle)'!U25,0)</f>
        <v>0</v>
      </c>
      <c r="W30" s="21">
        <f>IF(W$4="x",'Symptomen (alle)'!V25,0)</f>
        <v>0</v>
      </c>
      <c r="X30" s="21">
        <f>IF(X$4="x",'Symptomen (alle)'!W25,0)</f>
        <v>0</v>
      </c>
      <c r="Y30" s="21">
        <f>IF(Y$4="x",'Symptomen (alle)'!X25,0)</f>
        <v>0</v>
      </c>
      <c r="Z30" s="21">
        <f>IF(Z$4="x",'Symptomen (alle)'!Y25,0)</f>
        <v>0</v>
      </c>
      <c r="AA30" s="21">
        <f>IF(AA$4="x",'Symptomen (alle)'!Z25,0)</f>
        <v>0</v>
      </c>
      <c r="AB30" s="21">
        <f>IF(AB$4="x",'Symptomen (alle)'!AA25,0)</f>
        <v>0</v>
      </c>
      <c r="AC30" s="21">
        <f>IF(AC$4="x",'Symptomen (alle)'!AB25,0)</f>
        <v>0</v>
      </c>
      <c r="AD30" s="21">
        <f>IF(AD$4="x",'Symptomen (alle)'!AC25,0)</f>
        <v>0</v>
      </c>
      <c r="AE30" s="21">
        <f t="shared" si="1"/>
        <v>2</v>
      </c>
      <c r="AF30" s="21">
        <f>HLOOKUP($B$4,ZiekteFam!$B$1:$T$32,AG30,FALSE)</f>
        <v>0</v>
      </c>
      <c r="AG30" s="32">
        <f t="shared" si="2"/>
        <v>25</v>
      </c>
      <c r="AH30" s="32">
        <f>SUM('Symptomen (alle)'!D25:AC25)</f>
        <v>40</v>
      </c>
      <c r="AI30" s="22">
        <f>Tabel42[[#This Row],[Kolom25]]/Tabel42[[#This Row],[Kolom28]]</f>
        <v>0.05</v>
      </c>
      <c r="AJ30" s="36">
        <f t="shared" si="0"/>
        <v>2</v>
      </c>
      <c r="AK30" s="36">
        <f t="shared" si="3"/>
        <v>0</v>
      </c>
      <c r="AL30" s="36">
        <f t="shared" si="4"/>
        <v>0</v>
      </c>
      <c r="AM30" s="36">
        <f t="shared" si="5"/>
        <v>0</v>
      </c>
      <c r="AN30" s="36">
        <f t="shared" si="6"/>
        <v>0</v>
      </c>
      <c r="AO30" s="36">
        <f>COUNTIF(Tabel42[[#This Row],[Kolom3]:[Kolom222]],10)</f>
        <v>0</v>
      </c>
      <c r="AP30" s="36">
        <f>COUNTIF(Tabel42[[#This Row],[Kolom3]:[Kolom222]],5)</f>
        <v>0</v>
      </c>
      <c r="AQ30" s="36">
        <f>COUNTIF(Tabel42[[#This Row],[Kolom3]:[Kolom222]],3)</f>
        <v>0</v>
      </c>
      <c r="AR30" s="36">
        <f>COUNTIF(Tabel42[[#This Row],[Kolom3]:[Kolom222]],2)</f>
        <v>0</v>
      </c>
      <c r="AS30" s="36">
        <f>COUNTIF(Tabel42[[#This Row],[Kolom3]:[Kolom222]],1)</f>
        <v>2</v>
      </c>
      <c r="AT30" s="36">
        <f>COUNTIF('Symptomen (alle)'!$D25:$AC25,10)</f>
        <v>2</v>
      </c>
      <c r="AU30" s="36">
        <f>COUNTIF('Symptomen (alle)'!$D25:$AC25,5)</f>
        <v>1</v>
      </c>
      <c r="AV30" s="36">
        <f>COUNTIF('Symptomen (alle)'!$D25:$AC25,3)</f>
        <v>2</v>
      </c>
      <c r="AW30" s="36">
        <f>COUNTIF('Symptomen (alle)'!$D25:$AC25,2)</f>
        <v>1</v>
      </c>
      <c r="AX30" s="36">
        <f>COUNTIF('Symptomen (alle)'!$D25:$AC25,1)</f>
        <v>7</v>
      </c>
      <c r="AY30" s="22">
        <f>IF(Tabel42[[#This Row],[Kolom300]]=0,0,Tabel42[[#This Row],[Kolom2972]]/Tabel42[[#This Row],[Kolom300]])</f>
        <v>0</v>
      </c>
      <c r="AZ30" s="22">
        <f>IF(Tabel42[[#This Row],[Kolom301]]=0,0,Tabel42[[#This Row],[Kolom2973]]/Tabel42[[#This Row],[Kolom301]])</f>
        <v>0</v>
      </c>
      <c r="BA30" s="22">
        <f>IF(Tabel42[[#This Row],[Kolom294]]=0,0,Tabel42[[#This Row],[Kolom298]]/Tabel42[[#This Row],[Kolom294]])</f>
        <v>0</v>
      </c>
      <c r="BB30" s="22">
        <f>IF(Tabel42[[#This Row],[Kolom295]]=0,0,Tabel42[[#This Row],[Kolom299]]/Tabel42[[#This Row],[Kolom295]])</f>
        <v>0</v>
      </c>
      <c r="BC30" s="22">
        <f>IF(Tabel42[[#This Row],[Kolom2965]]=0,0,Tabel42[[#This Row],[Kolom300]]/Tabel42[[#This Row],[Kolom2965]])</f>
        <v>0</v>
      </c>
      <c r="BD30" s="22">
        <f>IF(Tabel42[[#This Row],[Kolom2966]]=0,0,Tabel42[[#This Row],[Kolom301]]/Tabel42[[#This Row],[Kolom2966]])</f>
        <v>0</v>
      </c>
      <c r="BE30" s="22">
        <f>IF(Tabel42[[#This Row],[Kolom2962]]=0,0,Tabel42[[#This Row],[Kolom294]]/Tabel42[[#This Row],[Kolom2962]])</f>
        <v>0</v>
      </c>
      <c r="BF30" s="22">
        <f>IF(Tabel42[[#This Row],[Kolom29622]]=0,0,Tabel42[[#This Row],[Kolom295]]/Tabel42[[#This Row],[Kolom29622]])</f>
        <v>0</v>
      </c>
      <c r="BG30" s="22">
        <f>IF(Tabel42[[#This Row],[Kolom29623]]=0,0,Tabel42[[#This Row],[Kolom296]]/Tabel42[[#This Row],[Kolom29623]])</f>
        <v>0.2857142857142857</v>
      </c>
      <c r="BH30" s="22">
        <f>(10*Tabel42[[#This Row],[Kolom296232]]+5*Tabel42[[#This Row],[Kolom296233]]+3*Tabel42[[#This Row],[Kolom29624]]+2*Tabel42[[#This Row],[Kolom2963]]+Tabel42[[#This Row],[Kolom29]])/21</f>
        <v>2.3809523809523812E-3</v>
      </c>
      <c r="BI30" s="22">
        <f>(10*Tabel42[[#This Row],[Kolom296232]]+5*Tabel42[[#This Row],[Kolom296233]]+3*Tabel42[[#This Row],[Kolom29624]]+2*Tabel42[[#This Row],[Kolom2963]])/20</f>
        <v>0</v>
      </c>
      <c r="BJ30" s="22">
        <f>(10*Tabel42[[#This Row],[Kolom29634]]+3*Tabel42[[#This Row],[Kolom29633]]+2*Tabel42[[#This Row],[Kolom29632]]+Tabel42[[#This Row],[Kolom2964]])/16</f>
        <v>1.7857142857142856E-2</v>
      </c>
      <c r="BK30" s="22">
        <f>(10*Tabel42[[#This Row],[Kolom29634]]+5*Tabel42[[#This Row],[Kolom29635]]+3*Tabel42[[#This Row],[Kolom29633]]+2*Tabel42[[#This Row],[Kolom29632]])/20</f>
        <v>0</v>
      </c>
      <c r="BL30" s="22">
        <f>Tabel42[[#This Row],[Kolom29]]</f>
        <v>0.05</v>
      </c>
      <c r="BM30" s="36">
        <f>_xlfn.RANK.EQ(Tabel42[[#This Row],[Kolom29]],$AI$7:$AI$37)</f>
        <v>22</v>
      </c>
      <c r="BN30" s="36">
        <f>_xlfn.RANK.EQ(Tabel42[[#This Row],[Kolom293]],BH$7:BH$37)</f>
        <v>23</v>
      </c>
      <c r="BO30" s="36">
        <f>_xlfn.RANK.EQ(Tabel42[[#This Row],[Kolom2933]],BI$7:BI$37)</f>
        <v>16</v>
      </c>
      <c r="BP30" s="36">
        <f>_xlfn.RANK.EQ(Tabel42[[#This Row],[Kolom29332]],BJ$7:BJ$37)</f>
        <v>23</v>
      </c>
      <c r="BQ30" s="36">
        <f>_xlfn.RANK.EQ(Tabel42[[#This Row],[Kolom2934]],BK$7:BK$37)</f>
        <v>21</v>
      </c>
      <c r="BR30" s="133">
        <f>AVERAGE(Tabel42[[#This Row],[Kolom2910]:[Kolom2911]])</f>
        <v>21</v>
      </c>
      <c r="BS30" s="135">
        <f>_xlfn.RANK.EQ(Tabel42[[#This Row],[Kolom30]],BR$7:BR$37)</f>
        <v>9</v>
      </c>
    </row>
    <row r="31" spans="1:71">
      <c r="B31" s="21" t="str">
        <f>'Symptomen (alle)'!A26</f>
        <v>Discus /Angel fish pest</v>
      </c>
      <c r="C31" s="21">
        <f>'Symptomen (alle)'!B26</f>
        <v>0</v>
      </c>
      <c r="D31" s="21">
        <f>IF(D$4="x",'Symptomen (alle)'!C26,0)</f>
        <v>0</v>
      </c>
      <c r="E31" s="21">
        <f>IF(E$4="x",'Symptomen (alle)'!D26,0)</f>
        <v>0</v>
      </c>
      <c r="F31" s="21">
        <f>IF(F$4="x",'Symptomen (alle)'!E26,0)</f>
        <v>0</v>
      </c>
      <c r="G31" s="21">
        <f>IF(G$4="x",'Symptomen (alle)'!F26,0)</f>
        <v>0</v>
      </c>
      <c r="H31" s="21">
        <f>IF(H$4="x",'Symptomen (alle)'!G26,0)</f>
        <v>0</v>
      </c>
      <c r="I31" s="21">
        <f>IF(I$4="x",'Symptomen (alle)'!H26,0)</f>
        <v>0</v>
      </c>
      <c r="J31" s="21">
        <f>IF(J$4="x",'Symptomen (alle)'!I26,0)</f>
        <v>2</v>
      </c>
      <c r="K31" s="21">
        <f>IF(K$4="x",'Symptomen (alle)'!J26,0)</f>
        <v>0</v>
      </c>
      <c r="L31" s="21">
        <f>IF(L$4="x",'Symptomen (alle)'!K26,0)</f>
        <v>0</v>
      </c>
      <c r="M31" s="21">
        <f>IF(M$4="x",'Symptomen (alle)'!L26,0)</f>
        <v>0</v>
      </c>
      <c r="N31" s="21">
        <f>IF(N$4="x",'Symptomen (alle)'!M26,0)</f>
        <v>0</v>
      </c>
      <c r="O31" s="21">
        <f>IF(O$4="x",'Symptomen (alle)'!N26,0)</f>
        <v>0</v>
      </c>
      <c r="P31" s="21">
        <f>IF(P$4="x",'Symptomen (alle)'!O26,0)</f>
        <v>0</v>
      </c>
      <c r="Q31" s="21">
        <f>IF(Q$4="x",'Symptomen (alle)'!P26,0)</f>
        <v>0</v>
      </c>
      <c r="R31" s="21">
        <f>IF(R$4="x",'Symptomen (alle)'!Q26,0)</f>
        <v>0</v>
      </c>
      <c r="S31" s="21">
        <f>IF(S$4="x",'Symptomen (alle)'!R26,0)</f>
        <v>0</v>
      </c>
      <c r="T31" s="21">
        <f>IF(T$4="x",'Symptomen (alle)'!S26,0)</f>
        <v>0</v>
      </c>
      <c r="U31" s="21">
        <f>IF(U$4="x",'Symptomen (alle)'!T26,0)</f>
        <v>0</v>
      </c>
      <c r="V31" s="21">
        <f>IF(V$4="x",'Symptomen (alle)'!U26,0)</f>
        <v>0</v>
      </c>
      <c r="W31" s="21">
        <f>IF(W$4="x",'Symptomen (alle)'!V26,0)</f>
        <v>0</v>
      </c>
      <c r="X31" s="21">
        <f>IF(X$4="x",'Symptomen (alle)'!W26,0)</f>
        <v>0</v>
      </c>
      <c r="Y31" s="21">
        <f>IF(Y$4="x",'Symptomen (alle)'!X26,0)</f>
        <v>0</v>
      </c>
      <c r="Z31" s="21">
        <f>IF(Z$4="x",'Symptomen (alle)'!Y26,0)</f>
        <v>0</v>
      </c>
      <c r="AA31" s="21">
        <f>IF(AA$4="x",'Symptomen (alle)'!Z26,0)</f>
        <v>0</v>
      </c>
      <c r="AB31" s="21">
        <f>IF(AB$4="x",'Symptomen (alle)'!AA26,0)</f>
        <v>0</v>
      </c>
      <c r="AC31" s="21">
        <f>IF(AC$4="x",'Symptomen (alle)'!AB26,0)</f>
        <v>0</v>
      </c>
      <c r="AD31" s="21">
        <f>IF(AD$4="x",'Symptomen (alle)'!AC26,0)</f>
        <v>0</v>
      </c>
      <c r="AE31" s="21">
        <f t="shared" si="1"/>
        <v>2</v>
      </c>
      <c r="AF31" s="21">
        <f>HLOOKUP($B$4,ZiekteFam!$B$1:$T$32,AG31,FALSE)</f>
        <v>0</v>
      </c>
      <c r="AG31" s="32">
        <f t="shared" si="2"/>
        <v>26</v>
      </c>
      <c r="AH31" s="32">
        <f>SUM('Symptomen (alle)'!D26:AC26)</f>
        <v>38</v>
      </c>
      <c r="AI31" s="22">
        <f>Tabel42[[#This Row],[Kolom25]]/Tabel42[[#This Row],[Kolom28]]</f>
        <v>5.2631578947368418E-2</v>
      </c>
      <c r="AJ31" s="36">
        <f t="shared" si="0"/>
        <v>2</v>
      </c>
      <c r="AK31" s="36">
        <f t="shared" si="3"/>
        <v>0</v>
      </c>
      <c r="AL31" s="36">
        <f t="shared" si="4"/>
        <v>0</v>
      </c>
      <c r="AM31" s="36">
        <f t="shared" si="5"/>
        <v>0</v>
      </c>
      <c r="AN31" s="36">
        <f t="shared" si="6"/>
        <v>1</v>
      </c>
      <c r="AO31" s="36">
        <f>COUNTIF(Tabel42[[#This Row],[Kolom3]:[Kolom222]],10)</f>
        <v>0</v>
      </c>
      <c r="AP31" s="36">
        <f>COUNTIF(Tabel42[[#This Row],[Kolom3]:[Kolom222]],5)</f>
        <v>0</v>
      </c>
      <c r="AQ31" s="36">
        <f>COUNTIF(Tabel42[[#This Row],[Kolom3]:[Kolom222]],3)</f>
        <v>0</v>
      </c>
      <c r="AR31" s="36">
        <f>COUNTIF(Tabel42[[#This Row],[Kolom3]:[Kolom222]],2)</f>
        <v>1</v>
      </c>
      <c r="AS31" s="36">
        <f>COUNTIF(Tabel42[[#This Row],[Kolom3]:[Kolom222]],1)</f>
        <v>0</v>
      </c>
      <c r="AT31" s="36">
        <f>COUNTIF('Symptomen (alle)'!$D26:$AC26,10)</f>
        <v>1</v>
      </c>
      <c r="AU31" s="36">
        <f>COUNTIF('Symptomen (alle)'!$D26:$AC26,5)</f>
        <v>0</v>
      </c>
      <c r="AV31" s="36">
        <f>COUNTIF('Symptomen (alle)'!$D26:$AC26,3)</f>
        <v>3</v>
      </c>
      <c r="AW31" s="36">
        <f>COUNTIF('Symptomen (alle)'!$D26:$AC26,2)</f>
        <v>7</v>
      </c>
      <c r="AX31" s="36">
        <f>COUNTIF('Symptomen (alle)'!$D26:$AC26,1)</f>
        <v>5</v>
      </c>
      <c r="AY31" s="22">
        <f>IF(Tabel42[[#This Row],[Kolom300]]=0,0,Tabel42[[#This Row],[Kolom2972]]/Tabel42[[#This Row],[Kolom300]])</f>
        <v>0</v>
      </c>
      <c r="AZ31" s="22">
        <f>IF(Tabel42[[#This Row],[Kolom301]]=0,0,Tabel42[[#This Row],[Kolom2973]]/Tabel42[[#This Row],[Kolom301]])</f>
        <v>0</v>
      </c>
      <c r="BA31" s="22">
        <f>IF(Tabel42[[#This Row],[Kolom294]]=0,0,Tabel42[[#This Row],[Kolom298]]/Tabel42[[#This Row],[Kolom294]])</f>
        <v>0</v>
      </c>
      <c r="BB31" s="22">
        <f>IF(Tabel42[[#This Row],[Kolom295]]=0,0,Tabel42[[#This Row],[Kolom299]]/Tabel42[[#This Row],[Kolom295]])</f>
        <v>1</v>
      </c>
      <c r="BC31" s="22">
        <f>IF(Tabel42[[#This Row],[Kolom2965]]=0,0,Tabel42[[#This Row],[Kolom300]]/Tabel42[[#This Row],[Kolom2965]])</f>
        <v>0</v>
      </c>
      <c r="BD31" s="22">
        <f>IF(Tabel42[[#This Row],[Kolom2966]]=0,0,Tabel42[[#This Row],[Kolom301]]/Tabel42[[#This Row],[Kolom2966]])</f>
        <v>0</v>
      </c>
      <c r="BE31" s="22">
        <f>IF(Tabel42[[#This Row],[Kolom2962]]=0,0,Tabel42[[#This Row],[Kolom294]]/Tabel42[[#This Row],[Kolom2962]])</f>
        <v>0</v>
      </c>
      <c r="BF31" s="22">
        <f>IF(Tabel42[[#This Row],[Kolom29622]]=0,0,Tabel42[[#This Row],[Kolom295]]/Tabel42[[#This Row],[Kolom29622]])</f>
        <v>0.14285714285714285</v>
      </c>
      <c r="BG31" s="22">
        <f>IF(Tabel42[[#This Row],[Kolom29623]]=0,0,Tabel42[[#This Row],[Kolom296]]/Tabel42[[#This Row],[Kolom29623]])</f>
        <v>0</v>
      </c>
      <c r="BH31" s="22">
        <f>(10*Tabel42[[#This Row],[Kolom296232]]+5*Tabel42[[#This Row],[Kolom296233]]+3*Tabel42[[#This Row],[Kolom29624]]+2*Tabel42[[#This Row],[Kolom2963]]+Tabel42[[#This Row],[Kolom29]])/21</f>
        <v>9.7744360902255648E-2</v>
      </c>
      <c r="BI31" s="22">
        <f>(10*Tabel42[[#This Row],[Kolom296232]]+5*Tabel42[[#This Row],[Kolom296233]]+3*Tabel42[[#This Row],[Kolom29624]]+2*Tabel42[[#This Row],[Kolom2963]])/20</f>
        <v>0.1</v>
      </c>
      <c r="BJ31" s="22">
        <f>(10*Tabel42[[#This Row],[Kolom29634]]+3*Tabel42[[#This Row],[Kolom29633]]+2*Tabel42[[#This Row],[Kolom29632]]+Tabel42[[#This Row],[Kolom2964]])/16</f>
        <v>1.7857142857142856E-2</v>
      </c>
      <c r="BK31" s="22">
        <f>(10*Tabel42[[#This Row],[Kolom29634]]+5*Tabel42[[#This Row],[Kolom29635]]+3*Tabel42[[#This Row],[Kolom29633]]+2*Tabel42[[#This Row],[Kolom29632]])/20</f>
        <v>1.4285714285714285E-2</v>
      </c>
      <c r="BL31" s="22">
        <f>Tabel42[[#This Row],[Kolom29]]</f>
        <v>5.2631578947368418E-2</v>
      </c>
      <c r="BM31" s="36">
        <f>_xlfn.RANK.EQ(Tabel42[[#This Row],[Kolom29]],$AI$7:$AI$37)</f>
        <v>21</v>
      </c>
      <c r="BN31" s="36">
        <f>_xlfn.RANK.EQ(Tabel42[[#This Row],[Kolom293]],BH$7:BH$37)</f>
        <v>11</v>
      </c>
      <c r="BO31" s="36">
        <f>_xlfn.RANK.EQ(Tabel42[[#This Row],[Kolom2933]],BI$7:BI$37)</f>
        <v>8</v>
      </c>
      <c r="BP31" s="36">
        <f>_xlfn.RANK.EQ(Tabel42[[#This Row],[Kolom29332]],BJ$7:BJ$37)</f>
        <v>23</v>
      </c>
      <c r="BQ31" s="36">
        <f>_xlfn.RANK.EQ(Tabel42[[#This Row],[Kolom2934]],BK$7:BK$37)</f>
        <v>19</v>
      </c>
      <c r="BR31" s="133">
        <f>AVERAGE(Tabel42[[#This Row],[Kolom2910]:[Kolom2911]])</f>
        <v>16.399999999999999</v>
      </c>
      <c r="BS31" s="135">
        <f>_xlfn.RANK.EQ(Tabel42[[#This Row],[Kolom30]],BR$7:BR$37)</f>
        <v>13</v>
      </c>
    </row>
    <row r="32" spans="1:71">
      <c r="B32" s="21" t="str">
        <f>'Symptomen (alle)'!A27</f>
        <v>KHV (Kou Herpes Virus)=coldwater</v>
      </c>
      <c r="C32">
        <f>'Symptomen (alle)'!B27</f>
        <v>0</v>
      </c>
      <c r="D32" s="21">
        <f>IF(D$4="x",'Symptomen (alle)'!C27,0)</f>
        <v>0</v>
      </c>
      <c r="E32" s="21">
        <f>IF(E$4="x",'Symptomen (alle)'!D27,0)</f>
        <v>0</v>
      </c>
      <c r="F32" s="21">
        <f>IF(F$4="x",'Symptomen (alle)'!E27,0)</f>
        <v>0</v>
      </c>
      <c r="G32" s="21">
        <f>IF(G$4="x",'Symptomen (alle)'!F27,0)</f>
        <v>0</v>
      </c>
      <c r="H32" s="21">
        <f>IF(H$4="x",'Symptomen (alle)'!G27,0)</f>
        <v>0</v>
      </c>
      <c r="I32" s="21">
        <f>IF(I$4="x",'Symptomen (alle)'!H27,0)</f>
        <v>0</v>
      </c>
      <c r="J32" s="21">
        <f>IF(J$4="x",'Symptomen (alle)'!I27,0)</f>
        <v>0</v>
      </c>
      <c r="K32" s="21">
        <f>IF(K$4="x",'Symptomen (alle)'!J27,0)</f>
        <v>0</v>
      </c>
      <c r="L32" s="21">
        <f>IF(L$4="x",'Symptomen (alle)'!K27,0)</f>
        <v>0</v>
      </c>
      <c r="M32" s="21">
        <f>IF(M$4="x",'Symptomen (alle)'!L27,0)</f>
        <v>0</v>
      </c>
      <c r="N32" s="21">
        <f>IF(N$4="x",'Symptomen (alle)'!M27,0)</f>
        <v>0</v>
      </c>
      <c r="O32" s="21">
        <f>IF(O$4="x",'Symptomen (alle)'!N27,0)</f>
        <v>0</v>
      </c>
      <c r="P32" s="21">
        <f>IF(P$4="x",'Symptomen (alle)'!O27,0)</f>
        <v>0</v>
      </c>
      <c r="Q32" s="21">
        <f>IF(Q$4="x",'Symptomen (alle)'!P27,0)</f>
        <v>0</v>
      </c>
      <c r="R32" s="21">
        <f>IF(R$4="x",'Symptomen (alle)'!Q27,0)</f>
        <v>0</v>
      </c>
      <c r="S32" s="21">
        <f>IF(S$4="x",'Symptomen (alle)'!R27,0)</f>
        <v>0</v>
      </c>
      <c r="T32" s="21">
        <f>IF(T$4="x",'Symptomen (alle)'!S27,0)</f>
        <v>1</v>
      </c>
      <c r="U32" s="21">
        <f>IF(U$4="x",'Symptomen (alle)'!T27,0)</f>
        <v>0</v>
      </c>
      <c r="V32" s="21">
        <f>IF(V$4="x",'Symptomen (alle)'!U27,0)</f>
        <v>0</v>
      </c>
      <c r="W32" s="21">
        <f>IF(W$4="x",'Symptomen (alle)'!V27,0)</f>
        <v>0</v>
      </c>
      <c r="X32" s="21">
        <f>IF(X$4="x",'Symptomen (alle)'!W27,0)</f>
        <v>0</v>
      </c>
      <c r="Y32" s="21">
        <f>IF(Y$4="x",'Symptomen (alle)'!X27,0)</f>
        <v>0</v>
      </c>
      <c r="Z32" s="21">
        <f>IF(Z$4="x",'Symptomen (alle)'!Y27,0)</f>
        <v>0</v>
      </c>
      <c r="AA32" s="21">
        <f>IF(AA$4="x",'Symptomen (alle)'!Z27,0)</f>
        <v>0</v>
      </c>
      <c r="AB32" s="21">
        <f>IF(AB$4="x",'Symptomen (alle)'!AA27,0)</f>
        <v>0</v>
      </c>
      <c r="AC32" s="21">
        <f>IF(AC$4="x",'Symptomen (alle)'!AB27,0)</f>
        <v>0</v>
      </c>
      <c r="AD32" s="21">
        <f>IF(AD$4="x",'Symptomen (alle)'!AC27,0)</f>
        <v>0</v>
      </c>
      <c r="AE32" s="21">
        <f t="shared" si="1"/>
        <v>1</v>
      </c>
      <c r="AF32" s="21">
        <f>HLOOKUP($B$4,ZiekteFam!$B$1:$T$32,AG32,FALSE)</f>
        <v>0</v>
      </c>
      <c r="AG32" s="32">
        <f t="shared" si="2"/>
        <v>27</v>
      </c>
      <c r="AH32" s="32">
        <f>SUM('Symptomen (alle)'!D27:AC27)</f>
        <v>53</v>
      </c>
      <c r="AI32" s="22">
        <f>Tabel42[[#This Row],[Kolom25]]/Tabel42[[#This Row],[Kolom28]]</f>
        <v>1.8867924528301886E-2</v>
      </c>
      <c r="AJ32" s="36">
        <f t="shared" si="0"/>
        <v>2</v>
      </c>
      <c r="AK32" s="36">
        <f t="shared" si="3"/>
        <v>0</v>
      </c>
      <c r="AL32" s="36">
        <f t="shared" si="4"/>
        <v>0</v>
      </c>
      <c r="AM32" s="36">
        <f t="shared" si="5"/>
        <v>0</v>
      </c>
      <c r="AN32" s="36">
        <f t="shared" si="6"/>
        <v>0</v>
      </c>
      <c r="AO32" s="36">
        <f>COUNTIF(Tabel42[[#This Row],[Kolom3]:[Kolom222]],10)</f>
        <v>0</v>
      </c>
      <c r="AP32" s="36">
        <f>COUNTIF(Tabel42[[#This Row],[Kolom3]:[Kolom222]],5)</f>
        <v>0</v>
      </c>
      <c r="AQ32" s="36">
        <f>COUNTIF(Tabel42[[#This Row],[Kolom3]:[Kolom222]],3)</f>
        <v>0</v>
      </c>
      <c r="AR32" s="36">
        <f>COUNTIF(Tabel42[[#This Row],[Kolom3]:[Kolom222]],2)</f>
        <v>0</v>
      </c>
      <c r="AS32" s="36">
        <f>COUNTIF(Tabel42[[#This Row],[Kolom3]:[Kolom222]],1)</f>
        <v>1</v>
      </c>
      <c r="AT32" s="36">
        <f>COUNTIF('Symptomen (alle)'!$D27:$AC27,10)</f>
        <v>3</v>
      </c>
      <c r="AU32" s="36">
        <f>COUNTIF('Symptomen (alle)'!$D27:$AC27,5)</f>
        <v>2</v>
      </c>
      <c r="AV32" s="36">
        <f>COUNTIF('Symptomen (alle)'!$D27:$AC27,3)</f>
        <v>3</v>
      </c>
      <c r="AW32" s="36">
        <f>COUNTIF('Symptomen (alle)'!$D27:$AC27,2)</f>
        <v>1</v>
      </c>
      <c r="AX32" s="36">
        <f>COUNTIF('Symptomen (alle)'!$D27:$AC27,1)</f>
        <v>2</v>
      </c>
      <c r="AY32" s="22">
        <f>IF(Tabel42[[#This Row],[Kolom300]]=0,0,Tabel42[[#This Row],[Kolom2972]]/Tabel42[[#This Row],[Kolom300]])</f>
        <v>0</v>
      </c>
      <c r="AZ32" s="22">
        <f>IF(Tabel42[[#This Row],[Kolom301]]=0,0,Tabel42[[#This Row],[Kolom2973]]/Tabel42[[#This Row],[Kolom301]])</f>
        <v>0</v>
      </c>
      <c r="BA32" s="22">
        <f>IF(Tabel42[[#This Row],[Kolom294]]=0,0,Tabel42[[#This Row],[Kolom298]]/Tabel42[[#This Row],[Kolom294]])</f>
        <v>0</v>
      </c>
      <c r="BB32" s="22">
        <f>IF(Tabel42[[#This Row],[Kolom295]]=0,0,Tabel42[[#This Row],[Kolom299]]/Tabel42[[#This Row],[Kolom295]])</f>
        <v>0</v>
      </c>
      <c r="BC32" s="22">
        <f>IF(Tabel42[[#This Row],[Kolom2965]]=0,0,Tabel42[[#This Row],[Kolom300]]/Tabel42[[#This Row],[Kolom2965]])</f>
        <v>0</v>
      </c>
      <c r="BD32" s="22">
        <f>IF(Tabel42[[#This Row],[Kolom2966]]=0,0,Tabel42[[#This Row],[Kolom301]]/Tabel42[[#This Row],[Kolom2966]])</f>
        <v>0</v>
      </c>
      <c r="BE32" s="22">
        <f>IF(Tabel42[[#This Row],[Kolom2962]]=0,0,Tabel42[[#This Row],[Kolom294]]/Tabel42[[#This Row],[Kolom2962]])</f>
        <v>0</v>
      </c>
      <c r="BF32" s="22">
        <f>IF(Tabel42[[#This Row],[Kolom29622]]=0,0,Tabel42[[#This Row],[Kolom295]]/Tabel42[[#This Row],[Kolom29622]])</f>
        <v>0</v>
      </c>
      <c r="BG32" s="22">
        <f>IF(Tabel42[[#This Row],[Kolom29623]]=0,0,Tabel42[[#This Row],[Kolom296]]/Tabel42[[#This Row],[Kolom29623]])</f>
        <v>0.5</v>
      </c>
      <c r="BH32" s="22">
        <f>(10*Tabel42[[#This Row],[Kolom296232]]+5*Tabel42[[#This Row],[Kolom296233]]+3*Tabel42[[#This Row],[Kolom29624]]+2*Tabel42[[#This Row],[Kolom2963]]+Tabel42[[#This Row],[Kolom29]])/21</f>
        <v>8.9847259658580407E-4</v>
      </c>
      <c r="BI32" s="22">
        <f>(10*Tabel42[[#This Row],[Kolom296232]]+5*Tabel42[[#This Row],[Kolom296233]]+3*Tabel42[[#This Row],[Kolom29624]]+2*Tabel42[[#This Row],[Kolom2963]])/20</f>
        <v>0</v>
      </c>
      <c r="BJ32" s="22">
        <f>(10*Tabel42[[#This Row],[Kolom29634]]+3*Tabel42[[#This Row],[Kolom29633]]+2*Tabel42[[#This Row],[Kolom29632]]+Tabel42[[#This Row],[Kolom2964]])/16</f>
        <v>3.125E-2</v>
      </c>
      <c r="BK32" s="22">
        <f>(10*Tabel42[[#This Row],[Kolom29634]]+5*Tabel42[[#This Row],[Kolom29635]]+3*Tabel42[[#This Row],[Kolom29633]]+2*Tabel42[[#This Row],[Kolom29632]])/20</f>
        <v>0</v>
      </c>
      <c r="BL32" s="22">
        <f>Tabel42[[#This Row],[Kolom29]]</f>
        <v>1.8867924528301886E-2</v>
      </c>
      <c r="BM32" s="36">
        <f>_xlfn.RANK.EQ(Tabel42[[#This Row],[Kolom29]],$AI$7:$AI$37)</f>
        <v>26</v>
      </c>
      <c r="BN32" s="36">
        <f>_xlfn.RANK.EQ(Tabel42[[#This Row],[Kolom293]],BH$7:BH$37)</f>
        <v>26</v>
      </c>
      <c r="BO32" s="36">
        <f>_xlfn.RANK.EQ(Tabel42[[#This Row],[Kolom2933]],BI$7:BI$37)</f>
        <v>16</v>
      </c>
      <c r="BP32" s="36">
        <f>_xlfn.RANK.EQ(Tabel42[[#This Row],[Kolom29332]],BJ$7:BJ$37)</f>
        <v>18</v>
      </c>
      <c r="BQ32" s="36">
        <f>_xlfn.RANK.EQ(Tabel42[[#This Row],[Kolom2934]],BK$7:BK$37)</f>
        <v>21</v>
      </c>
      <c r="BR32" s="133">
        <f>AVERAGE(Tabel42[[#This Row],[Kolom2910]:[Kolom2911]])</f>
        <v>21.4</v>
      </c>
      <c r="BS32" s="135">
        <f>_xlfn.RANK.EQ(Tabel42[[#This Row],[Kolom30]],BR$7:BR$37)</f>
        <v>8</v>
      </c>
    </row>
    <row r="33" spans="2:71">
      <c r="B33" s="21" t="str">
        <f>'Symptomen (alle)'!A28</f>
        <v>Goldfish Herpes Virus=coldwater</v>
      </c>
      <c r="C33" s="77">
        <f>'Symptomen (alle)'!B28</f>
        <v>0</v>
      </c>
      <c r="D33" s="21">
        <f>IF(D$4="x",'Symptomen (alle)'!C28,0)</f>
        <v>0</v>
      </c>
      <c r="E33" s="21">
        <f>IF(E$4="x",'Symptomen (alle)'!D28,0)</f>
        <v>0</v>
      </c>
      <c r="F33" s="21">
        <f>IF(F$4="x",'Symptomen (alle)'!E28,0)</f>
        <v>0</v>
      </c>
      <c r="G33" s="21">
        <f>IF(G$4="x",'Symptomen (alle)'!F28,0)</f>
        <v>0</v>
      </c>
      <c r="H33" s="21">
        <f>IF(H$4="x",'Symptomen (alle)'!G28,0)</f>
        <v>0</v>
      </c>
      <c r="I33" s="21">
        <f>IF(I$4="x",'Symptomen (alle)'!H28,0)</f>
        <v>0</v>
      </c>
      <c r="J33" s="21">
        <f>IF(J$4="x",'Symptomen (alle)'!I28,0)</f>
        <v>0</v>
      </c>
      <c r="K33" s="21">
        <f>IF(K$4="x",'Symptomen (alle)'!J28,0)</f>
        <v>0</v>
      </c>
      <c r="L33" s="21">
        <f>IF(L$4="x",'Symptomen (alle)'!K28,0)</f>
        <v>0</v>
      </c>
      <c r="M33" s="21">
        <f>IF(M$4="x",'Symptomen (alle)'!L28,0)</f>
        <v>0</v>
      </c>
      <c r="N33" s="21">
        <f>IF(N$4="x",'Symptomen (alle)'!M28,0)</f>
        <v>0</v>
      </c>
      <c r="O33" s="21">
        <f>IF(O$4="x",'Symptomen (alle)'!N28,0)</f>
        <v>0</v>
      </c>
      <c r="P33" s="21">
        <f>IF(P$4="x",'Symptomen (alle)'!O28,0)</f>
        <v>0</v>
      </c>
      <c r="Q33" s="21">
        <f>IF(Q$4="x",'Symptomen (alle)'!P28,0)</f>
        <v>0</v>
      </c>
      <c r="R33" s="21">
        <f>IF(R$4="x",'Symptomen (alle)'!Q28,0)</f>
        <v>0</v>
      </c>
      <c r="S33" s="21">
        <f>IF(S$4="x",'Symptomen (alle)'!R28,0)</f>
        <v>0</v>
      </c>
      <c r="T33" s="21">
        <f>IF(T$4="x",'Symptomen (alle)'!S28,0)</f>
        <v>0</v>
      </c>
      <c r="U33" s="21">
        <f>IF(U$4="x",'Symptomen (alle)'!T28,0)</f>
        <v>0</v>
      </c>
      <c r="V33" s="21">
        <f>IF(V$4="x",'Symptomen (alle)'!U28,0)</f>
        <v>0</v>
      </c>
      <c r="W33" s="21">
        <f>IF(W$4="x",'Symptomen (alle)'!V28,0)</f>
        <v>0</v>
      </c>
      <c r="X33" s="21">
        <f>IF(X$4="x",'Symptomen (alle)'!W28,0)</f>
        <v>0</v>
      </c>
      <c r="Y33" s="21">
        <f>IF(Y$4="x",'Symptomen (alle)'!X28,0)</f>
        <v>0</v>
      </c>
      <c r="Z33" s="21">
        <f>IF(Z$4="x",'Symptomen (alle)'!Y28,0)</f>
        <v>0</v>
      </c>
      <c r="AA33" s="21">
        <f>IF(AA$4="x",'Symptomen (alle)'!Z28,0)</f>
        <v>0</v>
      </c>
      <c r="AB33" s="21">
        <f>IF(AB$4="x",'Symptomen (alle)'!AA28,0)</f>
        <v>0</v>
      </c>
      <c r="AC33" s="21">
        <f>IF(AC$4="x",'Symptomen (alle)'!AB28,0)</f>
        <v>0</v>
      </c>
      <c r="AD33" s="21">
        <f>IF(AD$4="x",'Symptomen (alle)'!AC28,0)</f>
        <v>0</v>
      </c>
      <c r="AE33" s="21">
        <f t="shared" si="1"/>
        <v>0</v>
      </c>
      <c r="AF33" s="21">
        <f>HLOOKUP($B$4,ZiekteFam!$B$1:$T$32,AG33,FALSE)</f>
        <v>0</v>
      </c>
      <c r="AG33" s="32">
        <f t="shared" si="2"/>
        <v>28</v>
      </c>
      <c r="AH33" s="32">
        <f>SUM('Symptomen (alle)'!D28:AC28)</f>
        <v>34</v>
      </c>
      <c r="AI33" s="22">
        <f>Tabel42[[#This Row],[Kolom25]]/Tabel42[[#This Row],[Kolom28]]</f>
        <v>0</v>
      </c>
      <c r="AJ33" s="36">
        <f t="shared" si="0"/>
        <v>2</v>
      </c>
      <c r="AK33" s="36">
        <f t="shared" si="3"/>
        <v>0</v>
      </c>
      <c r="AL33" s="36">
        <f t="shared" si="4"/>
        <v>0</v>
      </c>
      <c r="AM33" s="36">
        <f t="shared" si="5"/>
        <v>0</v>
      </c>
      <c r="AN33" s="36">
        <f t="shared" si="6"/>
        <v>0</v>
      </c>
      <c r="AO33" s="36">
        <f>COUNTIF(Tabel42[[#This Row],[Kolom3]:[Kolom222]],10)</f>
        <v>0</v>
      </c>
      <c r="AP33" s="36">
        <f>COUNTIF(Tabel42[[#This Row],[Kolom3]:[Kolom222]],5)</f>
        <v>0</v>
      </c>
      <c r="AQ33" s="36">
        <f>COUNTIF(Tabel42[[#This Row],[Kolom3]:[Kolom222]],3)</f>
        <v>0</v>
      </c>
      <c r="AR33" s="36">
        <f>COUNTIF(Tabel42[[#This Row],[Kolom3]:[Kolom222]],2)</f>
        <v>0</v>
      </c>
      <c r="AS33" s="36">
        <f>COUNTIF(Tabel42[[#This Row],[Kolom3]:[Kolom222]],1)</f>
        <v>0</v>
      </c>
      <c r="AT33" s="36">
        <f>COUNTIF('Symptomen (alle)'!$D28:$AC28,10)</f>
        <v>1</v>
      </c>
      <c r="AU33" s="36">
        <f>COUNTIF('Symptomen (alle)'!$D28:$AC28,5)</f>
        <v>2</v>
      </c>
      <c r="AV33" s="36">
        <f>COUNTIF('Symptomen (alle)'!$D28:$AC28,3)</f>
        <v>3</v>
      </c>
      <c r="AW33" s="36">
        <f>COUNTIF('Symptomen (alle)'!$D28:$AC28,2)</f>
        <v>1</v>
      </c>
      <c r="AX33" s="36">
        <f>COUNTIF('Symptomen (alle)'!$D28:$AC28,1)</f>
        <v>3</v>
      </c>
      <c r="AY33" s="22">
        <f>IF(Tabel42[[#This Row],[Kolom300]]=0,0,Tabel42[[#This Row],[Kolom2972]]/Tabel42[[#This Row],[Kolom300]])</f>
        <v>0</v>
      </c>
      <c r="AZ33" s="22">
        <f>IF(Tabel42[[#This Row],[Kolom301]]=0,0,Tabel42[[#This Row],[Kolom2973]]/Tabel42[[#This Row],[Kolom301]])</f>
        <v>0</v>
      </c>
      <c r="BA33" s="22">
        <f>IF(Tabel42[[#This Row],[Kolom294]]=0,0,Tabel42[[#This Row],[Kolom298]]/Tabel42[[#This Row],[Kolom294]])</f>
        <v>0</v>
      </c>
      <c r="BB33" s="22">
        <f>IF(Tabel42[[#This Row],[Kolom295]]=0,0,Tabel42[[#This Row],[Kolom299]]/Tabel42[[#This Row],[Kolom295]])</f>
        <v>0</v>
      </c>
      <c r="BC33" s="22">
        <f>IF(Tabel42[[#This Row],[Kolom2965]]=0,0,Tabel42[[#This Row],[Kolom300]]/Tabel42[[#This Row],[Kolom2965]])</f>
        <v>0</v>
      </c>
      <c r="BD33" s="22">
        <f>IF(Tabel42[[#This Row],[Kolom2966]]=0,0,Tabel42[[#This Row],[Kolom301]]/Tabel42[[#This Row],[Kolom2966]])</f>
        <v>0</v>
      </c>
      <c r="BE33" s="22">
        <f>IF(Tabel42[[#This Row],[Kolom2962]]=0,0,Tabel42[[#This Row],[Kolom294]]/Tabel42[[#This Row],[Kolom2962]])</f>
        <v>0</v>
      </c>
      <c r="BF33" s="22">
        <f>IF(Tabel42[[#This Row],[Kolom29622]]=0,0,Tabel42[[#This Row],[Kolom295]]/Tabel42[[#This Row],[Kolom29622]])</f>
        <v>0</v>
      </c>
      <c r="BG33" s="22">
        <f>IF(Tabel42[[#This Row],[Kolom29623]]=0,0,Tabel42[[#This Row],[Kolom296]]/Tabel42[[#This Row],[Kolom29623]])</f>
        <v>0</v>
      </c>
      <c r="BH33" s="22">
        <f>(10*Tabel42[[#This Row],[Kolom296232]]+5*Tabel42[[#This Row],[Kolom296233]]+3*Tabel42[[#This Row],[Kolom29624]]+2*Tabel42[[#This Row],[Kolom2963]]+Tabel42[[#This Row],[Kolom29]])/21</f>
        <v>0</v>
      </c>
      <c r="BI33" s="22">
        <f>(10*Tabel42[[#This Row],[Kolom296232]]+5*Tabel42[[#This Row],[Kolom296233]]+3*Tabel42[[#This Row],[Kolom29624]]+2*Tabel42[[#This Row],[Kolom2963]])/20</f>
        <v>0</v>
      </c>
      <c r="BJ33" s="22">
        <f>(10*Tabel42[[#This Row],[Kolom29634]]+3*Tabel42[[#This Row],[Kolom29633]]+2*Tabel42[[#This Row],[Kolom29632]]+Tabel42[[#This Row],[Kolom2964]])/16</f>
        <v>0</v>
      </c>
      <c r="BK33" s="22">
        <f>(10*Tabel42[[#This Row],[Kolom29634]]+5*Tabel42[[#This Row],[Kolom29635]]+3*Tabel42[[#This Row],[Kolom29633]]+2*Tabel42[[#This Row],[Kolom29632]])/20</f>
        <v>0</v>
      </c>
      <c r="BL33" s="22">
        <f>Tabel42[[#This Row],[Kolom29]]</f>
        <v>0</v>
      </c>
      <c r="BM33" s="36">
        <f>_xlfn.RANK.EQ(Tabel42[[#This Row],[Kolom29]],$AI$7:$AI$37)</f>
        <v>27</v>
      </c>
      <c r="BN33" s="36">
        <f>_xlfn.RANK.EQ(Tabel42[[#This Row],[Kolom293]],BH$7:BH$37)</f>
        <v>27</v>
      </c>
      <c r="BO33" s="36">
        <f>_xlfn.RANK.EQ(Tabel42[[#This Row],[Kolom2933]],BI$7:BI$37)</f>
        <v>16</v>
      </c>
      <c r="BP33" s="36">
        <f>_xlfn.RANK.EQ(Tabel42[[#This Row],[Kolom29332]],BJ$7:BJ$37)</f>
        <v>27</v>
      </c>
      <c r="BQ33" s="36">
        <f>_xlfn.RANK.EQ(Tabel42[[#This Row],[Kolom2934]],BK$7:BK$37)</f>
        <v>21</v>
      </c>
      <c r="BR33" s="133">
        <f>AVERAGE(Tabel42[[#This Row],[Kolom2910]:[Kolom2911]])</f>
        <v>23.6</v>
      </c>
      <c r="BS33" s="135">
        <f>_xlfn.RANK.EQ(Tabel42[[#This Row],[Kolom30]],BR$7:BR$37)</f>
        <v>1</v>
      </c>
    </row>
    <row r="34" spans="2:71">
      <c r="B34" s="21" t="str">
        <f>'Symptomen (alle)'!A29</f>
        <v>Carp Pox Virus (Carp Herpes)= coldwater</v>
      </c>
      <c r="C34" s="77">
        <f>'Symptomen (alle)'!B29</f>
        <v>0</v>
      </c>
      <c r="D34" s="21">
        <f>IF(D$4="x",'Symptomen (alle)'!C29,0)</f>
        <v>0</v>
      </c>
      <c r="E34" s="21">
        <f>IF(E$4="x",'Symptomen (alle)'!D29,0)</f>
        <v>0</v>
      </c>
      <c r="F34" s="21">
        <f>IF(F$4="x",'Symptomen (alle)'!E29,0)</f>
        <v>0</v>
      </c>
      <c r="G34" s="21">
        <f>IF(G$4="x",'Symptomen (alle)'!F29,0)</f>
        <v>0</v>
      </c>
      <c r="H34" s="21">
        <f>IF(H$4="x",'Symptomen (alle)'!G29,0)</f>
        <v>0</v>
      </c>
      <c r="I34" s="21">
        <f>IF(I$4="x",'Symptomen (alle)'!H29,0)</f>
        <v>0</v>
      </c>
      <c r="J34" s="21">
        <f>IF(J$4="x",'Symptomen (alle)'!I29,0)</f>
        <v>10</v>
      </c>
      <c r="K34" s="21">
        <f>IF(K$4="x",'Symptomen (alle)'!J29,0)</f>
        <v>0</v>
      </c>
      <c r="L34" s="21">
        <f>IF(L$4="x",'Symptomen (alle)'!K29,0)</f>
        <v>0</v>
      </c>
      <c r="M34" s="21">
        <f>IF(M$4="x",'Symptomen (alle)'!L29,0)</f>
        <v>0</v>
      </c>
      <c r="N34" s="21">
        <f>IF(N$4="x",'Symptomen (alle)'!M29,0)</f>
        <v>0</v>
      </c>
      <c r="O34" s="21">
        <f>IF(O$4="x",'Symptomen (alle)'!N29,0)</f>
        <v>0</v>
      </c>
      <c r="P34" s="21">
        <f>IF(P$4="x",'Symptomen (alle)'!O29,0)</f>
        <v>0</v>
      </c>
      <c r="Q34" s="21">
        <f>IF(Q$4="x",'Symptomen (alle)'!P29,0)</f>
        <v>0</v>
      </c>
      <c r="R34" s="21">
        <f>IF(R$4="x",'Symptomen (alle)'!Q29,0)</f>
        <v>0</v>
      </c>
      <c r="S34" s="21">
        <f>IF(S$4="x",'Symptomen (alle)'!R29,0)</f>
        <v>0</v>
      </c>
      <c r="T34" s="21">
        <f>IF(T$4="x",'Symptomen (alle)'!S29,0)</f>
        <v>0</v>
      </c>
      <c r="U34" s="21">
        <f>IF(U$4="x",'Symptomen (alle)'!T29,0)</f>
        <v>0</v>
      </c>
      <c r="V34" s="21">
        <f>IF(V$4="x",'Symptomen (alle)'!U29,0)</f>
        <v>0</v>
      </c>
      <c r="W34" s="21">
        <f>IF(W$4="x",'Symptomen (alle)'!V29,0)</f>
        <v>0</v>
      </c>
      <c r="X34" s="21">
        <f>IF(X$4="x",'Symptomen (alle)'!W29,0)</f>
        <v>0</v>
      </c>
      <c r="Y34" s="21">
        <f>IF(Y$4="x",'Symptomen (alle)'!X29,0)</f>
        <v>3</v>
      </c>
      <c r="Z34" s="21">
        <f>IF(Z$4="x",'Symptomen (alle)'!Y29,0)</f>
        <v>0</v>
      </c>
      <c r="AA34" s="21">
        <f>IF(AA$4="x",'Symptomen (alle)'!Z29,0)</f>
        <v>0</v>
      </c>
      <c r="AB34" s="21">
        <f>IF(AB$4="x",'Symptomen (alle)'!AA29,0)</f>
        <v>0</v>
      </c>
      <c r="AC34" s="21">
        <f>IF(AC$4="x",'Symptomen (alle)'!AB29,0)</f>
        <v>0</v>
      </c>
      <c r="AD34" s="21">
        <f>IF(AD$4="x",'Symptomen (alle)'!AC29,0)</f>
        <v>0</v>
      </c>
      <c r="AE34" s="21">
        <f t="shared" ref="AE34" si="8">SUM(E34:AD34)</f>
        <v>13</v>
      </c>
      <c r="AF34" s="21">
        <f>HLOOKUP($B$4,ZiekteFam!$B$1:$T$32,AG34,FALSE)</f>
        <v>0</v>
      </c>
      <c r="AG34" s="32">
        <f t="shared" ref="AG34" si="9">ROW(AF34)-5</f>
        <v>29</v>
      </c>
      <c r="AH34" s="32">
        <f>SUM('Symptomen (alle)'!D29:AC29)</f>
        <v>34</v>
      </c>
      <c r="AI34" s="22">
        <f>Tabel42[[#This Row],[Kolom25]]/Tabel42[[#This Row],[Kolom28]]</f>
        <v>0.38235294117647056</v>
      </c>
      <c r="AJ34" s="36">
        <f t="shared" si="0"/>
        <v>2</v>
      </c>
      <c r="AK34" s="36">
        <f t="shared" si="3"/>
        <v>1</v>
      </c>
      <c r="AL34" s="36">
        <f t="shared" si="4"/>
        <v>0</v>
      </c>
      <c r="AM34" s="36">
        <f t="shared" si="5"/>
        <v>0</v>
      </c>
      <c r="AN34" s="36">
        <f t="shared" si="6"/>
        <v>0</v>
      </c>
      <c r="AO34" s="36">
        <f>COUNTIF(Tabel42[[#This Row],[Kolom3]:[Kolom222]],10)</f>
        <v>1</v>
      </c>
      <c r="AP34" s="36">
        <f>COUNTIF(Tabel42[[#This Row],[Kolom3]:[Kolom222]],5)</f>
        <v>0</v>
      </c>
      <c r="AQ34" s="36">
        <f>COUNTIF(Tabel42[[#This Row],[Kolom3]:[Kolom222]],3)</f>
        <v>1</v>
      </c>
      <c r="AR34" s="36">
        <f>COUNTIF(Tabel42[[#This Row],[Kolom3]:[Kolom222]],2)</f>
        <v>0</v>
      </c>
      <c r="AS34" s="36">
        <f>COUNTIF(Tabel42[[#This Row],[Kolom3]:[Kolom222]],1)</f>
        <v>0</v>
      </c>
      <c r="AT34" s="36">
        <f>COUNTIF('Symptomen (alle)'!$D29:$AC29,10)</f>
        <v>1</v>
      </c>
      <c r="AU34" s="36">
        <f>COUNTIF('Symptomen (alle)'!$D29:$AC29,5)</f>
        <v>2</v>
      </c>
      <c r="AV34" s="36">
        <f>COUNTIF('Symptomen (alle)'!$D29:$AC29,3)</f>
        <v>4</v>
      </c>
      <c r="AW34" s="36">
        <f>COUNTIF('Symptomen (alle)'!$D29:$AC29,2)</f>
        <v>1</v>
      </c>
      <c r="AX34" s="36">
        <f>COUNTIF('Symptomen (alle)'!$D29:$AC29,1)</f>
        <v>0</v>
      </c>
      <c r="AY34" s="22">
        <f>IF(Tabel42[[#This Row],[Kolom300]]=0,0,Tabel42[[#This Row],[Kolom2972]]/Tabel42[[#This Row],[Kolom300]])</f>
        <v>1</v>
      </c>
      <c r="AZ34" s="22">
        <f>IF(Tabel42[[#This Row],[Kolom301]]=0,0,Tabel42[[#This Row],[Kolom2973]]/Tabel42[[#This Row],[Kolom301]])</f>
        <v>0</v>
      </c>
      <c r="BA34" s="22">
        <f>IF(Tabel42[[#This Row],[Kolom294]]=0,0,Tabel42[[#This Row],[Kolom298]]/Tabel42[[#This Row],[Kolom294]])</f>
        <v>0</v>
      </c>
      <c r="BB34" s="22">
        <f>IF(Tabel42[[#This Row],[Kolom295]]=0,0,Tabel42[[#This Row],[Kolom299]]/Tabel42[[#This Row],[Kolom295]])</f>
        <v>0</v>
      </c>
      <c r="BC34" s="22">
        <f>IF(Tabel42[[#This Row],[Kolom2965]]=0,0,Tabel42[[#This Row],[Kolom300]]/Tabel42[[#This Row],[Kolom2965]])</f>
        <v>1</v>
      </c>
      <c r="BD34" s="22">
        <f>IF(Tabel42[[#This Row],[Kolom2966]]=0,0,Tabel42[[#This Row],[Kolom301]]/Tabel42[[#This Row],[Kolom2966]])</f>
        <v>0</v>
      </c>
      <c r="BE34" s="22">
        <f>IF(Tabel42[[#This Row],[Kolom2962]]=0,0,Tabel42[[#This Row],[Kolom294]]/Tabel42[[#This Row],[Kolom2962]])</f>
        <v>0.25</v>
      </c>
      <c r="BF34" s="22">
        <f>IF(Tabel42[[#This Row],[Kolom29622]]=0,0,Tabel42[[#This Row],[Kolom295]]/Tabel42[[#This Row],[Kolom29622]])</f>
        <v>0</v>
      </c>
      <c r="BG34" s="22">
        <f>IF(Tabel42[[#This Row],[Kolom29623]]=0,0,Tabel42[[#This Row],[Kolom296]]/Tabel42[[#This Row],[Kolom29623]])</f>
        <v>0</v>
      </c>
      <c r="BH34" s="22">
        <f>(10*Tabel42[[#This Row],[Kolom296232]]+5*Tabel42[[#This Row],[Kolom296233]]+3*Tabel42[[#This Row],[Kolom29624]]+2*Tabel42[[#This Row],[Kolom2963]]+Tabel42[[#This Row],[Kolom29]])/21</f>
        <v>0.49439775910364148</v>
      </c>
      <c r="BI34" s="22">
        <f>(10*Tabel42[[#This Row],[Kolom296232]]+5*Tabel42[[#This Row],[Kolom296233]]+3*Tabel42[[#This Row],[Kolom29624]]+2*Tabel42[[#This Row],[Kolom2963]])/20</f>
        <v>0.5</v>
      </c>
      <c r="BJ34" s="22">
        <f>(10*Tabel42[[#This Row],[Kolom29634]]+3*Tabel42[[#This Row],[Kolom29633]]+2*Tabel42[[#This Row],[Kolom29632]]+Tabel42[[#This Row],[Kolom2964]])/16</f>
        <v>0.671875</v>
      </c>
      <c r="BK34" s="22">
        <f>(10*Tabel42[[#This Row],[Kolom29634]]+5*Tabel42[[#This Row],[Kolom29635]]+3*Tabel42[[#This Row],[Kolom29633]]+2*Tabel42[[#This Row],[Kolom29632]])/20</f>
        <v>0.53749999999999998</v>
      </c>
      <c r="BL34" s="22">
        <f>Tabel42[[#This Row],[Kolom29]]</f>
        <v>0.38235294117647056</v>
      </c>
      <c r="BM34" s="36">
        <f>_xlfn.RANK.EQ(Tabel42[[#This Row],[Kolom29]],$AI$7:$AI$37)</f>
        <v>4</v>
      </c>
      <c r="BN34" s="36">
        <f>_xlfn.RANK.EQ(Tabel42[[#This Row],[Kolom293]],BH$7:BH$37)</f>
        <v>4</v>
      </c>
      <c r="BO34" s="36">
        <f>_xlfn.RANK.EQ(Tabel42[[#This Row],[Kolom2933]],BI$7:BI$37)</f>
        <v>2</v>
      </c>
      <c r="BP34" s="36">
        <f>_xlfn.RANK.EQ(Tabel42[[#This Row],[Kolom29332]],BJ$7:BJ$37)</f>
        <v>2</v>
      </c>
      <c r="BQ34" s="36">
        <f>_xlfn.RANK.EQ(Tabel42[[#This Row],[Kolom2934]],BK$7:BK$37)</f>
        <v>2</v>
      </c>
      <c r="BR34" s="133">
        <f>AVERAGE(Tabel42[[#This Row],[Kolom2910]:[Kolom2911]])</f>
        <v>2.8</v>
      </c>
      <c r="BS34" s="135">
        <f>_xlfn.RANK.EQ(Tabel42[[#This Row],[Kolom30]],BR$7:BR$37)</f>
        <v>28</v>
      </c>
    </row>
    <row r="35" spans="2:71">
      <c r="B35" s="21" t="str">
        <f>'Symptomen (alle)'!A30</f>
        <v>Aggression</v>
      </c>
      <c r="C35" s="21">
        <f>'Symptomen (alle)'!B30</f>
        <v>0</v>
      </c>
      <c r="D35" s="21">
        <f>IF(D$4="x",'Symptomen (alle)'!C30,0)</f>
        <v>0</v>
      </c>
      <c r="E35" s="21">
        <f>IF(E$4="x",'Symptomen (alle)'!D30,0)</f>
        <v>0</v>
      </c>
      <c r="F35" s="21">
        <f>IF(F$4="x",'Symptomen (alle)'!E30,0)</f>
        <v>0</v>
      </c>
      <c r="G35" s="21">
        <f>IF(G$4="x",'Symptomen (alle)'!F30,0)</f>
        <v>0</v>
      </c>
      <c r="H35" s="21">
        <f>IF(H$4="x",'Symptomen (alle)'!G30,0)</f>
        <v>0</v>
      </c>
      <c r="I35" s="21">
        <f>IF(I$4="x",'Symptomen (alle)'!H30,0)</f>
        <v>0</v>
      </c>
      <c r="J35" s="21">
        <f>IF(J$4="x",'Symptomen (alle)'!I30,0)</f>
        <v>2</v>
      </c>
      <c r="K35" s="21">
        <f>IF(K$4="x",'Symptomen (alle)'!J30,0)</f>
        <v>0</v>
      </c>
      <c r="L35" s="21">
        <f>IF(L$4="x",'Symptomen (alle)'!K30,0)</f>
        <v>0</v>
      </c>
      <c r="M35" s="21">
        <f>IF(M$4="x",'Symptomen (alle)'!L30,0)</f>
        <v>0</v>
      </c>
      <c r="N35" s="21">
        <f>IF(N$4="x",'Symptomen (alle)'!M30,0)</f>
        <v>0</v>
      </c>
      <c r="O35" s="21">
        <f>IF(O$4="x",'Symptomen (alle)'!N30,0)</f>
        <v>0</v>
      </c>
      <c r="P35" s="21">
        <f>IF(P$4="x",'Symptomen (alle)'!O30,0)</f>
        <v>0</v>
      </c>
      <c r="Q35" s="21">
        <f>IF(Q$4="x",'Symptomen (alle)'!P30,0)</f>
        <v>0</v>
      </c>
      <c r="R35" s="21">
        <f>IF(R$4="x",'Symptomen (alle)'!Q30,0)</f>
        <v>0</v>
      </c>
      <c r="S35" s="21">
        <f>IF(S$4="x",'Symptomen (alle)'!R30,0)</f>
        <v>0</v>
      </c>
      <c r="T35" s="21">
        <f>IF(T$4="x",'Symptomen (alle)'!S30,0)</f>
        <v>0</v>
      </c>
      <c r="U35" s="21">
        <f>IF(U$4="x",'Symptomen (alle)'!T30,0)</f>
        <v>0</v>
      </c>
      <c r="V35" s="21">
        <f>IF(V$4="x",'Symptomen (alle)'!U30,0)</f>
        <v>0</v>
      </c>
      <c r="W35" s="21">
        <f>IF(W$4="x",'Symptomen (alle)'!V30,0)</f>
        <v>0</v>
      </c>
      <c r="X35" s="21">
        <f>IF(X$4="x",'Symptomen (alle)'!W30,0)</f>
        <v>0</v>
      </c>
      <c r="Y35" s="21">
        <f>IF(Y$4="x",'Symptomen (alle)'!X30,0)</f>
        <v>2</v>
      </c>
      <c r="Z35" s="21">
        <f>IF(Z$4="x",'Symptomen (alle)'!Y30,0)</f>
        <v>0</v>
      </c>
      <c r="AA35" s="21">
        <f>IF(AA$4="x",'Symptomen (alle)'!Z30,0)</f>
        <v>0</v>
      </c>
      <c r="AB35" s="21">
        <f>IF(AB$4="x",'Symptomen (alle)'!AA30,0)</f>
        <v>0</v>
      </c>
      <c r="AC35" s="21">
        <f>IF(AC$4="x",'Symptomen (alle)'!AB30,0)</f>
        <v>0</v>
      </c>
      <c r="AD35" s="21">
        <f>IF(AD$4="x",'Symptomen (alle)'!AC30,0)</f>
        <v>0</v>
      </c>
      <c r="AE35" s="21">
        <f t="shared" si="1"/>
        <v>4</v>
      </c>
      <c r="AF35" s="21">
        <f>HLOOKUP($B$4,ZiekteFam!$B$1:$T$32,AG35,FALSE)</f>
        <v>3</v>
      </c>
      <c r="AG35" s="32">
        <f t="shared" si="2"/>
        <v>30</v>
      </c>
      <c r="AH35" s="32">
        <f>SUM('Symptomen (alle)'!D30:AC30)</f>
        <v>30</v>
      </c>
      <c r="AI35" s="22">
        <f>Tabel42[[#This Row],[Kolom25]]/Tabel42[[#This Row],[Kolom28]]</f>
        <v>0.13333333333333333</v>
      </c>
      <c r="AJ35" s="36">
        <f t="shared" si="0"/>
        <v>2</v>
      </c>
      <c r="AK35" s="36">
        <f t="shared" si="3"/>
        <v>0</v>
      </c>
      <c r="AL35" s="36">
        <f t="shared" si="4"/>
        <v>0</v>
      </c>
      <c r="AM35" s="36">
        <f t="shared" si="5"/>
        <v>0</v>
      </c>
      <c r="AN35" s="36">
        <f t="shared" si="6"/>
        <v>1</v>
      </c>
      <c r="AO35" s="36">
        <f>COUNTIF(Tabel42[[#This Row],[Kolom3]:[Kolom222]],10)</f>
        <v>0</v>
      </c>
      <c r="AP35" s="36">
        <f>COUNTIF(Tabel42[[#This Row],[Kolom3]:[Kolom222]],5)</f>
        <v>0</v>
      </c>
      <c r="AQ35" s="36">
        <f>COUNTIF(Tabel42[[#This Row],[Kolom3]:[Kolom222]],3)</f>
        <v>0</v>
      </c>
      <c r="AR35" s="36">
        <f>COUNTIF(Tabel42[[#This Row],[Kolom3]:[Kolom222]],2)</f>
        <v>2</v>
      </c>
      <c r="AS35" s="36">
        <f>COUNTIF(Tabel42[[#This Row],[Kolom3]:[Kolom222]],1)</f>
        <v>0</v>
      </c>
      <c r="AT35" s="36">
        <f>COUNTIF('Symptomen (alle)'!$D30:$AC30,10)</f>
        <v>1</v>
      </c>
      <c r="AU35" s="36">
        <f>COUNTIF('Symptomen (alle)'!$D30:$AC30,5)</f>
        <v>0</v>
      </c>
      <c r="AV35" s="36">
        <f>COUNTIF('Symptomen (alle)'!$D30:$AC30,3)</f>
        <v>1</v>
      </c>
      <c r="AW35" s="36">
        <f>COUNTIF('Symptomen (alle)'!$D30:$AC30,2)</f>
        <v>5</v>
      </c>
      <c r="AX35" s="36">
        <f>COUNTIF('Symptomen (alle)'!$D30:$AC30,1)</f>
        <v>7</v>
      </c>
      <c r="AY35" s="22">
        <f>IF(Tabel42[[#This Row],[Kolom300]]=0,0,Tabel42[[#This Row],[Kolom2972]]/Tabel42[[#This Row],[Kolom300]])</f>
        <v>0</v>
      </c>
      <c r="AZ35" s="22">
        <f>IF(Tabel42[[#This Row],[Kolom301]]=0,0,Tabel42[[#This Row],[Kolom2973]]/Tabel42[[#This Row],[Kolom301]])</f>
        <v>0</v>
      </c>
      <c r="BA35" s="22">
        <f>IF(Tabel42[[#This Row],[Kolom294]]=0,0,Tabel42[[#This Row],[Kolom298]]/Tabel42[[#This Row],[Kolom294]])</f>
        <v>0</v>
      </c>
      <c r="BB35" s="22">
        <f>IF(Tabel42[[#This Row],[Kolom295]]=0,0,Tabel42[[#This Row],[Kolom299]]/Tabel42[[#This Row],[Kolom295]])</f>
        <v>0.5</v>
      </c>
      <c r="BC35" s="22">
        <f>IF(Tabel42[[#This Row],[Kolom2965]]=0,0,Tabel42[[#This Row],[Kolom300]]/Tabel42[[#This Row],[Kolom2965]])</f>
        <v>0</v>
      </c>
      <c r="BD35" s="22">
        <f>IF(Tabel42[[#This Row],[Kolom2966]]=0,0,Tabel42[[#This Row],[Kolom301]]/Tabel42[[#This Row],[Kolom2966]])</f>
        <v>0</v>
      </c>
      <c r="BE35" s="22">
        <f>IF(Tabel42[[#This Row],[Kolom2962]]=0,0,Tabel42[[#This Row],[Kolom294]]/Tabel42[[#This Row],[Kolom2962]])</f>
        <v>0</v>
      </c>
      <c r="BF35" s="22">
        <f>IF(Tabel42[[#This Row],[Kolom29622]]=0,0,Tabel42[[#This Row],[Kolom295]]/Tabel42[[#This Row],[Kolom29622]])</f>
        <v>0.4</v>
      </c>
      <c r="BG35" s="22">
        <f>IF(Tabel42[[#This Row],[Kolom29623]]=0,0,Tabel42[[#This Row],[Kolom296]]/Tabel42[[#This Row],[Kolom29623]])</f>
        <v>0</v>
      </c>
      <c r="BH35" s="22">
        <f>(10*Tabel42[[#This Row],[Kolom296232]]+5*Tabel42[[#This Row],[Kolom296233]]+3*Tabel42[[#This Row],[Kolom29624]]+2*Tabel42[[#This Row],[Kolom2963]]+Tabel42[[#This Row],[Kolom29]])/21</f>
        <v>5.3968253968253964E-2</v>
      </c>
      <c r="BI35" s="22">
        <f>(10*Tabel42[[#This Row],[Kolom296232]]+5*Tabel42[[#This Row],[Kolom296233]]+3*Tabel42[[#This Row],[Kolom29624]]+2*Tabel42[[#This Row],[Kolom2963]])/20</f>
        <v>0.05</v>
      </c>
      <c r="BJ35" s="22">
        <f>(10*Tabel42[[#This Row],[Kolom29634]]+3*Tabel42[[#This Row],[Kolom29633]]+2*Tabel42[[#This Row],[Kolom29632]]+Tabel42[[#This Row],[Kolom2964]])/16</f>
        <v>0.05</v>
      </c>
      <c r="BK35" s="22">
        <f>(10*Tabel42[[#This Row],[Kolom29634]]+5*Tabel42[[#This Row],[Kolom29635]]+3*Tabel42[[#This Row],[Kolom29633]]+2*Tabel42[[#This Row],[Kolom29632]])/20</f>
        <v>0.04</v>
      </c>
      <c r="BL35" s="22">
        <f>Tabel42[[#This Row],[Kolom29]]</f>
        <v>0.13333333333333333</v>
      </c>
      <c r="BM35" s="36">
        <f>_xlfn.RANK.EQ(Tabel42[[#This Row],[Kolom29]],$AI$7:$AI$37)</f>
        <v>14</v>
      </c>
      <c r="BN35" s="36">
        <f>_xlfn.RANK.EQ(Tabel42[[#This Row],[Kolom293]],BH$7:BH$37)</f>
        <v>14</v>
      </c>
      <c r="BO35" s="36">
        <f>_xlfn.RANK.EQ(Tabel42[[#This Row],[Kolom2933]],BI$7:BI$37)</f>
        <v>14</v>
      </c>
      <c r="BP35" s="36">
        <f>_xlfn.RANK.EQ(Tabel42[[#This Row],[Kolom29332]],BJ$7:BJ$37)</f>
        <v>14</v>
      </c>
      <c r="BQ35" s="36">
        <f>_xlfn.RANK.EQ(Tabel42[[#This Row],[Kolom2934]],BK$7:BK$37)</f>
        <v>14</v>
      </c>
      <c r="BR35" s="133">
        <f>AVERAGE(Tabel42[[#This Row],[Kolom2910]:[Kolom2911]])</f>
        <v>14</v>
      </c>
      <c r="BS35" s="135">
        <f>_xlfn.RANK.EQ(Tabel42[[#This Row],[Kolom30]],BR$7:BR$37)</f>
        <v>17</v>
      </c>
    </row>
    <row r="36" spans="2:71">
      <c r="B36" s="21" t="str">
        <f>'Symptomen (alle)'!A31</f>
        <v>Poor Water Quality= verwijderen???= beter bij analyse:water waardes</v>
      </c>
      <c r="C36" s="21">
        <f>'Symptomen (alle)'!B31</f>
        <v>0</v>
      </c>
      <c r="D36" s="21">
        <f>IF(D$4="x",'Symptomen (alle)'!C31,0)</f>
        <v>0</v>
      </c>
      <c r="E36" s="21">
        <f>IF(E$4="x",'Symptomen (alle)'!D31,0)</f>
        <v>0</v>
      </c>
      <c r="F36" s="21">
        <f>IF(F$4="x",'Symptomen (alle)'!E31,0)</f>
        <v>0</v>
      </c>
      <c r="G36" s="21">
        <f>IF(G$4="x",'Symptomen (alle)'!F31,0)</f>
        <v>0</v>
      </c>
      <c r="H36" s="21">
        <f>IF(H$4="x",'Symptomen (alle)'!G31,0)</f>
        <v>0</v>
      </c>
      <c r="I36" s="21">
        <f>IF(I$4="x",'Symptomen (alle)'!H31,0)</f>
        <v>0</v>
      </c>
      <c r="J36" s="21">
        <f>IF(J$4="x",'Symptomen (alle)'!I31,0)</f>
        <v>1</v>
      </c>
      <c r="K36" s="21">
        <f>IF(K$4="x",'Symptomen (alle)'!J31,0)</f>
        <v>0</v>
      </c>
      <c r="L36" s="21">
        <f>IF(L$4="x",'Symptomen (alle)'!K31,0)</f>
        <v>0</v>
      </c>
      <c r="M36" s="21">
        <f>IF(M$4="x",'Symptomen (alle)'!L31,0)</f>
        <v>0</v>
      </c>
      <c r="N36" s="21">
        <f>IF(N$4="x",'Symptomen (alle)'!M31,0)</f>
        <v>0</v>
      </c>
      <c r="O36" s="21">
        <f>IF(O$4="x",'Symptomen (alle)'!N31,0)</f>
        <v>0</v>
      </c>
      <c r="P36" s="21">
        <f>IF(P$4="x",'Symptomen (alle)'!O31,0)</f>
        <v>0</v>
      </c>
      <c r="Q36" s="21">
        <f>IF(Q$4="x",'Symptomen (alle)'!P31,0)</f>
        <v>0</v>
      </c>
      <c r="R36" s="21">
        <f>IF(R$4="x",'Symptomen (alle)'!Q31,0)</f>
        <v>0</v>
      </c>
      <c r="S36" s="21">
        <f>IF(S$4="x",'Symptomen (alle)'!R31,0)</f>
        <v>0</v>
      </c>
      <c r="T36" s="21">
        <f>IF(T$4="x",'Symptomen (alle)'!S31,0)</f>
        <v>0</v>
      </c>
      <c r="U36" s="21">
        <f>IF(U$4="x",'Symptomen (alle)'!T31,0)</f>
        <v>0</v>
      </c>
      <c r="V36" s="21">
        <f>IF(V$4="x",'Symptomen (alle)'!U31,0)</f>
        <v>0</v>
      </c>
      <c r="W36" s="21">
        <f>IF(W$4="x",'Symptomen (alle)'!V31,0)</f>
        <v>2</v>
      </c>
      <c r="X36" s="21">
        <f>IF(X$4="x",'Symptomen (alle)'!W31,0)</f>
        <v>0</v>
      </c>
      <c r="Y36" s="21">
        <f>IF(Y$4="x",'Symptomen (alle)'!X31,0)</f>
        <v>3</v>
      </c>
      <c r="Z36" s="21">
        <f>IF(Z$4="x",'Symptomen (alle)'!Y31,0)</f>
        <v>0</v>
      </c>
      <c r="AA36" s="21">
        <f>IF(AA$4="x",'Symptomen (alle)'!Z31,0)</f>
        <v>0</v>
      </c>
      <c r="AB36" s="21">
        <f>IF(AB$4="x",'Symptomen (alle)'!AA31,0)</f>
        <v>0</v>
      </c>
      <c r="AC36" s="21">
        <f>IF(AC$4="x",'Symptomen (alle)'!AB31,0)</f>
        <v>0</v>
      </c>
      <c r="AD36" s="21">
        <f>IF(AD$4="x",'Symptomen (alle)'!AC31,0)</f>
        <v>0</v>
      </c>
      <c r="AE36" s="21">
        <f t="shared" si="1"/>
        <v>6</v>
      </c>
      <c r="AF36" s="21">
        <f>HLOOKUP($B$4,ZiekteFam!$B$1:$T$32,AG36,FALSE)</f>
        <v>0</v>
      </c>
      <c r="AG36" s="32">
        <f t="shared" si="2"/>
        <v>31</v>
      </c>
      <c r="AH36" s="32">
        <f>SUM('Symptomen (alle)'!D31:AC31)</f>
        <v>35</v>
      </c>
      <c r="AI36" s="22">
        <f>Tabel42[[#This Row],[Kolom25]]/Tabel42[[#This Row],[Kolom28]]</f>
        <v>0.17142857142857143</v>
      </c>
      <c r="AJ36" s="36">
        <f t="shared" si="0"/>
        <v>2</v>
      </c>
      <c r="AK36" s="36">
        <f t="shared" si="3"/>
        <v>0</v>
      </c>
      <c r="AL36" s="36">
        <f t="shared" si="4"/>
        <v>0</v>
      </c>
      <c r="AM36" s="36">
        <f t="shared" si="5"/>
        <v>0</v>
      </c>
      <c r="AN36" s="36">
        <f t="shared" si="6"/>
        <v>0</v>
      </c>
      <c r="AO36" s="36">
        <f>COUNTIF(Tabel42[[#This Row],[Kolom3]:[Kolom222]],10)</f>
        <v>0</v>
      </c>
      <c r="AP36" s="36">
        <f>COUNTIF(Tabel42[[#This Row],[Kolom3]:[Kolom222]],5)</f>
        <v>0</v>
      </c>
      <c r="AQ36" s="36">
        <f>COUNTIF(Tabel42[[#This Row],[Kolom3]:[Kolom222]],3)</f>
        <v>1</v>
      </c>
      <c r="AR36" s="36">
        <f>COUNTIF(Tabel42[[#This Row],[Kolom3]:[Kolom222]],2)</f>
        <v>1</v>
      </c>
      <c r="AS36" s="36">
        <f>COUNTIF(Tabel42[[#This Row],[Kolom3]:[Kolom222]],1)</f>
        <v>1</v>
      </c>
      <c r="AT36" s="36">
        <f>COUNTIF('Symptomen (alle)'!$D31:$AC31,10)</f>
        <v>1</v>
      </c>
      <c r="AU36" s="36">
        <f>COUNTIF('Symptomen (alle)'!$D31:$AC31,5)</f>
        <v>0</v>
      </c>
      <c r="AV36" s="36">
        <f>COUNTIF('Symptomen (alle)'!$D31:$AC31,3)</f>
        <v>4</v>
      </c>
      <c r="AW36" s="36">
        <f>COUNTIF('Symptomen (alle)'!$D31:$AC31,2)</f>
        <v>4</v>
      </c>
      <c r="AX36" s="36">
        <f>COUNTIF('Symptomen (alle)'!$D31:$AC31,1)</f>
        <v>5</v>
      </c>
      <c r="AY36" s="22">
        <f>IF(Tabel42[[#This Row],[Kolom300]]=0,0,Tabel42[[#This Row],[Kolom2972]]/Tabel42[[#This Row],[Kolom300]])</f>
        <v>0</v>
      </c>
      <c r="AZ36" s="22">
        <f>IF(Tabel42[[#This Row],[Kolom301]]=0,0,Tabel42[[#This Row],[Kolom2973]]/Tabel42[[#This Row],[Kolom301]])</f>
        <v>0</v>
      </c>
      <c r="BA36" s="22">
        <f>IF(Tabel42[[#This Row],[Kolom294]]=0,0,Tabel42[[#This Row],[Kolom298]]/Tabel42[[#This Row],[Kolom294]])</f>
        <v>0</v>
      </c>
      <c r="BB36" s="22">
        <f>IF(Tabel42[[#This Row],[Kolom295]]=0,0,Tabel42[[#This Row],[Kolom299]]/Tabel42[[#This Row],[Kolom295]])</f>
        <v>0</v>
      </c>
      <c r="BC36" s="22">
        <f>IF(Tabel42[[#This Row],[Kolom2965]]=0,0,Tabel42[[#This Row],[Kolom300]]/Tabel42[[#This Row],[Kolom2965]])</f>
        <v>0</v>
      </c>
      <c r="BD36" s="22">
        <f>IF(Tabel42[[#This Row],[Kolom2966]]=0,0,Tabel42[[#This Row],[Kolom301]]/Tabel42[[#This Row],[Kolom2966]])</f>
        <v>0</v>
      </c>
      <c r="BE36" s="22">
        <f>IF(Tabel42[[#This Row],[Kolom2962]]=0,0,Tabel42[[#This Row],[Kolom294]]/Tabel42[[#This Row],[Kolom2962]])</f>
        <v>0.25</v>
      </c>
      <c r="BF36" s="22">
        <f>IF(Tabel42[[#This Row],[Kolom29622]]=0,0,Tabel42[[#This Row],[Kolom295]]/Tabel42[[#This Row],[Kolom29622]])</f>
        <v>0.25</v>
      </c>
      <c r="BG36" s="22">
        <f>IF(Tabel42[[#This Row],[Kolom29623]]=0,0,Tabel42[[#This Row],[Kolom296]]/Tabel42[[#This Row],[Kolom29623]])</f>
        <v>0.2</v>
      </c>
      <c r="BH36" s="22">
        <f>(10*Tabel42[[#This Row],[Kolom296232]]+5*Tabel42[[#This Row],[Kolom296233]]+3*Tabel42[[#This Row],[Kolom29624]]+2*Tabel42[[#This Row],[Kolom2963]]+Tabel42[[#This Row],[Kolom29]])/21</f>
        <v>8.1632653061224497E-3</v>
      </c>
      <c r="BI36" s="22">
        <f>(10*Tabel42[[#This Row],[Kolom296232]]+5*Tabel42[[#This Row],[Kolom296233]]+3*Tabel42[[#This Row],[Kolom29624]]+2*Tabel42[[#This Row],[Kolom2963]])/20</f>
        <v>0</v>
      </c>
      <c r="BJ36" s="22">
        <f>(10*Tabel42[[#This Row],[Kolom29634]]+3*Tabel42[[#This Row],[Kolom29633]]+2*Tabel42[[#This Row],[Kolom29632]]+Tabel42[[#This Row],[Kolom2964]])/16</f>
        <v>9.0624999999999997E-2</v>
      </c>
      <c r="BK36" s="22">
        <f>(10*Tabel42[[#This Row],[Kolom29634]]+5*Tabel42[[#This Row],[Kolom29635]]+3*Tabel42[[#This Row],[Kolom29633]]+2*Tabel42[[#This Row],[Kolom29632]])/20</f>
        <v>6.25E-2</v>
      </c>
      <c r="BL36" s="22">
        <f>Tabel42[[#This Row],[Kolom29]]</f>
        <v>0.17142857142857143</v>
      </c>
      <c r="BM36" s="36">
        <f>_xlfn.RANK.EQ(Tabel42[[#This Row],[Kolom29]],$AI$7:$AI$37)</f>
        <v>10</v>
      </c>
      <c r="BN36" s="36">
        <f>_xlfn.RANK.EQ(Tabel42[[#This Row],[Kolom293]],BH$7:BH$37)</f>
        <v>18</v>
      </c>
      <c r="BO36" s="36">
        <f>_xlfn.RANK.EQ(Tabel42[[#This Row],[Kolom2933]],BI$7:BI$37)</f>
        <v>16</v>
      </c>
      <c r="BP36" s="36">
        <f>_xlfn.RANK.EQ(Tabel42[[#This Row],[Kolom29332]],BJ$7:BJ$37)</f>
        <v>9</v>
      </c>
      <c r="BQ36" s="36">
        <f>_xlfn.RANK.EQ(Tabel42[[#This Row],[Kolom2934]],BK$7:BK$37)</f>
        <v>10</v>
      </c>
      <c r="BR36" s="133">
        <f>AVERAGE(Tabel42[[#This Row],[Kolom2910]:[Kolom2911]])</f>
        <v>12.6</v>
      </c>
      <c r="BS36" s="135">
        <f>_xlfn.RANK.EQ(Tabel42[[#This Row],[Kolom30]],BR$7:BR$37)</f>
        <v>20</v>
      </c>
    </row>
    <row r="37" spans="2:71">
      <c r="B37" s="21" t="str">
        <f>'Symptomen (alle)'!A32</f>
        <v>Nutritional deficiency/lack of (good) food</v>
      </c>
      <c r="C37" s="21">
        <f>'Symptomen (alle)'!B32</f>
        <v>0</v>
      </c>
      <c r="D37" s="21">
        <f>IF(D$4="x",'Symptomen (alle)'!C32,0)</f>
        <v>0</v>
      </c>
      <c r="E37" s="21">
        <f>IF(E$4="x",'Symptomen (alle)'!D32,0)</f>
        <v>0</v>
      </c>
      <c r="F37" s="21">
        <f>IF(F$4="x",'Symptomen (alle)'!E32,0)</f>
        <v>0</v>
      </c>
      <c r="G37" s="21">
        <f>IF(G$4="x",'Symptomen (alle)'!F32,0)</f>
        <v>0</v>
      </c>
      <c r="H37" s="21">
        <f>IF(H$4="x",'Symptomen (alle)'!G32,0)</f>
        <v>0</v>
      </c>
      <c r="I37" s="21">
        <f>IF(I$4="x",'Symptomen (alle)'!H32,0)</f>
        <v>0</v>
      </c>
      <c r="J37" s="21">
        <f>IF(J$4="x",'Symptomen (alle)'!I32,0)</f>
        <v>0</v>
      </c>
      <c r="K37" s="21">
        <f>IF(K$4="x",'Symptomen (alle)'!J32,0)</f>
        <v>0</v>
      </c>
      <c r="L37" s="21">
        <f>IF(L$4="x",'Symptomen (alle)'!K32,0)</f>
        <v>0</v>
      </c>
      <c r="M37" s="21">
        <f>IF(M$4="x",'Symptomen (alle)'!L32,0)</f>
        <v>0</v>
      </c>
      <c r="N37" s="21">
        <f>IF(N$4="x",'Symptomen (alle)'!M32,0)</f>
        <v>0</v>
      </c>
      <c r="O37" s="21">
        <f>IF(O$4="x",'Symptomen (alle)'!N32,0)</f>
        <v>0</v>
      </c>
      <c r="P37" s="21">
        <f>IF(P$4="x",'Symptomen (alle)'!O32,0)</f>
        <v>0</v>
      </c>
      <c r="Q37" s="21">
        <f>IF(Q$4="x",'Symptomen (alle)'!P32,0)</f>
        <v>0</v>
      </c>
      <c r="R37" s="21">
        <f>IF(R$4="x",'Symptomen (alle)'!Q32,0)</f>
        <v>0</v>
      </c>
      <c r="S37" s="21">
        <f>IF(S$4="x",'Symptomen (alle)'!R32,0)</f>
        <v>0</v>
      </c>
      <c r="T37" s="21">
        <f>IF(T$4="x",'Symptomen (alle)'!S32,0)</f>
        <v>0</v>
      </c>
      <c r="U37" s="21">
        <f>IF(U$4="x",'Symptomen (alle)'!T32,0)</f>
        <v>0</v>
      </c>
      <c r="V37" s="21">
        <f>IF(V$4="x",'Symptomen (alle)'!U32,0)</f>
        <v>0</v>
      </c>
      <c r="W37" s="21">
        <f>IF(W$4="x",'Symptomen (alle)'!V32,0)</f>
        <v>0</v>
      </c>
      <c r="X37" s="21">
        <f>IF(X$4="x",'Symptomen (alle)'!W32,0)</f>
        <v>0</v>
      </c>
      <c r="Y37" s="21">
        <f>IF(Y$4="x",'Symptomen (alle)'!X32,0)</f>
        <v>0</v>
      </c>
      <c r="Z37" s="21">
        <f>IF(Z$4="x",'Symptomen (alle)'!Y32,0)</f>
        <v>0</v>
      </c>
      <c r="AA37" s="21">
        <f>IF(AA$4="x",'Symptomen (alle)'!Z32,0)</f>
        <v>0</v>
      </c>
      <c r="AB37" s="21">
        <f>IF(AB$4="x",'Symptomen (alle)'!AA32,0)</f>
        <v>0</v>
      </c>
      <c r="AC37" s="21">
        <f>IF(AC$4="x",'Symptomen (alle)'!AB32,0)</f>
        <v>0</v>
      </c>
      <c r="AD37" s="21">
        <f>IF(AD$4="x",'Symptomen (alle)'!AC32,0)</f>
        <v>0</v>
      </c>
      <c r="AE37" s="21">
        <f t="shared" si="1"/>
        <v>0</v>
      </c>
      <c r="AF37" s="21">
        <f>HLOOKUP($B$4,ZiekteFam!$B$1:$T$32,AG37,FALSE)</f>
        <v>0</v>
      </c>
      <c r="AG37" s="32">
        <f t="shared" si="2"/>
        <v>32</v>
      </c>
      <c r="AH37" s="32">
        <f>SUM('Symptomen (alle)'!D32:AC32)</f>
        <v>39</v>
      </c>
      <c r="AI37" s="22">
        <f>Tabel42[[#This Row],[Kolom25]]/Tabel42[[#This Row],[Kolom28]]</f>
        <v>0</v>
      </c>
      <c r="AJ37" s="36">
        <f t="shared" si="0"/>
        <v>2</v>
      </c>
      <c r="AK37" s="36">
        <f t="shared" si="3"/>
        <v>0</v>
      </c>
      <c r="AL37" s="36">
        <f t="shared" si="4"/>
        <v>0</v>
      </c>
      <c r="AM37" s="36">
        <f t="shared" si="5"/>
        <v>0</v>
      </c>
      <c r="AN37" s="36">
        <f t="shared" si="6"/>
        <v>0</v>
      </c>
      <c r="AO37" s="36">
        <f>COUNTIF(Tabel42[[#This Row],[Kolom3]:[Kolom222]],10)</f>
        <v>0</v>
      </c>
      <c r="AP37" s="36">
        <f>COUNTIF(Tabel42[[#This Row],[Kolom3]:[Kolom222]],5)</f>
        <v>0</v>
      </c>
      <c r="AQ37" s="36">
        <f>COUNTIF(Tabel42[[#This Row],[Kolom3]:[Kolom222]],3)</f>
        <v>0</v>
      </c>
      <c r="AR37" s="36">
        <f>COUNTIF(Tabel42[[#This Row],[Kolom3]:[Kolom222]],2)</f>
        <v>0</v>
      </c>
      <c r="AS37" s="36">
        <f>COUNTIF(Tabel42[[#This Row],[Kolom3]:[Kolom222]],1)</f>
        <v>0</v>
      </c>
      <c r="AT37" s="36">
        <f>COUNTIF('Symptomen (alle)'!$D32:$AC32,10)</f>
        <v>2</v>
      </c>
      <c r="AU37" s="36">
        <f>COUNTIF('Symptomen (alle)'!$D32:$AC32,5)</f>
        <v>1</v>
      </c>
      <c r="AV37" s="36">
        <f>COUNTIF('Symptomen (alle)'!$D32:$AC32,3)</f>
        <v>1</v>
      </c>
      <c r="AW37" s="36">
        <f>COUNTIF('Symptomen (alle)'!$D32:$AC32,2)</f>
        <v>5</v>
      </c>
      <c r="AX37" s="36">
        <f>COUNTIF('Symptomen (alle)'!$D32:$AC32,1)</f>
        <v>1</v>
      </c>
      <c r="AY37" s="22">
        <f>IF(Tabel42[[#This Row],[Kolom300]]=0,0,Tabel42[[#This Row],[Kolom2972]]/Tabel42[[#This Row],[Kolom300]])</f>
        <v>0</v>
      </c>
      <c r="AZ37" s="22">
        <f>IF(Tabel42[[#This Row],[Kolom301]]=0,0,Tabel42[[#This Row],[Kolom2973]]/Tabel42[[#This Row],[Kolom301]])</f>
        <v>0</v>
      </c>
      <c r="BA37" s="22">
        <f>IF(Tabel42[[#This Row],[Kolom294]]=0,0,Tabel42[[#This Row],[Kolom298]]/Tabel42[[#This Row],[Kolom294]])</f>
        <v>0</v>
      </c>
      <c r="BB37" s="22">
        <f>IF(Tabel42[[#This Row],[Kolom295]]=0,0,Tabel42[[#This Row],[Kolom299]]/Tabel42[[#This Row],[Kolom295]])</f>
        <v>0</v>
      </c>
      <c r="BC37" s="22">
        <f>IF(Tabel42[[#This Row],[Kolom2965]]=0,0,Tabel42[[#This Row],[Kolom300]]/Tabel42[[#This Row],[Kolom2965]])</f>
        <v>0</v>
      </c>
      <c r="BD37" s="22">
        <f>IF(Tabel42[[#This Row],[Kolom2966]]=0,0,Tabel42[[#This Row],[Kolom301]]/Tabel42[[#This Row],[Kolom2966]])</f>
        <v>0</v>
      </c>
      <c r="BE37" s="22">
        <f>IF(Tabel42[[#This Row],[Kolom2962]]=0,0,Tabel42[[#This Row],[Kolom294]]/Tabel42[[#This Row],[Kolom2962]])</f>
        <v>0</v>
      </c>
      <c r="BF37" s="22">
        <f>IF(Tabel42[[#This Row],[Kolom29622]]=0,0,Tabel42[[#This Row],[Kolom295]]/Tabel42[[#This Row],[Kolom29622]])</f>
        <v>0</v>
      </c>
      <c r="BG37" s="22">
        <f>IF(Tabel42[[#This Row],[Kolom29623]]=0,0,Tabel42[[#This Row],[Kolom296]]/Tabel42[[#This Row],[Kolom29623]])</f>
        <v>0</v>
      </c>
      <c r="BH37" s="22">
        <f>(10*Tabel42[[#This Row],[Kolom296232]]+5*Tabel42[[#This Row],[Kolom296233]]+3*Tabel42[[#This Row],[Kolom29624]]+2*Tabel42[[#This Row],[Kolom2963]]+Tabel42[[#This Row],[Kolom29]])/21</f>
        <v>0</v>
      </c>
      <c r="BI37" s="22">
        <f>(10*Tabel42[[#This Row],[Kolom296232]]+5*Tabel42[[#This Row],[Kolom296233]]+3*Tabel42[[#This Row],[Kolom29624]]+2*Tabel42[[#This Row],[Kolom2963]])/20</f>
        <v>0</v>
      </c>
      <c r="BJ37" s="22">
        <f>(10*Tabel42[[#This Row],[Kolom29634]]+3*Tabel42[[#This Row],[Kolom29633]]+2*Tabel42[[#This Row],[Kolom29632]]+Tabel42[[#This Row],[Kolom2964]])/16</f>
        <v>0</v>
      </c>
      <c r="BK37" s="22">
        <f>(10*Tabel42[[#This Row],[Kolom29634]]+5*Tabel42[[#This Row],[Kolom29635]]+3*Tabel42[[#This Row],[Kolom29633]]+2*Tabel42[[#This Row],[Kolom29632]])/20</f>
        <v>0</v>
      </c>
      <c r="BL37" s="22">
        <f>Tabel42[[#This Row],[Kolom29]]</f>
        <v>0</v>
      </c>
      <c r="BM37" s="36">
        <f>_xlfn.RANK.EQ(Tabel42[[#This Row],[Kolom29]],$AI$7:$AI$37)</f>
        <v>27</v>
      </c>
      <c r="BN37" s="36">
        <f>_xlfn.RANK.EQ(Tabel42[[#This Row],[Kolom293]],BH$7:BH$37)</f>
        <v>27</v>
      </c>
      <c r="BO37" s="36">
        <f>_xlfn.RANK.EQ(Tabel42[[#This Row],[Kolom2933]],BI$7:BI$37)</f>
        <v>16</v>
      </c>
      <c r="BP37" s="36">
        <f>_xlfn.RANK.EQ(Tabel42[[#This Row],[Kolom29332]],BJ$7:BJ$37)</f>
        <v>27</v>
      </c>
      <c r="BQ37" s="36">
        <f>_xlfn.RANK.EQ(Tabel42[[#This Row],[Kolom2934]],BK$7:BK$37)</f>
        <v>21</v>
      </c>
      <c r="BR37" s="133">
        <f>AVERAGE(Tabel42[[#This Row],[Kolom2910]:[Kolom2911]])</f>
        <v>23.6</v>
      </c>
      <c r="BS37" s="135">
        <f>_xlfn.RANK.EQ(Tabel42[[#This Row],[Kolom30]],BR$7:BR$37)</f>
        <v>1</v>
      </c>
    </row>
    <row r="41" spans="2:71">
      <c r="B41" t="s">
        <v>88</v>
      </c>
    </row>
    <row r="43" spans="2:71">
      <c r="B43" t="s">
        <v>82</v>
      </c>
    </row>
    <row r="44" spans="2:71">
      <c r="B44" t="s">
        <v>83</v>
      </c>
    </row>
    <row r="45" spans="2:71">
      <c r="B45" t="s">
        <v>84</v>
      </c>
    </row>
    <row r="46" spans="2:71">
      <c r="B46" t="s">
        <v>85</v>
      </c>
    </row>
    <row r="47" spans="2:71">
      <c r="B47" t="s">
        <v>86</v>
      </c>
    </row>
    <row r="48" spans="2:71">
      <c r="B48" t="s">
        <v>87</v>
      </c>
    </row>
    <row r="50" spans="2:2">
      <c r="B50" t="s">
        <v>89</v>
      </c>
    </row>
  </sheetData>
  <sheetProtection sheet="1" objects="1" scenarios="1"/>
  <conditionalFormatting sqref="BM7:BQ37 AI7:BK37">
    <cfRule type="expression" dxfId="230" priority="9">
      <formula>$D7="x"</formula>
    </cfRule>
  </conditionalFormatting>
  <conditionalFormatting sqref="BL7:BL37">
    <cfRule type="expression" dxfId="229" priority="6">
      <formula>$AF7=10</formula>
    </cfRule>
    <cfRule type="expression" dxfId="228" priority="7">
      <formula>$AF7=3</formula>
    </cfRule>
    <cfRule type="expression" dxfId="227" priority="8">
      <formula>$AF7=0</formula>
    </cfRule>
  </conditionalFormatting>
  <conditionalFormatting sqref="C28:C29">
    <cfRule type="expression" dxfId="226" priority="1">
      <formula>$D28="x"</formula>
    </cfRule>
  </conditionalFormatting>
  <pageMargins left="0.7" right="0.7" top="0.75" bottom="0.75" header="0.3" footer="0.3"/>
  <pageSetup paperSize="9" orientation="landscape" horizontalDpi="0" verticalDpi="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ZiekteFam!$A$38:$A$56</xm:f>
          </x14:formula1>
          <xm:sqref>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Symptomen (alle)</vt:lpstr>
      <vt:lpstr>Symptomen (zichtbaar)</vt:lpstr>
      <vt:lpstr>Symptomen (alle, 3,2,1)</vt:lpstr>
      <vt:lpstr>Symptomen (analyse achteraf)</vt:lpstr>
      <vt:lpstr>Medicatie</vt:lpstr>
      <vt:lpstr>Belang symptomen</vt:lpstr>
      <vt:lpstr>ZiekteFam</vt:lpstr>
      <vt:lpstr>Berekening</vt:lpstr>
      <vt:lpstr>Berekening2</vt:lpstr>
      <vt:lpstr>Berekening2 (2)</vt:lpstr>
      <vt:lpstr>Berekening2 (3)</vt:lpstr>
      <vt:lpstr>Berekening3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Angelique</dc:creator>
  <cp:lastModifiedBy>Sjoerd Scheffer</cp:lastModifiedBy>
  <cp:lastPrinted>2017-06-14T10:32:34Z</cp:lastPrinted>
  <dcterms:created xsi:type="dcterms:W3CDTF">2016-10-24T07:34:27Z</dcterms:created>
  <dcterms:modified xsi:type="dcterms:W3CDTF">2018-01-12T14:32:43Z</dcterms:modified>
</cp:coreProperties>
</file>