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105" windowWidth="15120" windowHeight="8010" firstSheet="16" activeTab="22"/>
  </bookViews>
  <sheets>
    <sheet name="Материалы" sheetId="1" r:id="rId1"/>
    <sheet name="Раскройка" sheetId="2" r:id="rId2"/>
    <sheet name="Покрытия" sheetId="3" r:id="rId3"/>
    <sheet name="Формулы расчета" sheetId="4" r:id="rId4"/>
    <sheet name="Тумба ТВ вариант 2" sheetId="6" state="hidden" r:id="rId5"/>
    <sheet name="Ванная Сына" sheetId="45" r:id="rId6"/>
    <sheet name="Массажная" sheetId="46" r:id="rId7"/>
    <sheet name="Кабинет" sheetId="47" r:id="rId8"/>
    <sheet name="Технический Экран" sheetId="48" r:id="rId9"/>
    <sheet name="Навесной потолок" sheetId="49" r:id="rId10"/>
    <sheet name="Спальня Дочери" sheetId="50" r:id="rId11"/>
    <sheet name="Гардеробная гостевая" sheetId="51" r:id="rId12"/>
    <sheet name="Оконные порталы 3 этаж" sheetId="52" r:id="rId13"/>
    <sheet name="Плинтус" sheetId="53" r:id="rId14"/>
    <sheet name="Дверной Портал" sheetId="54" r:id="rId15"/>
    <sheet name="Оконные порталы 2 Этаж" sheetId="55" r:id="rId16"/>
    <sheet name="Ванная Дочери" sheetId="56" r:id="rId17"/>
    <sheet name="Экраны Радиаторов 2 Этаж" sheetId="57" r:id="rId18"/>
    <sheet name="Главная Ванная 2 Этаж" sheetId="58" r:id="rId19"/>
    <sheet name="Плинтус 2й этаж" sheetId="59" r:id="rId20"/>
    <sheet name="Дверной портал 2й этаж" sheetId="60" r:id="rId21"/>
    <sheet name="Помещение 1.6" sheetId="61" r:id="rId22"/>
    <sheet name="Лист1" sheetId="62" r:id="rId23"/>
  </sheets>
  <externalReferences>
    <externalReference r:id="rId24"/>
    <externalReference r:id="rId25"/>
    <externalReference r:id="rId26"/>
  </externalReferences>
  <calcPr calcId="145621"/>
</workbook>
</file>

<file path=xl/calcChain.xml><?xml version="1.0" encoding="utf-8"?>
<calcChain xmlns="http://schemas.openxmlformats.org/spreadsheetml/2006/main">
  <c r="B1" i="61" l="1"/>
  <c r="L4" i="61"/>
  <c r="R64" i="61"/>
  <c r="Q64" i="61"/>
  <c r="Q64" i="61" a="1"/>
  <c r="E64" i="61"/>
  <c r="R63" i="61"/>
  <c r="Q63" i="61" a="1"/>
  <c r="Q63" i="61" s="1"/>
  <c r="E63" i="61"/>
  <c r="S62" i="61"/>
  <c r="R62" i="61"/>
  <c r="Q62" i="61"/>
  <c r="T62" i="61" s="1"/>
  <c r="H62" i="61" s="1"/>
  <c r="M62" i="61" s="1"/>
  <c r="O62" i="61" s="1"/>
  <c r="Q62" i="61" a="1"/>
  <c r="E62" i="61"/>
  <c r="R60" i="61"/>
  <c r="Q60" i="61" a="1"/>
  <c r="Q60" i="61" s="1"/>
  <c r="E60" i="61"/>
  <c r="R59" i="61"/>
  <c r="Q59" i="61" a="1"/>
  <c r="Q59" i="61" s="1"/>
  <c r="E59" i="61"/>
  <c r="R58" i="61"/>
  <c r="Q58" i="61" a="1"/>
  <c r="Q58" i="61" s="1"/>
  <c r="E58" i="61"/>
  <c r="O3" i="61"/>
  <c r="P3" i="61"/>
  <c r="N3" i="61"/>
  <c r="R56" i="61"/>
  <c r="S56" i="61" s="1"/>
  <c r="Q56" i="61" a="1"/>
  <c r="Q56" i="61" s="1"/>
  <c r="E56" i="61"/>
  <c r="R55" i="61"/>
  <c r="Q55" i="61" a="1"/>
  <c r="Q55" i="61" s="1"/>
  <c r="F55" i="61"/>
  <c r="E55" i="61"/>
  <c r="R54" i="61"/>
  <c r="Q54" i="61" a="1"/>
  <c r="Q54" i="61" s="1"/>
  <c r="F54" i="61"/>
  <c r="E54" i="61"/>
  <c r="C4" i="61"/>
  <c r="D4" i="61" s="1"/>
  <c r="E4" i="61" s="1"/>
  <c r="F4" i="61" s="1"/>
  <c r="G4" i="61" s="1"/>
  <c r="H4" i="61" s="1"/>
  <c r="I4" i="61" s="1"/>
  <c r="J4" i="61" s="1"/>
  <c r="B4" i="61"/>
  <c r="K4" i="61" s="1"/>
  <c r="R27" i="61"/>
  <c r="Q27" i="61" a="1"/>
  <c r="Q27" i="61" s="1"/>
  <c r="E27" i="61"/>
  <c r="R50" i="61"/>
  <c r="S50" i="61" s="1"/>
  <c r="Q50" i="61"/>
  <c r="Q50" i="61" a="1"/>
  <c r="E50" i="61"/>
  <c r="R49" i="61"/>
  <c r="Q49" i="61" a="1"/>
  <c r="Q49" i="61" s="1"/>
  <c r="E49" i="61"/>
  <c r="R28" i="61"/>
  <c r="Q28" i="61" a="1"/>
  <c r="Q28" i="61" s="1"/>
  <c r="F28" i="61"/>
  <c r="E28" i="61"/>
  <c r="R26" i="61"/>
  <c r="Q26" i="61" a="1"/>
  <c r="Q26" i="61" s="1"/>
  <c r="E26" i="61"/>
  <c r="S26" i="61" s="1"/>
  <c r="R25" i="61"/>
  <c r="Q25" i="61" a="1"/>
  <c r="Q25" i="61" s="1"/>
  <c r="E25" i="61"/>
  <c r="R24" i="61"/>
  <c r="Q24" i="61" a="1"/>
  <c r="Q24" i="61" s="1"/>
  <c r="E24" i="61"/>
  <c r="R48" i="61"/>
  <c r="Q48" i="61" a="1"/>
  <c r="Q48" i="61" s="1"/>
  <c r="E48" i="61"/>
  <c r="R47" i="61"/>
  <c r="Q47" i="61" a="1"/>
  <c r="Q47" i="61" s="1"/>
  <c r="E47" i="61"/>
  <c r="S64" i="61" l="1"/>
  <c r="T64" i="61"/>
  <c r="H64" i="61" s="1"/>
  <c r="M64" i="61" s="1"/>
  <c r="O64" i="61" s="1"/>
  <c r="S63" i="61"/>
  <c r="T63" i="61"/>
  <c r="H63" i="61" s="1"/>
  <c r="M63" i="61" s="1"/>
  <c r="O63" i="61" s="1"/>
  <c r="S59" i="61"/>
  <c r="S58" i="61"/>
  <c r="T58" i="61" s="1"/>
  <c r="H58" i="61" s="1"/>
  <c r="M58" i="61" s="1"/>
  <c r="O58" i="61" s="1"/>
  <c r="S60" i="61"/>
  <c r="T60" i="61" s="1"/>
  <c r="H60" i="61" s="1"/>
  <c r="M60" i="61" s="1"/>
  <c r="O60" i="61" s="1"/>
  <c r="T59" i="61"/>
  <c r="H59" i="61" s="1"/>
  <c r="M59" i="61" s="1"/>
  <c r="O59" i="61" s="1"/>
  <c r="S54" i="61"/>
  <c r="S55" i="61"/>
  <c r="T56" i="61"/>
  <c r="H56" i="61" s="1"/>
  <c r="M56" i="61" s="1"/>
  <c r="O56" i="61" s="1"/>
  <c r="T55" i="61"/>
  <c r="H55" i="61" s="1"/>
  <c r="M55" i="61" s="1"/>
  <c r="O55" i="61" s="1"/>
  <c r="T54" i="61"/>
  <c r="H54" i="61"/>
  <c r="M54" i="61" s="1"/>
  <c r="O54" i="61" s="1"/>
  <c r="S27" i="61"/>
  <c r="T27" i="61" s="1"/>
  <c r="H27" i="61" s="1"/>
  <c r="M27" i="61" s="1"/>
  <c r="O27" i="61" s="1"/>
  <c r="T50" i="61"/>
  <c r="H50" i="61" s="1"/>
  <c r="M50" i="61" s="1"/>
  <c r="O50" i="61" s="1"/>
  <c r="S49" i="61"/>
  <c r="T49" i="61" s="1"/>
  <c r="H49" i="61" s="1"/>
  <c r="M49" i="61" s="1"/>
  <c r="O49" i="61" s="1"/>
  <c r="S28" i="61"/>
  <c r="T28" i="61" s="1"/>
  <c r="H28" i="61" s="1"/>
  <c r="M28" i="61" s="1"/>
  <c r="O28" i="61" s="1"/>
  <c r="T26" i="61"/>
  <c r="H26" i="61" s="1"/>
  <c r="M26" i="61" s="1"/>
  <c r="O26" i="61" s="1"/>
  <c r="S25" i="61"/>
  <c r="T25" i="61" s="1"/>
  <c r="H25" i="61" s="1"/>
  <c r="M25" i="61" s="1"/>
  <c r="O25" i="61" s="1"/>
  <c r="S47" i="61"/>
  <c r="S24" i="61"/>
  <c r="T24" i="61" s="1"/>
  <c r="H24" i="61" s="1"/>
  <c r="M24" i="61" s="1"/>
  <c r="O24" i="61" s="1"/>
  <c r="S48" i="61"/>
  <c r="T48" i="61" s="1"/>
  <c r="H48" i="61" s="1"/>
  <c r="M48" i="61" s="1"/>
  <c r="O48" i="61" s="1"/>
  <c r="T47" i="61"/>
  <c r="H47" i="61" s="1"/>
  <c r="M47" i="61" s="1"/>
  <c r="O47" i="61" s="1"/>
  <c r="R46" i="61"/>
  <c r="Q46" i="61" a="1"/>
  <c r="Q46" i="61" s="1"/>
  <c r="E46" i="61"/>
  <c r="R45" i="61"/>
  <c r="Q45" i="61" a="1"/>
  <c r="Q45" i="61" s="1"/>
  <c r="E45" i="61"/>
  <c r="S45" i="61" s="1"/>
  <c r="R44" i="61"/>
  <c r="Q44" i="61" a="1"/>
  <c r="Q44" i="61" s="1"/>
  <c r="E44" i="61"/>
  <c r="R43" i="61"/>
  <c r="Q43" i="61" a="1"/>
  <c r="Q43" i="61" s="1"/>
  <c r="E43" i="61"/>
  <c r="R42" i="61"/>
  <c r="Q42" i="61" a="1"/>
  <c r="Q42" i="61" s="1"/>
  <c r="E42" i="61"/>
  <c r="R41" i="61"/>
  <c r="Q41" i="61" a="1"/>
  <c r="Q41" i="61" s="1"/>
  <c r="E41" i="61"/>
  <c r="R40" i="61"/>
  <c r="Q40" i="61" a="1"/>
  <c r="Q40" i="61" s="1"/>
  <c r="E40" i="61"/>
  <c r="R39" i="61"/>
  <c r="Q39" i="61" a="1"/>
  <c r="Q39" i="61" s="1"/>
  <c r="E39" i="61"/>
  <c r="R38" i="61"/>
  <c r="Q38" i="61" a="1"/>
  <c r="Q38" i="61" s="1"/>
  <c r="E38" i="61"/>
  <c r="S38" i="61" s="1"/>
  <c r="R37" i="61"/>
  <c r="Q37" i="61" a="1"/>
  <c r="Q37" i="61" s="1"/>
  <c r="E37" i="61"/>
  <c r="R36" i="61"/>
  <c r="Q36" i="61" a="1"/>
  <c r="Q36" i="61" s="1"/>
  <c r="E36" i="61"/>
  <c r="R35" i="61"/>
  <c r="Q35" i="61" a="1"/>
  <c r="Q35" i="61" s="1"/>
  <c r="E35" i="61"/>
  <c r="R34" i="61"/>
  <c r="Q34" i="61" a="1"/>
  <c r="Q34" i="61" s="1"/>
  <c r="E34" i="61"/>
  <c r="R33" i="61"/>
  <c r="Q33" i="61" a="1"/>
  <c r="Q33" i="61" s="1"/>
  <c r="E33" i="61"/>
  <c r="R32" i="61"/>
  <c r="Q32" i="61" a="1"/>
  <c r="Q32" i="61" s="1"/>
  <c r="E32" i="61"/>
  <c r="R31" i="61"/>
  <c r="Q31" i="61" a="1"/>
  <c r="Q31" i="61" s="1"/>
  <c r="E31" i="61"/>
  <c r="R30" i="61"/>
  <c r="Q30" i="61" a="1"/>
  <c r="Q30" i="61" s="1"/>
  <c r="E30" i="61"/>
  <c r="R21" i="61"/>
  <c r="Q21" i="61" a="1"/>
  <c r="Q21" i="61" s="1"/>
  <c r="E21" i="61"/>
  <c r="R23" i="61"/>
  <c r="Q23" i="61" a="1"/>
  <c r="Q23" i="61" s="1"/>
  <c r="E23" i="61"/>
  <c r="R22" i="61"/>
  <c r="Q22" i="61" a="1"/>
  <c r="Q22" i="61" s="1"/>
  <c r="E22" i="61"/>
  <c r="R20" i="61"/>
  <c r="Q20" i="61" a="1"/>
  <c r="Q20" i="61" s="1"/>
  <c r="E20" i="61"/>
  <c r="R19" i="61"/>
  <c r="Q19" i="61" a="1"/>
  <c r="Q19" i="61" s="1"/>
  <c r="E19" i="61"/>
  <c r="R18" i="61"/>
  <c r="Q18" i="61" a="1"/>
  <c r="Q18" i="61" s="1"/>
  <c r="E18" i="61"/>
  <c r="R17" i="61"/>
  <c r="Q17" i="61" a="1"/>
  <c r="Q17" i="61" s="1"/>
  <c r="E17" i="61"/>
  <c r="R16" i="61"/>
  <c r="Q16" i="61" a="1"/>
  <c r="Q16" i="61" s="1"/>
  <c r="E16" i="61"/>
  <c r="S20" i="61" l="1"/>
  <c r="S34" i="61"/>
  <c r="T34" i="61" s="1"/>
  <c r="H34" i="61" s="1"/>
  <c r="M34" i="61" s="1"/>
  <c r="O34" i="61" s="1"/>
  <c r="S46" i="61"/>
  <c r="S19" i="61"/>
  <c r="T19" i="61" s="1"/>
  <c r="H19" i="61" s="1"/>
  <c r="M19" i="61" s="1"/>
  <c r="O19" i="61" s="1"/>
  <c r="S30" i="61"/>
  <c r="S42" i="61"/>
  <c r="T42" i="61" s="1"/>
  <c r="H42" i="61" s="1"/>
  <c r="M42" i="61" s="1"/>
  <c r="O42" i="61" s="1"/>
  <c r="S44" i="61"/>
  <c r="S23" i="61"/>
  <c r="T23" i="61" s="1"/>
  <c r="H23" i="61" s="1"/>
  <c r="M23" i="61" s="1"/>
  <c r="O23" i="61" s="1"/>
  <c r="S39" i="61"/>
  <c r="S40" i="61"/>
  <c r="T40" i="61" s="1"/>
  <c r="H40" i="61" s="1"/>
  <c r="M40" i="61" s="1"/>
  <c r="O40" i="61" s="1"/>
  <c r="S16" i="61"/>
  <c r="S35" i="61"/>
  <c r="T35" i="61" s="1"/>
  <c r="H35" i="61" s="1"/>
  <c r="M35" i="61" s="1"/>
  <c r="O35" i="61" s="1"/>
  <c r="S21" i="61"/>
  <c r="T21" i="61" s="1"/>
  <c r="H21" i="61" s="1"/>
  <c r="M21" i="61" s="1"/>
  <c r="O21" i="61" s="1"/>
  <c r="S17" i="61"/>
  <c r="T17" i="61" s="1"/>
  <c r="H17" i="61" s="1"/>
  <c r="M17" i="61" s="1"/>
  <c r="O17" i="61" s="1"/>
  <c r="S36" i="61"/>
  <c r="T36" i="61" s="1"/>
  <c r="H36" i="61" s="1"/>
  <c r="M36" i="61" s="1"/>
  <c r="O36" i="61" s="1"/>
  <c r="S43" i="61"/>
  <c r="T43" i="61" s="1"/>
  <c r="H43" i="61" s="1"/>
  <c r="M43" i="61" s="1"/>
  <c r="O43" i="61" s="1"/>
  <c r="S41" i="61"/>
  <c r="T41" i="61" s="1"/>
  <c r="H41" i="61" s="1"/>
  <c r="M41" i="61" s="1"/>
  <c r="O41" i="61" s="1"/>
  <c r="S32" i="61"/>
  <c r="T32" i="61" s="1"/>
  <c r="H32" i="61" s="1"/>
  <c r="M32" i="61" s="1"/>
  <c r="O32" i="61" s="1"/>
  <c r="S31" i="61"/>
  <c r="T31" i="61" s="1"/>
  <c r="H31" i="61" s="1"/>
  <c r="M31" i="61" s="1"/>
  <c r="O31" i="61" s="1"/>
  <c r="S37" i="61"/>
  <c r="T37" i="61" s="1"/>
  <c r="H37" i="61" s="1"/>
  <c r="M37" i="61" s="1"/>
  <c r="O37" i="61" s="1"/>
  <c r="T38" i="61"/>
  <c r="H38" i="61" s="1"/>
  <c r="M38" i="61" s="1"/>
  <c r="O38" i="61" s="1"/>
  <c r="T39" i="61"/>
  <c r="H39" i="61" s="1"/>
  <c r="M39" i="61" s="1"/>
  <c r="O39" i="61" s="1"/>
  <c r="T46" i="61"/>
  <c r="H46" i="61" s="1"/>
  <c r="M46" i="61" s="1"/>
  <c r="O46" i="61" s="1"/>
  <c r="T30" i="61"/>
  <c r="H30" i="61" s="1"/>
  <c r="M30" i="61" s="1"/>
  <c r="O30" i="61" s="1"/>
  <c r="S33" i="61"/>
  <c r="T33" i="61" s="1"/>
  <c r="H33" i="61" s="1"/>
  <c r="M33" i="61" s="1"/>
  <c r="O33" i="61" s="1"/>
  <c r="T45" i="61"/>
  <c r="H45" i="61" s="1"/>
  <c r="M45" i="61" s="1"/>
  <c r="O45" i="61" s="1"/>
  <c r="T44" i="61"/>
  <c r="H44" i="61" s="1"/>
  <c r="M44" i="61" s="1"/>
  <c r="O44" i="61" s="1"/>
  <c r="S22" i="61"/>
  <c r="T22" i="61" s="1"/>
  <c r="H22" i="61" s="1"/>
  <c r="M22" i="61" s="1"/>
  <c r="O22" i="61" s="1"/>
  <c r="T20" i="61"/>
  <c r="H20" i="61" s="1"/>
  <c r="M20" i="61" s="1"/>
  <c r="O20" i="61" s="1"/>
  <c r="S18" i="61"/>
  <c r="T18" i="61" s="1"/>
  <c r="H18" i="61" s="1"/>
  <c r="M18" i="61" s="1"/>
  <c r="O18" i="61" s="1"/>
  <c r="T16" i="61"/>
  <c r="H16" i="61" s="1"/>
  <c r="M16" i="61" s="1"/>
  <c r="O16" i="61" s="1"/>
  <c r="R15" i="61"/>
  <c r="Q15" i="61" a="1"/>
  <c r="Q15" i="61" s="1"/>
  <c r="E15" i="61"/>
  <c r="R14" i="61"/>
  <c r="Q14" i="61" a="1"/>
  <c r="Q14" i="61" s="1"/>
  <c r="E14" i="61"/>
  <c r="R13" i="61"/>
  <c r="Q13" i="61" a="1"/>
  <c r="Q13" i="61" s="1"/>
  <c r="E13" i="61"/>
  <c r="R12" i="61"/>
  <c r="Q12" i="61" a="1"/>
  <c r="Q12" i="61" s="1"/>
  <c r="E12" i="61"/>
  <c r="R11" i="61"/>
  <c r="Q11" i="61" a="1"/>
  <c r="Q11" i="61" s="1"/>
  <c r="E11" i="61"/>
  <c r="R10" i="61"/>
  <c r="Q10" i="61" a="1"/>
  <c r="Q10" i="61" s="1"/>
  <c r="E10" i="61"/>
  <c r="R9" i="61"/>
  <c r="Q9" i="61" a="1"/>
  <c r="Q9" i="61" s="1"/>
  <c r="E9" i="61"/>
  <c r="R8" i="61"/>
  <c r="Q8" i="61" a="1"/>
  <c r="Q8" i="61" s="1"/>
  <c r="E8" i="61"/>
  <c r="R7" i="61"/>
  <c r="Q7" i="61" a="1"/>
  <c r="Q7" i="61" s="1"/>
  <c r="E7" i="61"/>
  <c r="R51" i="61"/>
  <c r="Q51" i="61" a="1"/>
  <c r="Q51" i="61" s="1"/>
  <c r="F51" i="61"/>
  <c r="E51" i="61"/>
  <c r="S14" i="61" l="1"/>
  <c r="S10" i="61"/>
  <c r="S51" i="61"/>
  <c r="T51" i="61" s="1"/>
  <c r="H51" i="61" s="1"/>
  <c r="M51" i="61" s="1"/>
  <c r="O51" i="61" s="1"/>
  <c r="S13" i="61"/>
  <c r="T13" i="61" s="1"/>
  <c r="H13" i="61" s="1"/>
  <c r="M13" i="61" s="1"/>
  <c r="O13" i="61" s="1"/>
  <c r="S15" i="61"/>
  <c r="T15" i="61" s="1"/>
  <c r="H15" i="61" s="1"/>
  <c r="M15" i="61" s="1"/>
  <c r="O15" i="61" s="1"/>
  <c r="T14" i="61"/>
  <c r="H14" i="61" s="1"/>
  <c r="M14" i="61" s="1"/>
  <c r="O14" i="61" s="1"/>
  <c r="S12" i="61"/>
  <c r="T12" i="61" s="1"/>
  <c r="H12" i="61" s="1"/>
  <c r="M12" i="61" s="1"/>
  <c r="O12" i="61" s="1"/>
  <c r="S11" i="61"/>
  <c r="T11" i="61" s="1"/>
  <c r="H11" i="61" s="1"/>
  <c r="M11" i="61" s="1"/>
  <c r="O11" i="61" s="1"/>
  <c r="S9" i="61"/>
  <c r="T9" i="61" s="1"/>
  <c r="H9" i="61" s="1"/>
  <c r="M9" i="61" s="1"/>
  <c r="O9" i="61" s="1"/>
  <c r="T10" i="61"/>
  <c r="H10" i="61" s="1"/>
  <c r="M10" i="61" s="1"/>
  <c r="O10" i="61" s="1"/>
  <c r="S7" i="61"/>
  <c r="T7" i="61" s="1"/>
  <c r="H7" i="61" s="1"/>
  <c r="M7" i="61" s="1"/>
  <c r="O7" i="61" s="1"/>
  <c r="S8" i="61"/>
  <c r="T8" i="61" s="1"/>
  <c r="H8" i="61" s="1"/>
  <c r="M8" i="61" s="1"/>
  <c r="O8" i="61" s="1"/>
  <c r="R9" i="60"/>
  <c r="Q9" i="60" a="1"/>
  <c r="Q9" i="60" s="1"/>
  <c r="E9" i="60"/>
  <c r="S9" i="60" s="1"/>
  <c r="R8" i="60"/>
  <c r="Q8" i="60"/>
  <c r="T8" i="60" s="1"/>
  <c r="H8" i="60" s="1"/>
  <c r="M8" i="60" s="1"/>
  <c r="O8" i="60" s="1"/>
  <c r="Q8" i="60" a="1"/>
  <c r="F8" i="60"/>
  <c r="E8" i="60"/>
  <c r="S8" i="60" s="1"/>
  <c r="R7" i="60"/>
  <c r="Q7" i="60" a="1"/>
  <c r="Q7" i="60" s="1"/>
  <c r="E7" i="60"/>
  <c r="S7" i="60" s="1"/>
  <c r="R6" i="60"/>
  <c r="Q6" i="60"/>
  <c r="T6" i="60" s="1"/>
  <c r="H6" i="60" s="1"/>
  <c r="M6" i="60" s="1"/>
  <c r="O6" i="60" s="1"/>
  <c r="Q6" i="60" a="1"/>
  <c r="F6" i="60"/>
  <c r="E6" i="60"/>
  <c r="S6" i="60" s="1"/>
  <c r="E2" i="55"/>
  <c r="C3" i="55"/>
  <c r="D3" i="55" s="1"/>
  <c r="R14" i="55"/>
  <c r="Q14" i="55" a="1"/>
  <c r="Q14" i="55" s="1"/>
  <c r="E14" i="55"/>
  <c r="S14" i="55" s="1"/>
  <c r="R13" i="55"/>
  <c r="Q13" i="55"/>
  <c r="Q13" i="55" a="1"/>
  <c r="F13" i="55"/>
  <c r="E13" i="55"/>
  <c r="S13" i="55" s="1"/>
  <c r="S12" i="55"/>
  <c r="R12" i="55"/>
  <c r="Q12" i="55" a="1"/>
  <c r="Q12" i="55" s="1"/>
  <c r="E12" i="55"/>
  <c r="R11" i="55"/>
  <c r="Q11" i="55" a="1"/>
  <c r="Q11" i="55" s="1"/>
  <c r="F11" i="55"/>
  <c r="E11" i="55"/>
  <c r="S11" i="55" s="1"/>
  <c r="C2" i="59"/>
  <c r="C3" i="59"/>
  <c r="M7" i="59"/>
  <c r="R18" i="59"/>
  <c r="U18" i="59" s="1"/>
  <c r="Q18" i="59" a="1"/>
  <c r="Q18" i="59" s="1"/>
  <c r="E18" i="59"/>
  <c r="R17" i="59"/>
  <c r="U17" i="59" s="1"/>
  <c r="Q17" i="59" a="1"/>
  <c r="Q17" i="59" s="1"/>
  <c r="E17" i="59"/>
  <c r="R15" i="59"/>
  <c r="T15" i="59" s="1"/>
  <c r="Q15" i="59" a="1"/>
  <c r="Q15" i="59" s="1"/>
  <c r="E15" i="59"/>
  <c r="R14" i="59"/>
  <c r="U14" i="59" s="1"/>
  <c r="Q14" i="59" a="1"/>
  <c r="Q14" i="59" s="1"/>
  <c r="F14" i="59"/>
  <c r="E14" i="59"/>
  <c r="R13" i="59"/>
  <c r="T13" i="59" s="1"/>
  <c r="Q13" i="59" a="1"/>
  <c r="Q13" i="59" s="1"/>
  <c r="F13" i="59"/>
  <c r="E13" i="59"/>
  <c r="R16" i="59"/>
  <c r="U16" i="59" s="1"/>
  <c r="Q16" i="59" a="1"/>
  <c r="Q16" i="59" s="1"/>
  <c r="E16" i="59"/>
  <c r="R12" i="59"/>
  <c r="U12" i="59" s="1"/>
  <c r="Q12" i="59" a="1"/>
  <c r="Q12" i="59" s="1"/>
  <c r="F12" i="59"/>
  <c r="E12" i="59"/>
  <c r="R11" i="59"/>
  <c r="U11" i="59" s="1"/>
  <c r="Q11" i="59" a="1"/>
  <c r="Q11" i="59" s="1"/>
  <c r="F11" i="59"/>
  <c r="E11" i="59"/>
  <c r="R9" i="59"/>
  <c r="U9" i="59" s="1"/>
  <c r="Q9" i="59" a="1"/>
  <c r="Q9" i="59" s="1"/>
  <c r="E9" i="59"/>
  <c r="R8" i="59"/>
  <c r="T8" i="59" s="1"/>
  <c r="Q8" i="59"/>
  <c r="Q8" i="59" a="1"/>
  <c r="F8" i="59"/>
  <c r="E8" i="59"/>
  <c r="R7" i="59"/>
  <c r="T7" i="59" s="1"/>
  <c r="Q7" i="59" a="1"/>
  <c r="Q7" i="59" s="1"/>
  <c r="F7" i="59"/>
  <c r="E7" i="59"/>
  <c r="T7" i="60" l="1"/>
  <c r="H7" i="60" s="1"/>
  <c r="M7" i="60" s="1"/>
  <c r="O7" i="60" s="1"/>
  <c r="C2" i="60" s="1"/>
  <c r="D2" i="60" s="1"/>
  <c r="T9" i="60"/>
  <c r="H9" i="60"/>
  <c r="M9" i="60"/>
  <c r="O9" i="60" s="1"/>
  <c r="T12" i="55"/>
  <c r="H12" i="55" s="1"/>
  <c r="M12" i="55" s="1"/>
  <c r="O12" i="55" s="1"/>
  <c r="H11" i="55"/>
  <c r="M11" i="55" s="1"/>
  <c r="O11" i="55" s="1"/>
  <c r="T11" i="55"/>
  <c r="T14" i="55"/>
  <c r="H14" i="55"/>
  <c r="M14" i="55" s="1"/>
  <c r="O14" i="55" s="1"/>
  <c r="T13" i="55"/>
  <c r="H13" i="55" s="1"/>
  <c r="M13" i="55" s="1"/>
  <c r="O13" i="55" s="1"/>
  <c r="T12" i="59"/>
  <c r="U13" i="59"/>
  <c r="V18" i="59"/>
  <c r="H18" i="59" s="1"/>
  <c r="M18" i="59" s="1"/>
  <c r="T18" i="59"/>
  <c r="V17" i="59"/>
  <c r="H17" i="59"/>
  <c r="M17" i="59" s="1"/>
  <c r="T17" i="59"/>
  <c r="V15" i="59"/>
  <c r="H15" i="59" s="1"/>
  <c r="M15" i="59" s="1"/>
  <c r="U15" i="59"/>
  <c r="V13" i="59"/>
  <c r="H13" i="59" s="1"/>
  <c r="M13" i="59" s="1"/>
  <c r="V14" i="59"/>
  <c r="H14" i="59" s="1"/>
  <c r="M14" i="59" s="1"/>
  <c r="T14" i="59"/>
  <c r="V12" i="59"/>
  <c r="H12" i="59" s="1"/>
  <c r="M12" i="59" s="1"/>
  <c r="V16" i="59"/>
  <c r="H16" i="59" s="1"/>
  <c r="M16" i="59" s="1"/>
  <c r="V11" i="59"/>
  <c r="H11" i="59" s="1"/>
  <c r="M11" i="59" s="1"/>
  <c r="T16" i="59"/>
  <c r="T11" i="59"/>
  <c r="V9" i="59"/>
  <c r="H9" i="59"/>
  <c r="M9" i="59" s="1"/>
  <c r="U8" i="59"/>
  <c r="V8" i="59" s="1"/>
  <c r="H8" i="59" s="1"/>
  <c r="M8" i="59" s="1"/>
  <c r="T9" i="59"/>
  <c r="U7" i="59"/>
  <c r="V7" i="59" s="1"/>
  <c r="H7" i="59" s="1"/>
  <c r="H3" i="57"/>
  <c r="G3" i="57"/>
  <c r="F3" i="57"/>
  <c r="E3" i="57"/>
  <c r="D3" i="57"/>
  <c r="B89" i="57"/>
  <c r="E89" i="57" s="1"/>
  <c r="S89" i="57" s="1"/>
  <c r="B88" i="57"/>
  <c r="R89" i="57"/>
  <c r="Q89" i="57"/>
  <c r="Q89" i="57" a="1"/>
  <c r="Q88" i="57" a="1"/>
  <c r="Q88" i="57" s="1"/>
  <c r="R88" i="57"/>
  <c r="R87" i="57"/>
  <c r="Q87" i="57"/>
  <c r="Q87" i="57" a="1"/>
  <c r="E87" i="57"/>
  <c r="S87" i="57" s="1"/>
  <c r="R86" i="57"/>
  <c r="Q86" i="57"/>
  <c r="Q86" i="57" a="1"/>
  <c r="E86" i="57"/>
  <c r="B76" i="57"/>
  <c r="E76" i="57" s="1"/>
  <c r="S76" i="57" s="1"/>
  <c r="B75" i="57"/>
  <c r="R76" i="57"/>
  <c r="Q76" i="57"/>
  <c r="Q76" i="57" a="1"/>
  <c r="Q75" i="57" a="1"/>
  <c r="Q75" i="57" s="1"/>
  <c r="R75" i="57"/>
  <c r="R74" i="57"/>
  <c r="Q74" i="57"/>
  <c r="Q74" i="57" a="1"/>
  <c r="E74" i="57"/>
  <c r="S74" i="57" s="1"/>
  <c r="R73" i="57"/>
  <c r="Q73" i="57"/>
  <c r="Q73" i="57" a="1"/>
  <c r="E73" i="57"/>
  <c r="B63" i="57"/>
  <c r="R63" i="57" s="1"/>
  <c r="B62" i="57"/>
  <c r="Q63" i="57" a="1"/>
  <c r="Q63" i="57" s="1"/>
  <c r="E63" i="57"/>
  <c r="R62" i="57"/>
  <c r="Q62" i="57" a="1"/>
  <c r="Q62" i="57" s="1"/>
  <c r="E62" i="57"/>
  <c r="R61" i="57"/>
  <c r="Q61" i="57" a="1"/>
  <c r="Q61" i="57" s="1"/>
  <c r="E61" i="57"/>
  <c r="R60" i="57"/>
  <c r="S60" i="57" s="1"/>
  <c r="Q60" i="57"/>
  <c r="T60" i="57" s="1"/>
  <c r="H60" i="57" s="1"/>
  <c r="M60" i="57" s="1"/>
  <c r="O60" i="57" s="1"/>
  <c r="Q60" i="57" a="1"/>
  <c r="E60" i="57"/>
  <c r="B50" i="57"/>
  <c r="E50" i="57" s="1"/>
  <c r="B49" i="57"/>
  <c r="R49" i="57" s="1"/>
  <c r="Q50" i="57" a="1"/>
  <c r="Q50" i="57" s="1"/>
  <c r="Q49" i="57" a="1"/>
  <c r="Q49" i="57" s="1"/>
  <c r="R48" i="57"/>
  <c r="Q48" i="57"/>
  <c r="Q48" i="57" a="1"/>
  <c r="E48" i="57"/>
  <c r="R47" i="57"/>
  <c r="S47" i="57" s="1"/>
  <c r="Q47" i="57"/>
  <c r="Q47" i="57" a="1"/>
  <c r="E47" i="57"/>
  <c r="Q37" i="57" a="1"/>
  <c r="Q37" i="57" s="1"/>
  <c r="B37" i="57"/>
  <c r="R37" i="57" s="1"/>
  <c r="Q36" i="57" a="1"/>
  <c r="Q36" i="57" s="1"/>
  <c r="B36" i="57"/>
  <c r="E36" i="57" s="1"/>
  <c r="R35" i="57"/>
  <c r="Q35" i="57" a="1"/>
  <c r="Q35" i="57" s="1"/>
  <c r="E35" i="57"/>
  <c r="S35" i="57" s="1"/>
  <c r="R34" i="57"/>
  <c r="Q34" i="57" a="1"/>
  <c r="Q34" i="57" s="1"/>
  <c r="E34" i="57"/>
  <c r="D3" i="59" l="1"/>
  <c r="D2" i="59"/>
  <c r="T86" i="57"/>
  <c r="H86" i="57" s="1"/>
  <c r="M86" i="57" s="1"/>
  <c r="O86" i="57" s="1"/>
  <c r="T87" i="57"/>
  <c r="H87" i="57" s="1"/>
  <c r="M87" i="57" s="1"/>
  <c r="O87" i="57" s="1"/>
  <c r="S86" i="57"/>
  <c r="T89" i="57"/>
  <c r="H89" i="57" s="1"/>
  <c r="M89" i="57" s="1"/>
  <c r="O89" i="57" s="1"/>
  <c r="E88" i="57"/>
  <c r="T74" i="57"/>
  <c r="H74" i="57" s="1"/>
  <c r="S73" i="57"/>
  <c r="T73" i="57" s="1"/>
  <c r="H73" i="57" s="1"/>
  <c r="M73" i="57" s="1"/>
  <c r="O73" i="57" s="1"/>
  <c r="T76" i="57"/>
  <c r="H76" i="57" s="1"/>
  <c r="M76" i="57" s="1"/>
  <c r="O76" i="57" s="1"/>
  <c r="M74" i="57"/>
  <c r="O74" i="57" s="1"/>
  <c r="E75" i="57"/>
  <c r="S61" i="57"/>
  <c r="S63" i="57"/>
  <c r="T61" i="57"/>
  <c r="H61" i="57" s="1"/>
  <c r="M61" i="57" s="1"/>
  <c r="O61" i="57" s="1"/>
  <c r="S62" i="57"/>
  <c r="T62" i="57" s="1"/>
  <c r="H62" i="57" s="1"/>
  <c r="M62" i="57" s="1"/>
  <c r="O62" i="57" s="1"/>
  <c r="T63" i="57"/>
  <c r="H63" i="57" s="1"/>
  <c r="M63" i="57" s="1"/>
  <c r="O63" i="57" s="1"/>
  <c r="S34" i="57"/>
  <c r="S48" i="57"/>
  <c r="T48" i="57" s="1"/>
  <c r="H48" i="57" s="1"/>
  <c r="M48" i="57" s="1"/>
  <c r="O48" i="57" s="1"/>
  <c r="R50" i="57"/>
  <c r="S50" i="57" s="1"/>
  <c r="T50" i="57" s="1"/>
  <c r="H50" i="57" s="1"/>
  <c r="M50" i="57" s="1"/>
  <c r="O50" i="57" s="1"/>
  <c r="T47" i="57"/>
  <c r="H47" i="57" s="1"/>
  <c r="M47" i="57" s="1"/>
  <c r="O47" i="57" s="1"/>
  <c r="E49" i="57"/>
  <c r="E37" i="57"/>
  <c r="T34" i="57"/>
  <c r="H34" i="57" s="1"/>
  <c r="M34" i="57" s="1"/>
  <c r="O34" i="57" s="1"/>
  <c r="S37" i="57"/>
  <c r="T37" i="57" s="1"/>
  <c r="H37" i="57" s="1"/>
  <c r="M37" i="57" s="1"/>
  <c r="O37" i="57" s="1"/>
  <c r="R36" i="57"/>
  <c r="S36" i="57" s="1"/>
  <c r="T36" i="57" s="1"/>
  <c r="H36" i="57" s="1"/>
  <c r="M36" i="57" s="1"/>
  <c r="O36" i="57" s="1"/>
  <c r="T35" i="57"/>
  <c r="H35" i="57" s="1"/>
  <c r="M35" i="57" s="1"/>
  <c r="O35" i="57" s="1"/>
  <c r="R159" i="58"/>
  <c r="Q159" i="58" a="1"/>
  <c r="Q159" i="58" s="1"/>
  <c r="E159" i="58"/>
  <c r="S159" i="58" s="1"/>
  <c r="S158" i="58"/>
  <c r="R158" i="58"/>
  <c r="Q158" i="58" a="1"/>
  <c r="Q158" i="58" s="1"/>
  <c r="E158" i="58"/>
  <c r="R157" i="58"/>
  <c r="Q157" i="58" a="1"/>
  <c r="Q157" i="58" s="1"/>
  <c r="E157" i="58"/>
  <c r="R156" i="58"/>
  <c r="Q156" i="58" a="1"/>
  <c r="Q156" i="58" s="1"/>
  <c r="E156" i="58"/>
  <c r="R155" i="58"/>
  <c r="Q155" i="58" a="1"/>
  <c r="Q155" i="58" s="1"/>
  <c r="E155" i="58"/>
  <c r="S155" i="58" s="1"/>
  <c r="R154" i="58"/>
  <c r="Q154" i="58" a="1"/>
  <c r="Q154" i="58" s="1"/>
  <c r="E154" i="58"/>
  <c r="S154" i="58" s="1"/>
  <c r="R169" i="58"/>
  <c r="Q169" i="58" a="1"/>
  <c r="Q169" i="58" s="1"/>
  <c r="E169" i="58"/>
  <c r="R168" i="58"/>
  <c r="Q168" i="58" a="1"/>
  <c r="Q168" i="58" s="1"/>
  <c r="E168" i="58"/>
  <c r="R167" i="58"/>
  <c r="Q167" i="58" a="1"/>
  <c r="Q167" i="58" s="1"/>
  <c r="E167" i="58"/>
  <c r="R166" i="58"/>
  <c r="Q166" i="58" a="1"/>
  <c r="Q166" i="58" s="1"/>
  <c r="E166" i="58"/>
  <c r="R165" i="58"/>
  <c r="Q165" i="58" a="1"/>
  <c r="Q165" i="58" s="1"/>
  <c r="F165" i="58"/>
  <c r="E165" i="58"/>
  <c r="R164" i="58"/>
  <c r="Q164" i="58" a="1"/>
  <c r="Q164" i="58" s="1"/>
  <c r="F164" i="58"/>
  <c r="E164" i="58"/>
  <c r="R163" i="58"/>
  <c r="Q163" i="58" a="1"/>
  <c r="Q163" i="58" s="1"/>
  <c r="E163" i="58"/>
  <c r="R162" i="58"/>
  <c r="Q162" i="58" a="1"/>
  <c r="Q162" i="58" s="1"/>
  <c r="E162" i="58"/>
  <c r="R151" i="58"/>
  <c r="Q151" i="58"/>
  <c r="Q151" i="58" a="1"/>
  <c r="E151" i="58"/>
  <c r="R150" i="58"/>
  <c r="Q150" i="58"/>
  <c r="Q150" i="58" a="1"/>
  <c r="E150" i="58"/>
  <c r="R149" i="58"/>
  <c r="Q149" i="58" a="1"/>
  <c r="Q149" i="58" s="1"/>
  <c r="E149" i="58"/>
  <c r="R148" i="58"/>
  <c r="Q148" i="58" a="1"/>
  <c r="Q148" i="58" s="1"/>
  <c r="E148" i="58"/>
  <c r="S148" i="58" s="1"/>
  <c r="R147" i="58"/>
  <c r="Q147" i="58" a="1"/>
  <c r="Q147" i="58" s="1"/>
  <c r="F147" i="58"/>
  <c r="E147" i="58"/>
  <c r="S147" i="58" s="1"/>
  <c r="R146" i="58"/>
  <c r="Q146" i="58" a="1"/>
  <c r="Q146" i="58" s="1"/>
  <c r="F146" i="58"/>
  <c r="E146" i="58"/>
  <c r="R145" i="58"/>
  <c r="Q145" i="58" a="1"/>
  <c r="Q145" i="58" s="1"/>
  <c r="E145" i="58"/>
  <c r="S145" i="58" s="1"/>
  <c r="R144" i="58"/>
  <c r="Q144" i="58" a="1"/>
  <c r="Q144" i="58" s="1"/>
  <c r="E144" i="58"/>
  <c r="R143" i="58"/>
  <c r="Q143" i="58" a="1"/>
  <c r="Q143" i="58" s="1"/>
  <c r="E143" i="58"/>
  <c r="R142" i="58"/>
  <c r="Q142" i="58" a="1"/>
  <c r="Q142" i="58" s="1"/>
  <c r="E142" i="58"/>
  <c r="S142" i="58" s="1"/>
  <c r="R141" i="58"/>
  <c r="Q141" i="58" a="1"/>
  <c r="Q141" i="58" s="1"/>
  <c r="E141" i="58"/>
  <c r="R140" i="58"/>
  <c r="S140" i="58" s="1"/>
  <c r="Q140" i="58"/>
  <c r="Q140" i="58" a="1"/>
  <c r="E140" i="58"/>
  <c r="R139" i="58"/>
  <c r="Q139" i="58" a="1"/>
  <c r="Q139" i="58" s="1"/>
  <c r="F139" i="58"/>
  <c r="E139" i="58"/>
  <c r="R138" i="58"/>
  <c r="Q138" i="58" a="1"/>
  <c r="Q138" i="58" s="1"/>
  <c r="F138" i="58"/>
  <c r="E138" i="58"/>
  <c r="R137" i="58"/>
  <c r="S137" i="58" s="1"/>
  <c r="Q137" i="58" a="1"/>
  <c r="Q137" i="58" s="1"/>
  <c r="E137" i="58"/>
  <c r="R136" i="58"/>
  <c r="Q136" i="58" a="1"/>
  <c r="Q136" i="58" s="1"/>
  <c r="E136" i="58"/>
  <c r="S136" i="58" s="1"/>
  <c r="R133" i="58"/>
  <c r="Q133" i="58" a="1"/>
  <c r="Q133" i="58" s="1"/>
  <c r="E133" i="58"/>
  <c r="R132" i="58"/>
  <c r="Q132" i="58" a="1"/>
  <c r="Q132" i="58" s="1"/>
  <c r="E132" i="58"/>
  <c r="R131" i="58"/>
  <c r="Q131" i="58" a="1"/>
  <c r="Q131" i="58" s="1"/>
  <c r="E131" i="58"/>
  <c r="S131" i="58" s="1"/>
  <c r="R130" i="58"/>
  <c r="Q130" i="58" a="1"/>
  <c r="Q130" i="58" s="1"/>
  <c r="E130" i="58"/>
  <c r="S130" i="58" s="1"/>
  <c r="R129" i="58"/>
  <c r="Q129" i="58"/>
  <c r="Q129" i="58" a="1"/>
  <c r="F129" i="58"/>
  <c r="E129" i="58"/>
  <c r="S129" i="58" s="1"/>
  <c r="R128" i="58"/>
  <c r="Q128" i="58" a="1"/>
  <c r="Q128" i="58" s="1"/>
  <c r="F128" i="58"/>
  <c r="E128" i="58"/>
  <c r="R127" i="58"/>
  <c r="Q127" i="58" a="1"/>
  <c r="Q127" i="58" s="1"/>
  <c r="E127" i="58"/>
  <c r="R126" i="58"/>
  <c r="Q126" i="58" a="1"/>
  <c r="Q126" i="58" s="1"/>
  <c r="E126" i="58"/>
  <c r="R123" i="58"/>
  <c r="Q123" i="58" a="1"/>
  <c r="Q123" i="58" s="1"/>
  <c r="E123" i="58"/>
  <c r="R122" i="58"/>
  <c r="Q122" i="58" a="1"/>
  <c r="Q122" i="58" s="1"/>
  <c r="E122" i="58"/>
  <c r="R121" i="58"/>
  <c r="Q121" i="58" a="1"/>
  <c r="Q121" i="58" s="1"/>
  <c r="E121" i="58"/>
  <c r="R120" i="58"/>
  <c r="Q120" i="58" a="1"/>
  <c r="Q120" i="58" s="1"/>
  <c r="E120" i="58"/>
  <c r="R119" i="58"/>
  <c r="Q119" i="58" a="1"/>
  <c r="Q119" i="58" s="1"/>
  <c r="F119" i="58"/>
  <c r="E119" i="58"/>
  <c r="R118" i="58"/>
  <c r="Q118" i="58" a="1"/>
  <c r="Q118" i="58" s="1"/>
  <c r="F118" i="58"/>
  <c r="E118" i="58"/>
  <c r="S118" i="58" s="1"/>
  <c r="R117" i="58"/>
  <c r="Q117" i="58" a="1"/>
  <c r="Q117" i="58" s="1"/>
  <c r="E117" i="58"/>
  <c r="R116" i="58"/>
  <c r="Q116" i="58" a="1"/>
  <c r="Q116" i="58" s="1"/>
  <c r="E116" i="58"/>
  <c r="S116" i="58" s="1"/>
  <c r="R112" i="58"/>
  <c r="Q112" i="58" a="1"/>
  <c r="Q112" i="58" s="1"/>
  <c r="E112" i="58"/>
  <c r="R111" i="58"/>
  <c r="Q111" i="58" a="1"/>
  <c r="Q111" i="58" s="1"/>
  <c r="E111" i="58"/>
  <c r="R110" i="58"/>
  <c r="Q110" i="58" a="1"/>
  <c r="Q110" i="58" s="1"/>
  <c r="E110" i="58"/>
  <c r="R109" i="58"/>
  <c r="Q109" i="58" a="1"/>
  <c r="Q109" i="58" s="1"/>
  <c r="E109" i="58"/>
  <c r="R108" i="58"/>
  <c r="Q108" i="58" a="1"/>
  <c r="Q108" i="58" s="1"/>
  <c r="F108" i="58"/>
  <c r="E108" i="58"/>
  <c r="S108" i="58" s="1"/>
  <c r="R107" i="58"/>
  <c r="Q107" i="58" a="1"/>
  <c r="Q107" i="58" s="1"/>
  <c r="F107" i="58"/>
  <c r="E107" i="58"/>
  <c r="R106" i="58"/>
  <c r="S106" i="58" s="1"/>
  <c r="Q106" i="58"/>
  <c r="Q106" i="58" a="1"/>
  <c r="E106" i="58"/>
  <c r="R105" i="58"/>
  <c r="Q105" i="58" a="1"/>
  <c r="Q105" i="58" s="1"/>
  <c r="E105" i="58"/>
  <c r="R102" i="58"/>
  <c r="Q102" i="58" a="1"/>
  <c r="Q102" i="58" s="1"/>
  <c r="E102" i="58"/>
  <c r="R101" i="58"/>
  <c r="Q101" i="58" a="1"/>
  <c r="Q101" i="58" s="1"/>
  <c r="E101" i="58"/>
  <c r="R100" i="58"/>
  <c r="Q100" i="58" a="1"/>
  <c r="Q100" i="58" s="1"/>
  <c r="E100" i="58"/>
  <c r="S100" i="58" s="1"/>
  <c r="R99" i="58"/>
  <c r="Q99" i="58" a="1"/>
  <c r="Q99" i="58" s="1"/>
  <c r="E99" i="58"/>
  <c r="R98" i="58"/>
  <c r="Q98" i="58"/>
  <c r="Q98" i="58" a="1"/>
  <c r="F98" i="58"/>
  <c r="E98" i="58"/>
  <c r="R97" i="58"/>
  <c r="Q97" i="58" a="1"/>
  <c r="Q97" i="58" s="1"/>
  <c r="F97" i="58"/>
  <c r="E97" i="58"/>
  <c r="R96" i="58"/>
  <c r="S96" i="58" s="1"/>
  <c r="Q96" i="58"/>
  <c r="Q96" i="58" a="1"/>
  <c r="E96" i="58"/>
  <c r="R95" i="58"/>
  <c r="S95" i="58" s="1"/>
  <c r="Q95" i="58" a="1"/>
  <c r="Q95" i="58" s="1"/>
  <c r="E95" i="58"/>
  <c r="C91" i="58"/>
  <c r="E91" i="58" s="1"/>
  <c r="R92" i="58"/>
  <c r="Q92" i="58" a="1"/>
  <c r="Q92" i="58" s="1"/>
  <c r="E92" i="58"/>
  <c r="R91" i="58"/>
  <c r="Q91" i="58"/>
  <c r="Q91" i="58" a="1"/>
  <c r="R88" i="58"/>
  <c r="Q88" i="58" a="1"/>
  <c r="Q88" i="58" s="1"/>
  <c r="E88" i="58"/>
  <c r="R87" i="58"/>
  <c r="Q87" i="58" a="1"/>
  <c r="Q87" i="58" s="1"/>
  <c r="E87" i="58"/>
  <c r="R86" i="58"/>
  <c r="Q86" i="58" a="1"/>
  <c r="Q86" i="58" s="1"/>
  <c r="E86" i="58"/>
  <c r="S86" i="58" s="1"/>
  <c r="R85" i="58"/>
  <c r="Q85" i="58" a="1"/>
  <c r="Q85" i="58" s="1"/>
  <c r="E85" i="58"/>
  <c r="R84" i="58"/>
  <c r="Q84" i="58"/>
  <c r="Q84" i="58" a="1"/>
  <c r="F84" i="58"/>
  <c r="E84" i="58"/>
  <c r="S84" i="58" s="1"/>
  <c r="R83" i="58"/>
  <c r="Q83" i="58"/>
  <c r="Q83" i="58" a="1"/>
  <c r="F83" i="58"/>
  <c r="E83" i="58"/>
  <c r="R82" i="58"/>
  <c r="Q82" i="58" a="1"/>
  <c r="Q82" i="58" s="1"/>
  <c r="E82" i="58"/>
  <c r="R81" i="58"/>
  <c r="Q81" i="58"/>
  <c r="Q81" i="58" a="1"/>
  <c r="E81" i="58"/>
  <c r="B7" i="58"/>
  <c r="C76" i="58"/>
  <c r="E76" i="58" s="1"/>
  <c r="R78" i="58"/>
  <c r="Q78" i="58" a="1"/>
  <c r="Q78" i="58" s="1"/>
  <c r="E78" i="58"/>
  <c r="R77" i="58"/>
  <c r="Q77" i="58" a="1"/>
  <c r="Q77" i="58" s="1"/>
  <c r="E77" i="58"/>
  <c r="Q76" i="58" a="1"/>
  <c r="Q76" i="58" s="1"/>
  <c r="F76" i="58"/>
  <c r="R73" i="58"/>
  <c r="S73" i="58" s="1"/>
  <c r="Q73" i="58" a="1"/>
  <c r="Q73" i="58" s="1"/>
  <c r="E73" i="58"/>
  <c r="R72" i="58"/>
  <c r="S72" i="58" s="1"/>
  <c r="Q72" i="58" a="1"/>
  <c r="Q72" i="58" s="1"/>
  <c r="E72" i="58"/>
  <c r="R71" i="58"/>
  <c r="Q71" i="58" a="1"/>
  <c r="Q71" i="58" s="1"/>
  <c r="E71" i="58"/>
  <c r="S71" i="58" s="1"/>
  <c r="R63" i="58"/>
  <c r="Q63" i="58"/>
  <c r="Q63" i="58" a="1"/>
  <c r="E63" i="58"/>
  <c r="R62" i="58"/>
  <c r="S62" i="58" s="1"/>
  <c r="Q62" i="58" a="1"/>
  <c r="Q62" i="58" s="1"/>
  <c r="E62" i="58"/>
  <c r="R61" i="58"/>
  <c r="S61" i="58" s="1"/>
  <c r="Q61" i="58" a="1"/>
  <c r="Q61" i="58" s="1"/>
  <c r="E61" i="58"/>
  <c r="R55" i="58"/>
  <c r="S55" i="58" s="1"/>
  <c r="Q55" i="58" a="1"/>
  <c r="Q55" i="58" s="1"/>
  <c r="E55" i="58"/>
  <c r="R54" i="58"/>
  <c r="Q54" i="58" a="1"/>
  <c r="Q54" i="58" s="1"/>
  <c r="E54" i="58"/>
  <c r="S54" i="58" s="1"/>
  <c r="R53" i="58"/>
  <c r="Q53" i="58" a="1"/>
  <c r="Q53" i="58" s="1"/>
  <c r="E53" i="58"/>
  <c r="S53" i="58" s="1"/>
  <c r="R47" i="58"/>
  <c r="Q47" i="58" a="1"/>
  <c r="Q47" i="58" s="1"/>
  <c r="E47" i="58"/>
  <c r="R46" i="58"/>
  <c r="Q46" i="58" a="1"/>
  <c r="Q46" i="58" s="1"/>
  <c r="E46" i="58"/>
  <c r="Q45" i="58" a="1"/>
  <c r="Q45" i="58" s="1"/>
  <c r="B45" i="58"/>
  <c r="R45" i="58" s="1"/>
  <c r="R44" i="58"/>
  <c r="Q44" i="58" a="1"/>
  <c r="Q44" i="58" s="1"/>
  <c r="E44" i="58"/>
  <c r="S44" i="58" s="1"/>
  <c r="B44" i="58"/>
  <c r="R43" i="58"/>
  <c r="S43" i="58" s="1"/>
  <c r="Q43" i="58" a="1"/>
  <c r="Q43" i="58" s="1"/>
  <c r="E43" i="58"/>
  <c r="R42" i="58"/>
  <c r="Q42" i="58" a="1"/>
  <c r="Q42" i="58" s="1"/>
  <c r="E42" i="58"/>
  <c r="S42" i="58" s="1"/>
  <c r="R41" i="58"/>
  <c r="Q41" i="58" a="1"/>
  <c r="Q41" i="58" s="1"/>
  <c r="E41" i="58"/>
  <c r="S41" i="58" s="1"/>
  <c r="R40" i="58"/>
  <c r="S40" i="58" s="1"/>
  <c r="Q40" i="58" a="1"/>
  <c r="Q40" i="58" s="1"/>
  <c r="E40" i="58"/>
  <c r="R39" i="58"/>
  <c r="S39" i="58" s="1"/>
  <c r="Q39" i="58" a="1"/>
  <c r="Q39" i="58" s="1"/>
  <c r="E39" i="58"/>
  <c r="R38" i="58"/>
  <c r="Q38" i="58" a="1"/>
  <c r="Q38" i="58" s="1"/>
  <c r="E38" i="58"/>
  <c r="R23" i="58"/>
  <c r="Q23" i="58" a="1"/>
  <c r="Q23" i="58" s="1"/>
  <c r="E23" i="58"/>
  <c r="R22" i="58"/>
  <c r="Q22" i="58" a="1"/>
  <c r="Q22" i="58" s="1"/>
  <c r="E22" i="58"/>
  <c r="R21" i="58"/>
  <c r="Q21" i="58" a="1"/>
  <c r="Q21" i="58" s="1"/>
  <c r="E21" i="58"/>
  <c r="R20" i="58"/>
  <c r="Q20" i="58" a="1"/>
  <c r="Q20" i="58" s="1"/>
  <c r="E20" i="58"/>
  <c r="B69" i="58"/>
  <c r="F69" i="58"/>
  <c r="B68" i="58"/>
  <c r="E68" i="58" s="1"/>
  <c r="R70" i="58"/>
  <c r="Q70" i="58" a="1"/>
  <c r="Q70" i="58" s="1"/>
  <c r="E70" i="58"/>
  <c r="R69" i="58"/>
  <c r="Q69" i="58" a="1"/>
  <c r="Q69" i="58" s="1"/>
  <c r="E69" i="58"/>
  <c r="Q68" i="58" a="1"/>
  <c r="Q68" i="58" s="1"/>
  <c r="R67" i="58"/>
  <c r="Q67" i="58" a="1"/>
  <c r="Q67" i="58" s="1"/>
  <c r="E67" i="58"/>
  <c r="R66" i="58"/>
  <c r="Q66" i="58" a="1"/>
  <c r="Q66" i="58" s="1"/>
  <c r="E66" i="58"/>
  <c r="R60" i="58"/>
  <c r="Q60" i="58" a="1"/>
  <c r="Q60" i="58" s="1"/>
  <c r="E60" i="58"/>
  <c r="R59" i="58"/>
  <c r="Q59" i="58" a="1"/>
  <c r="Q59" i="58" s="1"/>
  <c r="E59" i="58"/>
  <c r="R58" i="58"/>
  <c r="Q58" i="58" a="1"/>
  <c r="Q58" i="58" s="1"/>
  <c r="E58" i="58"/>
  <c r="R52" i="58"/>
  <c r="Q52" i="58" a="1"/>
  <c r="Q52" i="58" s="1"/>
  <c r="E52" i="58"/>
  <c r="R51" i="58"/>
  <c r="Q51" i="58" a="1"/>
  <c r="Q51" i="58" s="1"/>
  <c r="E51" i="58"/>
  <c r="R50" i="58"/>
  <c r="Q50" i="58" a="1"/>
  <c r="Q50" i="58" s="1"/>
  <c r="E50" i="58"/>
  <c r="B33" i="58"/>
  <c r="E33" i="58" s="1"/>
  <c r="B32" i="58"/>
  <c r="E32" i="58" s="1"/>
  <c r="R37" i="58"/>
  <c r="Q37" i="58" a="1"/>
  <c r="Q37" i="58" s="1"/>
  <c r="E37" i="58"/>
  <c r="R36" i="58"/>
  <c r="Q36" i="58" a="1"/>
  <c r="Q36" i="58" s="1"/>
  <c r="E36" i="58"/>
  <c r="R35" i="58"/>
  <c r="Q35" i="58" a="1"/>
  <c r="Q35" i="58" s="1"/>
  <c r="F35" i="58"/>
  <c r="E35" i="58"/>
  <c r="R34" i="58"/>
  <c r="Q34" i="58" a="1"/>
  <c r="Q34" i="58" s="1"/>
  <c r="F34" i="58"/>
  <c r="E34" i="58"/>
  <c r="R33" i="58"/>
  <c r="Q33" i="58" a="1"/>
  <c r="Q33" i="58" s="1"/>
  <c r="Q32" i="58" a="1"/>
  <c r="Q32" i="58" s="1"/>
  <c r="R29" i="58"/>
  <c r="Q29" i="58" a="1"/>
  <c r="Q29" i="58" s="1"/>
  <c r="E29" i="58"/>
  <c r="R31" i="58"/>
  <c r="Q31" i="58" a="1"/>
  <c r="Q31" i="58" s="1"/>
  <c r="E31" i="58"/>
  <c r="R30" i="58"/>
  <c r="Q30" i="58" a="1"/>
  <c r="Q30" i="58" s="1"/>
  <c r="E30" i="58"/>
  <c r="R28" i="58"/>
  <c r="Q28" i="58" a="1"/>
  <c r="Q28" i="58" s="1"/>
  <c r="E28" i="58"/>
  <c r="R27" i="58"/>
  <c r="Q27" i="58"/>
  <c r="Q27" i="58" a="1"/>
  <c r="E27" i="58"/>
  <c r="R26" i="58"/>
  <c r="Q26" i="58" a="1"/>
  <c r="Q26" i="58" s="1"/>
  <c r="E26" i="58"/>
  <c r="R16" i="58"/>
  <c r="Q16" i="58" a="1"/>
  <c r="Q16" i="58" s="1"/>
  <c r="E16" i="58"/>
  <c r="R19" i="58"/>
  <c r="Q19" i="58" a="1"/>
  <c r="Q19" i="58" s="1"/>
  <c r="E19" i="58"/>
  <c r="R18" i="58"/>
  <c r="Q18" i="58" a="1"/>
  <c r="Q18" i="58" s="1"/>
  <c r="F18" i="58"/>
  <c r="E18" i="58"/>
  <c r="R15" i="58"/>
  <c r="Q15" i="58" a="1"/>
  <c r="Q15" i="58" s="1"/>
  <c r="E15" i="58"/>
  <c r="Q17" i="58" a="1"/>
  <c r="Q17" i="58" s="1"/>
  <c r="F17" i="58"/>
  <c r="R14" i="58"/>
  <c r="Q14" i="58" a="1"/>
  <c r="Q14" i="58" s="1"/>
  <c r="E14" i="58"/>
  <c r="S88" i="57" l="1"/>
  <c r="T88" i="57" s="1"/>
  <c r="H88" i="57" s="1"/>
  <c r="M88" i="57" s="1"/>
  <c r="O88" i="57" s="1"/>
  <c r="S75" i="57"/>
  <c r="T75" i="57" s="1"/>
  <c r="H75" i="57" s="1"/>
  <c r="M75" i="57" s="1"/>
  <c r="O75" i="57" s="1"/>
  <c r="S49" i="57"/>
  <c r="T49" i="57" s="1"/>
  <c r="H49" i="57" s="1"/>
  <c r="M49" i="57" s="1"/>
  <c r="O49" i="57" s="1"/>
  <c r="S91" i="58"/>
  <c r="T91" i="58" s="1"/>
  <c r="H91" i="58" s="1"/>
  <c r="M91" i="58" s="1"/>
  <c r="O91" i="58" s="1"/>
  <c r="S22" i="58"/>
  <c r="T22" i="58" s="1"/>
  <c r="H22" i="58" s="1"/>
  <c r="M22" i="58" s="1"/>
  <c r="O22" i="58" s="1"/>
  <c r="S38" i="58"/>
  <c r="T40" i="58"/>
  <c r="H40" i="58" s="1"/>
  <c r="M40" i="58" s="1"/>
  <c r="O40" i="58" s="1"/>
  <c r="S46" i="58"/>
  <c r="T46" i="58" s="1"/>
  <c r="H46" i="58" s="1"/>
  <c r="M46" i="58" s="1"/>
  <c r="O46" i="58" s="1"/>
  <c r="S126" i="58"/>
  <c r="T126" i="58" s="1"/>
  <c r="H126" i="58" s="1"/>
  <c r="M126" i="58" s="1"/>
  <c r="O126" i="58" s="1"/>
  <c r="S149" i="58"/>
  <c r="T44" i="58"/>
  <c r="H44" i="58" s="1"/>
  <c r="M44" i="58" s="1"/>
  <c r="O44" i="58" s="1"/>
  <c r="S81" i="58"/>
  <c r="S58" i="58"/>
  <c r="T58" i="58" s="1"/>
  <c r="H58" i="58" s="1"/>
  <c r="M58" i="58" s="1"/>
  <c r="O58" i="58" s="1"/>
  <c r="S21" i="58"/>
  <c r="S23" i="58"/>
  <c r="T23" i="58" s="1"/>
  <c r="H23" i="58" s="1"/>
  <c r="M23" i="58" s="1"/>
  <c r="O23" i="58" s="1"/>
  <c r="T41" i="58"/>
  <c r="H41" i="58" s="1"/>
  <c r="M41" i="58" s="1"/>
  <c r="O41" i="58" s="1"/>
  <c r="S47" i="58"/>
  <c r="T47" i="58" s="1"/>
  <c r="H47" i="58" s="1"/>
  <c r="M47" i="58" s="1"/>
  <c r="O47" i="58" s="1"/>
  <c r="S78" i="58"/>
  <c r="S101" i="58"/>
  <c r="S102" i="58"/>
  <c r="T102" i="58" s="1"/>
  <c r="H102" i="58" s="1"/>
  <c r="M102" i="58" s="1"/>
  <c r="O102" i="58" s="1"/>
  <c r="S110" i="58"/>
  <c r="T110" i="58" s="1"/>
  <c r="H110" i="58" s="1"/>
  <c r="M110" i="58" s="1"/>
  <c r="O110" i="58" s="1"/>
  <c r="S117" i="58"/>
  <c r="S120" i="58"/>
  <c r="S122" i="58"/>
  <c r="T158" i="58"/>
  <c r="H158" i="58" s="1"/>
  <c r="M158" i="58" s="1"/>
  <c r="O158" i="58" s="1"/>
  <c r="S156" i="58"/>
  <c r="T156" i="58" s="1"/>
  <c r="H156" i="58" s="1"/>
  <c r="M156" i="58" s="1"/>
  <c r="O156" i="58" s="1"/>
  <c r="S162" i="58"/>
  <c r="S168" i="58"/>
  <c r="T168" i="58" s="1"/>
  <c r="H168" i="58" s="1"/>
  <c r="M168" i="58" s="1"/>
  <c r="O168" i="58" s="1"/>
  <c r="T159" i="58"/>
  <c r="H159" i="58" s="1"/>
  <c r="M159" i="58" s="1"/>
  <c r="O159" i="58" s="1"/>
  <c r="T154" i="58"/>
  <c r="H154" i="58" s="1"/>
  <c r="M154" i="58" s="1"/>
  <c r="O154" i="58" s="1"/>
  <c r="T155" i="58"/>
  <c r="H155" i="58" s="1"/>
  <c r="M155" i="58" s="1"/>
  <c r="O155" i="58" s="1"/>
  <c r="S157" i="58"/>
  <c r="T157" i="58" s="1"/>
  <c r="H157" i="58" s="1"/>
  <c r="M157" i="58" s="1"/>
  <c r="O157" i="58" s="1"/>
  <c r="S163" i="58"/>
  <c r="T163" i="58" s="1"/>
  <c r="H163" i="58" s="1"/>
  <c r="M163" i="58" s="1"/>
  <c r="O163" i="58" s="1"/>
  <c r="S166" i="58"/>
  <c r="T166" i="58" s="1"/>
  <c r="H166" i="58" s="1"/>
  <c r="M166" i="58" s="1"/>
  <c r="O166" i="58" s="1"/>
  <c r="S167" i="58"/>
  <c r="T167" i="58" s="1"/>
  <c r="H167" i="58" s="1"/>
  <c r="M167" i="58" s="1"/>
  <c r="O167" i="58" s="1"/>
  <c r="S165" i="58"/>
  <c r="S164" i="58"/>
  <c r="T164" i="58" s="1"/>
  <c r="H164" i="58" s="1"/>
  <c r="M164" i="58" s="1"/>
  <c r="O164" i="58" s="1"/>
  <c r="S169" i="58"/>
  <c r="T169" i="58" s="1"/>
  <c r="H169" i="58" s="1"/>
  <c r="M169" i="58" s="1"/>
  <c r="O169" i="58" s="1"/>
  <c r="T162" i="58"/>
  <c r="H162" i="58" s="1"/>
  <c r="M162" i="58" s="1"/>
  <c r="O162" i="58" s="1"/>
  <c r="T165" i="58"/>
  <c r="H165" i="58" s="1"/>
  <c r="M165" i="58" s="1"/>
  <c r="O165" i="58" s="1"/>
  <c r="S151" i="58"/>
  <c r="S150" i="58"/>
  <c r="T147" i="58"/>
  <c r="H147" i="58" s="1"/>
  <c r="M147" i="58" s="1"/>
  <c r="O147" i="58" s="1"/>
  <c r="S144" i="58"/>
  <c r="T144" i="58" s="1"/>
  <c r="H144" i="58" s="1"/>
  <c r="M144" i="58" s="1"/>
  <c r="O144" i="58" s="1"/>
  <c r="S143" i="58"/>
  <c r="T140" i="58"/>
  <c r="H140" i="58" s="1"/>
  <c r="M140" i="58" s="1"/>
  <c r="O140" i="58" s="1"/>
  <c r="S139" i="58"/>
  <c r="T139" i="58" s="1"/>
  <c r="H139" i="58" s="1"/>
  <c r="M139" i="58" s="1"/>
  <c r="O139" i="58" s="1"/>
  <c r="S138" i="58"/>
  <c r="T138" i="58" s="1"/>
  <c r="H138" i="58" s="1"/>
  <c r="M138" i="58" s="1"/>
  <c r="O138" i="58" s="1"/>
  <c r="T149" i="58"/>
  <c r="H149" i="58" s="1"/>
  <c r="M149" i="58" s="1"/>
  <c r="O149" i="58" s="1"/>
  <c r="T145" i="58"/>
  <c r="H145" i="58" s="1"/>
  <c r="M145" i="58" s="1"/>
  <c r="O145" i="58" s="1"/>
  <c r="T148" i="58"/>
  <c r="H148" i="58" s="1"/>
  <c r="M148" i="58" s="1"/>
  <c r="O148" i="58" s="1"/>
  <c r="T150" i="58"/>
  <c r="H150" i="58" s="1"/>
  <c r="M150" i="58" s="1"/>
  <c r="O150" i="58" s="1"/>
  <c r="T151" i="58"/>
  <c r="H151" i="58" s="1"/>
  <c r="M151" i="58" s="1"/>
  <c r="O151" i="58" s="1"/>
  <c r="S146" i="58"/>
  <c r="T146" i="58" s="1"/>
  <c r="H146" i="58" s="1"/>
  <c r="M146" i="58" s="1"/>
  <c r="O146" i="58" s="1"/>
  <c r="T136" i="58"/>
  <c r="H136" i="58" s="1"/>
  <c r="M136" i="58" s="1"/>
  <c r="O136" i="58" s="1"/>
  <c r="T137" i="58"/>
  <c r="H137" i="58" s="1"/>
  <c r="M137" i="58" s="1"/>
  <c r="O137" i="58" s="1"/>
  <c r="T142" i="58"/>
  <c r="H142" i="58" s="1"/>
  <c r="M142" i="58" s="1"/>
  <c r="O142" i="58" s="1"/>
  <c r="T143" i="58"/>
  <c r="H143" i="58" s="1"/>
  <c r="M143" i="58" s="1"/>
  <c r="O143" i="58" s="1"/>
  <c r="S141" i="58"/>
  <c r="T141" i="58" s="1"/>
  <c r="H141" i="58" s="1"/>
  <c r="M141" i="58" s="1"/>
  <c r="O141" i="58" s="1"/>
  <c r="S133" i="58"/>
  <c r="S132" i="58"/>
  <c r="S127" i="58"/>
  <c r="T127" i="58" s="1"/>
  <c r="H127" i="58" s="1"/>
  <c r="M127" i="58" s="1"/>
  <c r="O127" i="58" s="1"/>
  <c r="S123" i="58"/>
  <c r="S119" i="58"/>
  <c r="T131" i="58"/>
  <c r="H131" i="58" s="1"/>
  <c r="M131" i="58" s="1"/>
  <c r="O131" i="58" s="1"/>
  <c r="T128" i="58"/>
  <c r="H128" i="58" s="1"/>
  <c r="M128" i="58" s="1"/>
  <c r="O128" i="58" s="1"/>
  <c r="T130" i="58"/>
  <c r="H130" i="58" s="1"/>
  <c r="M130" i="58" s="1"/>
  <c r="O130" i="58" s="1"/>
  <c r="T132" i="58"/>
  <c r="H132" i="58" s="1"/>
  <c r="M132" i="58" s="1"/>
  <c r="O132" i="58" s="1"/>
  <c r="T133" i="58"/>
  <c r="H133" i="58" s="1"/>
  <c r="M133" i="58" s="1"/>
  <c r="O133" i="58" s="1"/>
  <c r="T129" i="58"/>
  <c r="H129" i="58" s="1"/>
  <c r="M129" i="58" s="1"/>
  <c r="O129" i="58" s="1"/>
  <c r="S128" i="58"/>
  <c r="T122" i="58"/>
  <c r="H122" i="58" s="1"/>
  <c r="M122" i="58" s="1"/>
  <c r="O122" i="58" s="1"/>
  <c r="T123" i="58"/>
  <c r="H123" i="58" s="1"/>
  <c r="M123" i="58" s="1"/>
  <c r="O123" i="58" s="1"/>
  <c r="T116" i="58"/>
  <c r="H116" i="58"/>
  <c r="M116" i="58" s="1"/>
  <c r="O116" i="58" s="1"/>
  <c r="T117" i="58"/>
  <c r="H117" i="58"/>
  <c r="M117" i="58" s="1"/>
  <c r="O117" i="58" s="1"/>
  <c r="T118" i="58"/>
  <c r="H118" i="58" s="1"/>
  <c r="M118" i="58" s="1"/>
  <c r="O118" i="58" s="1"/>
  <c r="T119" i="58"/>
  <c r="H119" i="58" s="1"/>
  <c r="M119" i="58" s="1"/>
  <c r="O119" i="58" s="1"/>
  <c r="T120" i="58"/>
  <c r="H120" i="58" s="1"/>
  <c r="M120" i="58" s="1"/>
  <c r="O120" i="58" s="1"/>
  <c r="S121" i="58"/>
  <c r="T121" i="58" s="1"/>
  <c r="H121" i="58" s="1"/>
  <c r="M121" i="58" s="1"/>
  <c r="O121" i="58" s="1"/>
  <c r="S105" i="58"/>
  <c r="S112" i="58"/>
  <c r="T112" i="58" s="1"/>
  <c r="H112" i="58" s="1"/>
  <c r="M112" i="58" s="1"/>
  <c r="O112" i="58" s="1"/>
  <c r="S111" i="58"/>
  <c r="T111" i="58" s="1"/>
  <c r="H111" i="58" s="1"/>
  <c r="M111" i="58" s="1"/>
  <c r="O111" i="58" s="1"/>
  <c r="S109" i="58"/>
  <c r="T109" i="58" s="1"/>
  <c r="H109" i="58" s="1"/>
  <c r="M109" i="58" s="1"/>
  <c r="O109" i="58" s="1"/>
  <c r="T108" i="58"/>
  <c r="H108" i="58" s="1"/>
  <c r="M108" i="58" s="1"/>
  <c r="O108" i="58" s="1"/>
  <c r="T105" i="58"/>
  <c r="H105" i="58" s="1"/>
  <c r="M105" i="58" s="1"/>
  <c r="O105" i="58" s="1"/>
  <c r="T106" i="58"/>
  <c r="H106" i="58" s="1"/>
  <c r="M106" i="58" s="1"/>
  <c r="O106" i="58" s="1"/>
  <c r="S107" i="58"/>
  <c r="T107" i="58" s="1"/>
  <c r="H107" i="58" s="1"/>
  <c r="M107" i="58" s="1"/>
  <c r="O107" i="58" s="1"/>
  <c r="S99" i="58"/>
  <c r="T99" i="58" s="1"/>
  <c r="H99" i="58" s="1"/>
  <c r="M99" i="58" s="1"/>
  <c r="O99" i="58" s="1"/>
  <c r="S98" i="58"/>
  <c r="T98" i="58" s="1"/>
  <c r="H98" i="58" s="1"/>
  <c r="M98" i="58" s="1"/>
  <c r="O98" i="58" s="1"/>
  <c r="T96" i="58"/>
  <c r="H96" i="58" s="1"/>
  <c r="M96" i="58" s="1"/>
  <c r="O96" i="58" s="1"/>
  <c r="T95" i="58"/>
  <c r="H95" i="58" s="1"/>
  <c r="M95" i="58" s="1"/>
  <c r="O95" i="58" s="1"/>
  <c r="T100" i="58"/>
  <c r="H100" i="58" s="1"/>
  <c r="M100" i="58" s="1"/>
  <c r="O100" i="58" s="1"/>
  <c r="T101" i="58"/>
  <c r="H101" i="58" s="1"/>
  <c r="M101" i="58" s="1"/>
  <c r="O101" i="58" s="1"/>
  <c r="S97" i="58"/>
  <c r="T97" i="58" s="1"/>
  <c r="H97" i="58" s="1"/>
  <c r="M97" i="58" s="1"/>
  <c r="O97" i="58" s="1"/>
  <c r="S92" i="58"/>
  <c r="T92" i="58" s="1"/>
  <c r="H92" i="58" s="1"/>
  <c r="M92" i="58" s="1"/>
  <c r="O92" i="58" s="1"/>
  <c r="T86" i="58"/>
  <c r="H86" i="58" s="1"/>
  <c r="M86" i="58" s="1"/>
  <c r="O86" i="58" s="1"/>
  <c r="S88" i="58"/>
  <c r="T88" i="58" s="1"/>
  <c r="H88" i="58" s="1"/>
  <c r="M88" i="58" s="1"/>
  <c r="O88" i="58" s="1"/>
  <c r="S85" i="58"/>
  <c r="T85" i="58" s="1"/>
  <c r="H85" i="58" s="1"/>
  <c r="M85" i="58" s="1"/>
  <c r="O85" i="58" s="1"/>
  <c r="S83" i="58"/>
  <c r="T83" i="58" s="1"/>
  <c r="H83" i="58" s="1"/>
  <c r="M83" i="58" s="1"/>
  <c r="O83" i="58" s="1"/>
  <c r="T81" i="58"/>
  <c r="H81" i="58" s="1"/>
  <c r="T84" i="58"/>
  <c r="H84" i="58" s="1"/>
  <c r="M84" i="58" s="1"/>
  <c r="O84" i="58" s="1"/>
  <c r="S82" i="58"/>
  <c r="T82" i="58" s="1"/>
  <c r="H82" i="58" s="1"/>
  <c r="M82" i="58" s="1"/>
  <c r="O82" i="58" s="1"/>
  <c r="S87" i="58"/>
  <c r="T87" i="58" s="1"/>
  <c r="H87" i="58" s="1"/>
  <c r="M87" i="58" s="1"/>
  <c r="O87" i="58" s="1"/>
  <c r="M81" i="58"/>
  <c r="O81" i="58" s="1"/>
  <c r="C8" i="58" s="1"/>
  <c r="S77" i="58"/>
  <c r="T77" i="58"/>
  <c r="H77" i="58" s="1"/>
  <c r="M77" i="58" s="1"/>
  <c r="O77" i="58" s="1"/>
  <c r="T78" i="58"/>
  <c r="H78" i="58" s="1"/>
  <c r="M78" i="58" s="1"/>
  <c r="O78" i="58" s="1"/>
  <c r="R76" i="58"/>
  <c r="S76" i="58" s="1"/>
  <c r="T76" i="58" s="1"/>
  <c r="H76" i="58" s="1"/>
  <c r="M76" i="58" s="1"/>
  <c r="O76" i="58" s="1"/>
  <c r="T73" i="58"/>
  <c r="H73" i="58"/>
  <c r="M73" i="58" s="1"/>
  <c r="O73" i="58" s="1"/>
  <c r="T71" i="58"/>
  <c r="H71" i="58" s="1"/>
  <c r="M71" i="58" s="1"/>
  <c r="O71" i="58" s="1"/>
  <c r="T72" i="58"/>
  <c r="H72" i="58" s="1"/>
  <c r="M72" i="58" s="1"/>
  <c r="O72" i="58" s="1"/>
  <c r="T62" i="58"/>
  <c r="H62" i="58" s="1"/>
  <c r="M62" i="58" s="1"/>
  <c r="O62" i="58" s="1"/>
  <c r="S63" i="58"/>
  <c r="T63" i="58" s="1"/>
  <c r="H63" i="58" s="1"/>
  <c r="M63" i="58" s="1"/>
  <c r="O63" i="58" s="1"/>
  <c r="T61" i="58"/>
  <c r="H61" i="58" s="1"/>
  <c r="M61" i="58" s="1"/>
  <c r="O61" i="58" s="1"/>
  <c r="T54" i="58"/>
  <c r="H54" i="58" s="1"/>
  <c r="M54" i="58" s="1"/>
  <c r="O54" i="58" s="1"/>
  <c r="T55" i="58"/>
  <c r="H55" i="58" s="1"/>
  <c r="M55" i="58" s="1"/>
  <c r="O55" i="58" s="1"/>
  <c r="T53" i="58"/>
  <c r="H53" i="58" s="1"/>
  <c r="M53" i="58" s="1"/>
  <c r="O53" i="58" s="1"/>
  <c r="T43" i="58"/>
  <c r="H43" i="58" s="1"/>
  <c r="M43" i="58" s="1"/>
  <c r="O43" i="58" s="1"/>
  <c r="T38" i="58"/>
  <c r="H38" i="58" s="1"/>
  <c r="M38" i="58" s="1"/>
  <c r="O38" i="58" s="1"/>
  <c r="T39" i="58"/>
  <c r="H39" i="58" s="1"/>
  <c r="M39" i="58" s="1"/>
  <c r="O39" i="58" s="1"/>
  <c r="T42" i="58"/>
  <c r="H42" i="58" s="1"/>
  <c r="M42" i="58" s="1"/>
  <c r="O42" i="58" s="1"/>
  <c r="E45" i="58"/>
  <c r="S60" i="58"/>
  <c r="T60" i="58" s="1"/>
  <c r="H60" i="58" s="1"/>
  <c r="M60" i="58" s="1"/>
  <c r="O60" i="58" s="1"/>
  <c r="T21" i="58"/>
  <c r="H21" i="58" s="1"/>
  <c r="M21" i="58" s="1"/>
  <c r="O21" i="58" s="1"/>
  <c r="S20" i="58"/>
  <c r="T20" i="58" s="1"/>
  <c r="H20" i="58" s="1"/>
  <c r="M20" i="58" s="1"/>
  <c r="O20" i="58" s="1"/>
  <c r="S29" i="58"/>
  <c r="S52" i="58"/>
  <c r="T52" i="58" s="1"/>
  <c r="H52" i="58" s="1"/>
  <c r="M52" i="58" s="1"/>
  <c r="O52" i="58" s="1"/>
  <c r="F68" i="58"/>
  <c r="S18" i="58"/>
  <c r="T18" i="58" s="1"/>
  <c r="H18" i="58" s="1"/>
  <c r="M18" i="58" s="1"/>
  <c r="O18" i="58" s="1"/>
  <c r="S33" i="58"/>
  <c r="T33" i="58" s="1"/>
  <c r="H33" i="58" s="1"/>
  <c r="M33" i="58" s="1"/>
  <c r="O33" i="58" s="1"/>
  <c r="R68" i="58"/>
  <c r="S50" i="58"/>
  <c r="T50" i="58" s="1"/>
  <c r="H50" i="58" s="1"/>
  <c r="M50" i="58" s="1"/>
  <c r="O50" i="58" s="1"/>
  <c r="S66" i="58"/>
  <c r="T66" i="58" s="1"/>
  <c r="H66" i="58" s="1"/>
  <c r="M66" i="58" s="1"/>
  <c r="O66" i="58" s="1"/>
  <c r="S69" i="58"/>
  <c r="T69" i="58" s="1"/>
  <c r="H69" i="58" s="1"/>
  <c r="M69" i="58" s="1"/>
  <c r="O69" i="58" s="1"/>
  <c r="S68" i="58"/>
  <c r="T68" i="58" s="1"/>
  <c r="H68" i="58" s="1"/>
  <c r="S70" i="58"/>
  <c r="T70" i="58" s="1"/>
  <c r="H70" i="58" s="1"/>
  <c r="M70" i="58" s="1"/>
  <c r="O70" i="58" s="1"/>
  <c r="S67" i="58"/>
  <c r="T67" i="58" s="1"/>
  <c r="H67" i="58" s="1"/>
  <c r="M67" i="58" s="1"/>
  <c r="O67" i="58" s="1"/>
  <c r="S59" i="58"/>
  <c r="T59" i="58"/>
  <c r="H59" i="58" s="1"/>
  <c r="M59" i="58" s="1"/>
  <c r="O59" i="58" s="1"/>
  <c r="S51" i="58"/>
  <c r="T51" i="58" s="1"/>
  <c r="H51" i="58" s="1"/>
  <c r="M51" i="58" s="1"/>
  <c r="O51" i="58" s="1"/>
  <c r="R32" i="58"/>
  <c r="S32" i="58" s="1"/>
  <c r="T32" i="58" s="1"/>
  <c r="H32" i="58" s="1"/>
  <c r="M32" i="58" s="1"/>
  <c r="O32" i="58" s="1"/>
  <c r="S37" i="58"/>
  <c r="T37" i="58" s="1"/>
  <c r="H37" i="58" s="1"/>
  <c r="M37" i="58" s="1"/>
  <c r="O37" i="58" s="1"/>
  <c r="S35" i="58"/>
  <c r="T35" i="58" s="1"/>
  <c r="H35" i="58" s="1"/>
  <c r="M35" i="58" s="1"/>
  <c r="O35" i="58" s="1"/>
  <c r="S36" i="58"/>
  <c r="T36" i="58" s="1"/>
  <c r="H36" i="58" s="1"/>
  <c r="M36" i="58" s="1"/>
  <c r="O36" i="58" s="1"/>
  <c r="S34" i="58"/>
  <c r="T34" i="58" s="1"/>
  <c r="H34" i="58" s="1"/>
  <c r="M34" i="58" s="1"/>
  <c r="O34" i="58" s="1"/>
  <c r="S28" i="58"/>
  <c r="T28" i="58" s="1"/>
  <c r="H28" i="58" s="1"/>
  <c r="M28" i="58" s="1"/>
  <c r="O28" i="58" s="1"/>
  <c r="T29" i="58"/>
  <c r="H29" i="58" s="1"/>
  <c r="M29" i="58" s="1"/>
  <c r="O29" i="58" s="1"/>
  <c r="S31" i="58"/>
  <c r="T31" i="58" s="1"/>
  <c r="H31" i="58" s="1"/>
  <c r="M31" i="58" s="1"/>
  <c r="O31" i="58" s="1"/>
  <c r="S30" i="58"/>
  <c r="T30" i="58" s="1"/>
  <c r="H30" i="58" s="1"/>
  <c r="M30" i="58" s="1"/>
  <c r="O30" i="58" s="1"/>
  <c r="S27" i="58"/>
  <c r="T27" i="58" s="1"/>
  <c r="H27" i="58" s="1"/>
  <c r="M27" i="58" s="1"/>
  <c r="O27" i="58" s="1"/>
  <c r="S26" i="58"/>
  <c r="T26" i="58" s="1"/>
  <c r="H26" i="58" s="1"/>
  <c r="M26" i="58" s="1"/>
  <c r="O26" i="58" s="1"/>
  <c r="S16" i="58"/>
  <c r="T16" i="58" s="1"/>
  <c r="H16" i="58" s="1"/>
  <c r="M16" i="58" s="1"/>
  <c r="O16" i="58" s="1"/>
  <c r="S15" i="58"/>
  <c r="T15" i="58" s="1"/>
  <c r="H15" i="58" s="1"/>
  <c r="M15" i="58" s="1"/>
  <c r="O15" i="58" s="1"/>
  <c r="S19" i="58"/>
  <c r="T19" i="58"/>
  <c r="H19" i="58" s="1"/>
  <c r="M19" i="58" s="1"/>
  <c r="O19" i="58" s="1"/>
  <c r="S14" i="58"/>
  <c r="T14" i="58" s="1"/>
  <c r="H14" i="58" s="1"/>
  <c r="M14" i="58" s="1"/>
  <c r="O14" i="58" s="1"/>
  <c r="R17" i="58"/>
  <c r="E17" i="58"/>
  <c r="Q18" i="57" a="1"/>
  <c r="Q18" i="57" s="1"/>
  <c r="C5" i="58" l="1"/>
  <c r="C10" i="58"/>
  <c r="C6" i="58"/>
  <c r="C4" i="58"/>
  <c r="C11" i="58"/>
  <c r="C9" i="58"/>
  <c r="C7" i="58"/>
  <c r="S45" i="58"/>
  <c r="T45" i="58" s="1"/>
  <c r="H45" i="58" s="1"/>
  <c r="M45" i="58" s="1"/>
  <c r="O45" i="58" s="1"/>
  <c r="C3" i="58" s="1"/>
  <c r="M68" i="58"/>
  <c r="O68" i="58" s="1"/>
  <c r="S17" i="58"/>
  <c r="T17" i="58" s="1"/>
  <c r="H17" i="58" s="1"/>
  <c r="M17" i="58" s="1"/>
  <c r="O17" i="58" s="1"/>
  <c r="C2" i="58" s="1"/>
  <c r="Q82" i="57"/>
  <c r="R9" i="57"/>
  <c r="M8" i="56"/>
  <c r="S12" i="56"/>
  <c r="S8" i="56"/>
  <c r="R8" i="56"/>
  <c r="H67" i="56"/>
  <c r="Q8" i="56" a="1"/>
  <c r="Q8" i="56" s="1"/>
  <c r="G2" i="58" l="1"/>
  <c r="B85" i="57"/>
  <c r="F85" i="57" s="1"/>
  <c r="B84" i="57"/>
  <c r="F84" i="57" s="1"/>
  <c r="Q85" i="57" a="1"/>
  <c r="Q85" i="57" s="1"/>
  <c r="Q84" i="57" a="1"/>
  <c r="Q84" i="57" s="1"/>
  <c r="Q83" i="57" a="1"/>
  <c r="Q83" i="57" s="1"/>
  <c r="B83" i="57"/>
  <c r="R83" i="57" s="1"/>
  <c r="B82" i="57"/>
  <c r="R82" i="57" s="1"/>
  <c r="Q81" i="57" a="1"/>
  <c r="Q81" i="57" s="1"/>
  <c r="B81" i="57"/>
  <c r="E81" i="57" s="1"/>
  <c r="Q80" i="57" a="1"/>
  <c r="Q80" i="57" s="1"/>
  <c r="B80" i="57"/>
  <c r="R80" i="57" s="1"/>
  <c r="R79" i="57"/>
  <c r="Q79" i="57" a="1"/>
  <c r="Q79" i="57" s="1"/>
  <c r="E79" i="57"/>
  <c r="R78" i="57"/>
  <c r="Q78" i="57" a="1"/>
  <c r="Q78" i="57" s="1"/>
  <c r="E78" i="57"/>
  <c r="B72" i="57"/>
  <c r="F72" i="57" s="1"/>
  <c r="B71" i="57"/>
  <c r="R71" i="57" s="1"/>
  <c r="Q72" i="57" a="1"/>
  <c r="Q72" i="57" s="1"/>
  <c r="Q71" i="57" a="1"/>
  <c r="Q71" i="57" s="1"/>
  <c r="Q70" i="57" a="1"/>
  <c r="Q70" i="57" s="1"/>
  <c r="B70" i="57"/>
  <c r="R70" i="57" s="1"/>
  <c r="Q69" i="57" a="1"/>
  <c r="Q69" i="57" s="1"/>
  <c r="B69" i="57"/>
  <c r="R69" i="57" s="1"/>
  <c r="Q68" i="57" a="1"/>
  <c r="Q68" i="57" s="1"/>
  <c r="B68" i="57"/>
  <c r="E68" i="57" s="1"/>
  <c r="Q67" i="57" a="1"/>
  <c r="Q67" i="57" s="1"/>
  <c r="B67" i="57"/>
  <c r="R67" i="57" s="1"/>
  <c r="R66" i="57"/>
  <c r="Q66" i="57" a="1"/>
  <c r="Q66" i="57" s="1"/>
  <c r="E66" i="57"/>
  <c r="R65" i="57"/>
  <c r="Q65" i="57" a="1"/>
  <c r="Q65" i="57" s="1"/>
  <c r="E65" i="57"/>
  <c r="Q59" i="57" a="1"/>
  <c r="Q59" i="57" s="1"/>
  <c r="B59" i="57"/>
  <c r="E59" i="57" s="1"/>
  <c r="Q58" i="57" a="1"/>
  <c r="Q58" i="57" s="1"/>
  <c r="B58" i="57"/>
  <c r="R58" i="57" s="1"/>
  <c r="Q57" i="57" a="1"/>
  <c r="Q57" i="57" s="1"/>
  <c r="B57" i="57"/>
  <c r="E57" i="57" s="1"/>
  <c r="Q56" i="57" a="1"/>
  <c r="Q56" i="57" s="1"/>
  <c r="B56" i="57"/>
  <c r="R56" i="57" s="1"/>
  <c r="Q55" i="57" a="1"/>
  <c r="Q55" i="57" s="1"/>
  <c r="B55" i="57"/>
  <c r="R55" i="57" s="1"/>
  <c r="Q54" i="57" a="1"/>
  <c r="Q54" i="57" s="1"/>
  <c r="B54" i="57"/>
  <c r="R54" i="57" s="1"/>
  <c r="R53" i="57"/>
  <c r="Q53" i="57" a="1"/>
  <c r="Q53" i="57" s="1"/>
  <c r="E53" i="57"/>
  <c r="R52" i="57"/>
  <c r="Q52" i="57" a="1"/>
  <c r="Q52" i="57" s="1"/>
  <c r="E52" i="57"/>
  <c r="Q46" i="57" a="1"/>
  <c r="Q46" i="57" s="1"/>
  <c r="B46" i="57"/>
  <c r="E46" i="57" s="1"/>
  <c r="Q33" i="57" a="1"/>
  <c r="Q33" i="57" s="1"/>
  <c r="B33" i="57"/>
  <c r="F33" i="57" s="1"/>
  <c r="Q24" i="57" a="1"/>
  <c r="Q24" i="57" s="1"/>
  <c r="B24" i="57"/>
  <c r="E24" i="57" s="1"/>
  <c r="Q15" i="57" a="1"/>
  <c r="Q15" i="57" s="1"/>
  <c r="B15" i="57"/>
  <c r="E15" i="57" s="1"/>
  <c r="Q45" i="57" a="1"/>
  <c r="Q45" i="57" s="1"/>
  <c r="B45" i="57"/>
  <c r="F45" i="57" s="1"/>
  <c r="Q44" i="57" a="1"/>
  <c r="Q44" i="57" s="1"/>
  <c r="B44" i="57"/>
  <c r="R44" i="57" s="1"/>
  <c r="Q43" i="57" a="1"/>
  <c r="Q43" i="57" s="1"/>
  <c r="B43" i="57"/>
  <c r="R43" i="57" s="1"/>
  <c r="Q42" i="57" a="1"/>
  <c r="Q42" i="57" s="1"/>
  <c r="B42" i="57"/>
  <c r="E42" i="57" s="1"/>
  <c r="Q41" i="57" a="1"/>
  <c r="Q41" i="57" s="1"/>
  <c r="B41" i="57"/>
  <c r="R41" i="57" s="1"/>
  <c r="R40" i="57"/>
  <c r="Q40" i="57" a="1"/>
  <c r="Q40" i="57" s="1"/>
  <c r="E40" i="57"/>
  <c r="R39" i="57"/>
  <c r="Q39" i="57" a="1"/>
  <c r="Q39" i="57" s="1"/>
  <c r="E39" i="57"/>
  <c r="B29" i="57"/>
  <c r="R29" i="57" s="1"/>
  <c r="B28" i="57"/>
  <c r="E28" i="57" s="1"/>
  <c r="B20" i="57"/>
  <c r="E20" i="57" s="1"/>
  <c r="B19" i="57"/>
  <c r="R19" i="57" s="1"/>
  <c r="B32" i="57"/>
  <c r="F32" i="57" s="1"/>
  <c r="Q32" i="57" a="1"/>
  <c r="Q32" i="57" s="1"/>
  <c r="Q31" i="57" a="1"/>
  <c r="Q31" i="57" s="1"/>
  <c r="B31" i="57"/>
  <c r="E31" i="57" s="1"/>
  <c r="Q30" i="57" a="1"/>
  <c r="Q30" i="57" s="1"/>
  <c r="B30" i="57"/>
  <c r="R30" i="57" s="1"/>
  <c r="Q29" i="57" a="1"/>
  <c r="Q29" i="57" s="1"/>
  <c r="Q28" i="57" a="1"/>
  <c r="Q28" i="57" s="1"/>
  <c r="R27" i="57"/>
  <c r="Q27" i="57" a="1"/>
  <c r="Q27" i="57" s="1"/>
  <c r="E27" i="57"/>
  <c r="R26" i="57"/>
  <c r="Q26" i="57" a="1"/>
  <c r="Q26" i="57" s="1"/>
  <c r="E26" i="57"/>
  <c r="B23" i="57"/>
  <c r="F23" i="57" s="1"/>
  <c r="B14" i="57"/>
  <c r="F14" i="57" s="1"/>
  <c r="Q23" i="57" a="1"/>
  <c r="Q23" i="57" s="1"/>
  <c r="Q22" i="57" a="1"/>
  <c r="Q22" i="57" s="1"/>
  <c r="B22" i="57"/>
  <c r="R22" i="57" s="1"/>
  <c r="Q21" i="57" a="1"/>
  <c r="Q21" i="57" s="1"/>
  <c r="B21" i="57"/>
  <c r="R21" i="57" s="1"/>
  <c r="Q20" i="57" a="1"/>
  <c r="Q20" i="57" s="1"/>
  <c r="Q19" i="57" a="1"/>
  <c r="Q19" i="57" s="1"/>
  <c r="R18" i="57"/>
  <c r="E18" i="57"/>
  <c r="R17" i="57"/>
  <c r="Q17" i="57" a="1"/>
  <c r="Q17" i="57" s="1"/>
  <c r="E17" i="57"/>
  <c r="Q14" i="57" a="1"/>
  <c r="Q14" i="57" s="1"/>
  <c r="B13" i="57"/>
  <c r="E13" i="57" s="1"/>
  <c r="B12" i="57"/>
  <c r="R12" i="57" s="1"/>
  <c r="Q13" i="57" a="1"/>
  <c r="Q13" i="57" s="1"/>
  <c r="Q12" i="57" a="1"/>
  <c r="Q12" i="57" s="1"/>
  <c r="R11" i="57"/>
  <c r="Q11" i="57" a="1"/>
  <c r="Q11" i="57" s="1"/>
  <c r="E11" i="57"/>
  <c r="R10" i="57"/>
  <c r="Q10" i="57" a="1"/>
  <c r="Q10" i="57" s="1"/>
  <c r="E10" i="57"/>
  <c r="Q9" i="57" a="1"/>
  <c r="Q9" i="57" s="1"/>
  <c r="R8" i="57"/>
  <c r="Q8" i="57" a="1"/>
  <c r="Q8" i="57" s="1"/>
  <c r="E8" i="57"/>
  <c r="B4" i="56"/>
  <c r="Q81" i="56" a="1"/>
  <c r="Q81" i="56" s="1"/>
  <c r="C4" i="56"/>
  <c r="B5" i="56"/>
  <c r="S8" i="57" l="1"/>
  <c r="E71" i="57"/>
  <c r="F71" i="57"/>
  <c r="S53" i="57"/>
  <c r="T53" i="57" s="1"/>
  <c r="H53" i="57" s="1"/>
  <c r="M53" i="57" s="1"/>
  <c r="O53" i="57" s="1"/>
  <c r="E12" i="57"/>
  <c r="S12" i="57" s="1"/>
  <c r="T12" i="57" s="1"/>
  <c r="H12" i="57" s="1"/>
  <c r="S40" i="57"/>
  <c r="F13" i="57"/>
  <c r="E54" i="57"/>
  <c r="S54" i="57" s="1"/>
  <c r="T54" i="57" s="1"/>
  <c r="H54" i="57" s="1"/>
  <c r="M54" i="57" s="1"/>
  <c r="O54" i="57" s="1"/>
  <c r="E55" i="57"/>
  <c r="S55" i="57" s="1"/>
  <c r="T55" i="57" s="1"/>
  <c r="H55" i="57" s="1"/>
  <c r="M55" i="57" s="1"/>
  <c r="O55" i="57" s="1"/>
  <c r="E56" i="57"/>
  <c r="T8" i="57"/>
  <c r="R42" i="57"/>
  <c r="S42" i="57" s="1"/>
  <c r="T42" i="57" s="1"/>
  <c r="H42" i="57" s="1"/>
  <c r="M42" i="57" s="1"/>
  <c r="O42" i="57" s="1"/>
  <c r="F15" i="57"/>
  <c r="F46" i="57"/>
  <c r="F56" i="57"/>
  <c r="R68" i="57"/>
  <c r="S68" i="57" s="1"/>
  <c r="T68" i="57" s="1"/>
  <c r="H68" i="57" s="1"/>
  <c r="M68" i="57" s="1"/>
  <c r="O68" i="57" s="1"/>
  <c r="E83" i="57"/>
  <c r="S52" i="57"/>
  <c r="T52" i="57" s="1"/>
  <c r="H52" i="57" s="1"/>
  <c r="M52" i="57" s="1"/>
  <c r="O52" i="57" s="1"/>
  <c r="F24" i="57"/>
  <c r="F30" i="57"/>
  <c r="E58" i="57"/>
  <c r="S58" i="57" s="1"/>
  <c r="T58" i="57" s="1"/>
  <c r="H58" i="57" s="1"/>
  <c r="S65" i="57"/>
  <c r="T65" i="57" s="1"/>
  <c r="H65" i="57" s="1"/>
  <c r="M65" i="57" s="1"/>
  <c r="O65" i="57" s="1"/>
  <c r="S79" i="57"/>
  <c r="T79" i="57" s="1"/>
  <c r="H79" i="57" s="1"/>
  <c r="M79" i="57" s="1"/>
  <c r="O79" i="57" s="1"/>
  <c r="F83" i="57"/>
  <c r="R84" i="57"/>
  <c r="E84" i="57"/>
  <c r="R81" i="57"/>
  <c r="S81" i="57" s="1"/>
  <c r="T81" i="57" s="1"/>
  <c r="H81" i="57" s="1"/>
  <c r="M81" i="57" s="1"/>
  <c r="O81" i="57" s="1"/>
  <c r="S78" i="57"/>
  <c r="T78" i="57" s="1"/>
  <c r="H78" i="57" s="1"/>
  <c r="E82" i="57"/>
  <c r="R85" i="57"/>
  <c r="F82" i="57"/>
  <c r="E85" i="57"/>
  <c r="S83" i="57"/>
  <c r="T83" i="57" s="1"/>
  <c r="H83" i="57" s="1"/>
  <c r="E80" i="57"/>
  <c r="E70" i="57"/>
  <c r="S66" i="57"/>
  <c r="T66" i="57" s="1"/>
  <c r="H66" i="57" s="1"/>
  <c r="M66" i="57" s="1"/>
  <c r="O66" i="57" s="1"/>
  <c r="F70" i="57"/>
  <c r="S71" i="57"/>
  <c r="T71" i="57" s="1"/>
  <c r="H71" i="57" s="1"/>
  <c r="E69" i="57"/>
  <c r="R72" i="57"/>
  <c r="F69" i="57"/>
  <c r="E72" i="57"/>
  <c r="S70" i="57"/>
  <c r="T70" i="57" s="1"/>
  <c r="H70" i="57" s="1"/>
  <c r="E67" i="57"/>
  <c r="F57" i="57"/>
  <c r="S56" i="57"/>
  <c r="T56" i="57" s="1"/>
  <c r="H56" i="57" s="1"/>
  <c r="R57" i="57"/>
  <c r="S57" i="57" s="1"/>
  <c r="T57" i="57" s="1"/>
  <c r="H57" i="57" s="1"/>
  <c r="F59" i="57"/>
  <c r="F58" i="57"/>
  <c r="R59" i="57"/>
  <c r="S59" i="57" s="1"/>
  <c r="T59" i="57" s="1"/>
  <c r="H59" i="57" s="1"/>
  <c r="R46" i="57"/>
  <c r="S46" i="57" s="1"/>
  <c r="T46" i="57" s="1"/>
  <c r="H46" i="57" s="1"/>
  <c r="M46" i="57" s="1"/>
  <c r="O46" i="57" s="1"/>
  <c r="R33" i="57"/>
  <c r="E33" i="57"/>
  <c r="R24" i="57"/>
  <c r="S24" i="57" s="1"/>
  <c r="T24" i="57" s="1"/>
  <c r="H24" i="57" s="1"/>
  <c r="R15" i="57"/>
  <c r="S15" i="57" s="1"/>
  <c r="T15" i="57" s="1"/>
  <c r="H15" i="57" s="1"/>
  <c r="S39" i="57"/>
  <c r="E21" i="57"/>
  <c r="F22" i="57"/>
  <c r="E41" i="57"/>
  <c r="S41" i="57" s="1"/>
  <c r="T41" i="57" s="1"/>
  <c r="H41" i="57" s="1"/>
  <c r="M41" i="57" s="1"/>
  <c r="O41" i="57" s="1"/>
  <c r="R20" i="57"/>
  <c r="S20" i="57" s="1"/>
  <c r="T20" i="57" s="1"/>
  <c r="H20" i="57" s="1"/>
  <c r="M20" i="57" s="1"/>
  <c r="O20" i="57" s="1"/>
  <c r="E44" i="57"/>
  <c r="S44" i="57" s="1"/>
  <c r="T44" i="57" s="1"/>
  <c r="H44" i="57" s="1"/>
  <c r="S17" i="57"/>
  <c r="S18" i="57"/>
  <c r="T18" i="57" s="1"/>
  <c r="H18" i="57" s="1"/>
  <c r="M18" i="57" s="1"/>
  <c r="O18" i="57" s="1"/>
  <c r="E22" i="57"/>
  <c r="S22" i="57" s="1"/>
  <c r="T22" i="57" s="1"/>
  <c r="H22" i="57" s="1"/>
  <c r="F43" i="57"/>
  <c r="F44" i="57"/>
  <c r="E43" i="57"/>
  <c r="S43" i="57" s="1"/>
  <c r="T43" i="57" s="1"/>
  <c r="H43" i="57" s="1"/>
  <c r="T39" i="57"/>
  <c r="H39" i="57" s="1"/>
  <c r="M39" i="57" s="1"/>
  <c r="O39" i="57" s="1"/>
  <c r="T40" i="57"/>
  <c r="H40" i="57" s="1"/>
  <c r="M40" i="57" s="1"/>
  <c r="O40" i="57" s="1"/>
  <c r="E45" i="57"/>
  <c r="R45" i="57"/>
  <c r="E29" i="57"/>
  <c r="S29" i="57" s="1"/>
  <c r="T29" i="57" s="1"/>
  <c r="H29" i="57" s="1"/>
  <c r="M29" i="57" s="1"/>
  <c r="O29" i="57" s="1"/>
  <c r="R28" i="57"/>
  <c r="S28" i="57" s="1"/>
  <c r="T28" i="57" s="1"/>
  <c r="H28" i="57" s="1"/>
  <c r="M28" i="57" s="1"/>
  <c r="O28" i="57" s="1"/>
  <c r="E19" i="57"/>
  <c r="S19" i="57" s="1"/>
  <c r="T19" i="57" s="1"/>
  <c r="H19" i="57" s="1"/>
  <c r="M19" i="57" s="1"/>
  <c r="O19" i="57" s="1"/>
  <c r="S27" i="57"/>
  <c r="T27" i="57" s="1"/>
  <c r="H27" i="57" s="1"/>
  <c r="M27" i="57" s="1"/>
  <c r="O27" i="57" s="1"/>
  <c r="S26" i="57"/>
  <c r="T26" i="57" s="1"/>
  <c r="H26" i="57" s="1"/>
  <c r="M26" i="57" s="1"/>
  <c r="O26" i="57" s="1"/>
  <c r="R31" i="57"/>
  <c r="S31" i="57" s="1"/>
  <c r="T31" i="57" s="1"/>
  <c r="H31" i="57" s="1"/>
  <c r="E32" i="57"/>
  <c r="E30" i="57"/>
  <c r="F31" i="57"/>
  <c r="R32" i="57"/>
  <c r="T17" i="57"/>
  <c r="H17" i="57" s="1"/>
  <c r="M17" i="57" s="1"/>
  <c r="O17" i="57" s="1"/>
  <c r="F21" i="57"/>
  <c r="S21" i="57"/>
  <c r="T21" i="57" s="1"/>
  <c r="H21" i="57" s="1"/>
  <c r="R23" i="57"/>
  <c r="E23" i="57"/>
  <c r="R14" i="57"/>
  <c r="E14" i="57"/>
  <c r="R13" i="57"/>
  <c r="S13" i="57" s="1"/>
  <c r="T13" i="57" s="1"/>
  <c r="H13" i="57" s="1"/>
  <c r="M13" i="57" s="1"/>
  <c r="O13" i="57" s="1"/>
  <c r="F12" i="57"/>
  <c r="S11" i="57"/>
  <c r="T11" i="57" s="1"/>
  <c r="S10" i="57"/>
  <c r="T10" i="57" s="1"/>
  <c r="H10" i="57" s="1"/>
  <c r="M10" i="57" s="1"/>
  <c r="O10" i="57" s="1"/>
  <c r="E9" i="57"/>
  <c r="R83" i="56"/>
  <c r="Q83" i="56" a="1"/>
  <c r="Q83" i="56" s="1"/>
  <c r="F83" i="56"/>
  <c r="E83" i="56"/>
  <c r="R85" i="56"/>
  <c r="Q85" i="56" a="1"/>
  <c r="Q85" i="56" s="1"/>
  <c r="E85" i="56"/>
  <c r="R87" i="56"/>
  <c r="Q87" i="56" a="1"/>
  <c r="Q87" i="56" s="1"/>
  <c r="F87" i="56"/>
  <c r="E87" i="56"/>
  <c r="Q86" i="56" a="1"/>
  <c r="Q86" i="56" s="1"/>
  <c r="E86" i="56"/>
  <c r="R82" i="56"/>
  <c r="Q82" i="56" a="1"/>
  <c r="Q82" i="56" s="1"/>
  <c r="E82" i="56"/>
  <c r="R81" i="56"/>
  <c r="E81" i="56"/>
  <c r="R80" i="56"/>
  <c r="Q80" i="56" a="1"/>
  <c r="Q80" i="56" s="1"/>
  <c r="E80" i="56"/>
  <c r="S80" i="56" s="1"/>
  <c r="Q79" i="56" a="1"/>
  <c r="Q79" i="56" s="1"/>
  <c r="B79" i="56"/>
  <c r="R79" i="56" s="1"/>
  <c r="M71" i="57" l="1"/>
  <c r="O71" i="57" s="1"/>
  <c r="M44" i="57"/>
  <c r="O44" i="57" s="1"/>
  <c r="M43" i="57"/>
  <c r="O43" i="57" s="1"/>
  <c r="S84" i="57"/>
  <c r="T84" i="57" s="1"/>
  <c r="H84" i="57" s="1"/>
  <c r="M84" i="57" s="1"/>
  <c r="O84" i="57" s="1"/>
  <c r="M83" i="57"/>
  <c r="O83" i="57" s="1"/>
  <c r="M22" i="57"/>
  <c r="O22" i="57" s="1"/>
  <c r="M78" i="57"/>
  <c r="O78" i="57" s="1"/>
  <c r="M15" i="57"/>
  <c r="O15" i="57" s="1"/>
  <c r="M24" i="57"/>
  <c r="O24" i="57" s="1"/>
  <c r="M57" i="57"/>
  <c r="O57" i="57" s="1"/>
  <c r="M70" i="57"/>
  <c r="O70" i="57" s="1"/>
  <c r="M59" i="57"/>
  <c r="O59" i="57" s="1"/>
  <c r="M58" i="57"/>
  <c r="O58" i="57" s="1"/>
  <c r="M56" i="57"/>
  <c r="O56" i="57" s="1"/>
  <c r="H11" i="57"/>
  <c r="M11" i="57" s="1"/>
  <c r="O11" i="57" s="1"/>
  <c r="H8" i="57"/>
  <c r="M8" i="57" s="1"/>
  <c r="O8" i="57" s="1"/>
  <c r="S85" i="57"/>
  <c r="T85" i="57" s="1"/>
  <c r="H85" i="57" s="1"/>
  <c r="M85" i="57" s="1"/>
  <c r="O85" i="57" s="1"/>
  <c r="S82" i="57"/>
  <c r="T82" i="57" s="1"/>
  <c r="H82" i="57" s="1"/>
  <c r="M82" i="57" s="1"/>
  <c r="O82" i="57" s="1"/>
  <c r="S80" i="57"/>
  <c r="T80" i="57" s="1"/>
  <c r="H80" i="57" s="1"/>
  <c r="M80" i="57" s="1"/>
  <c r="O80" i="57" s="1"/>
  <c r="S67" i="57"/>
  <c r="T67" i="57" s="1"/>
  <c r="H67" i="57" s="1"/>
  <c r="M67" i="57" s="1"/>
  <c r="O67" i="57" s="1"/>
  <c r="S72" i="57"/>
  <c r="T72" i="57" s="1"/>
  <c r="H72" i="57" s="1"/>
  <c r="M72" i="57" s="1"/>
  <c r="O72" i="57" s="1"/>
  <c r="S69" i="57"/>
  <c r="T69" i="57" s="1"/>
  <c r="H69" i="57" s="1"/>
  <c r="M69" i="57" s="1"/>
  <c r="O69" i="57" s="1"/>
  <c r="S33" i="57"/>
  <c r="T33" i="57" s="1"/>
  <c r="H33" i="57" s="1"/>
  <c r="M33" i="57" s="1"/>
  <c r="O33" i="57" s="1"/>
  <c r="M21" i="57"/>
  <c r="O21" i="57" s="1"/>
  <c r="S45" i="57"/>
  <c r="T45" i="57" s="1"/>
  <c r="H45" i="57" s="1"/>
  <c r="M45" i="57" s="1"/>
  <c r="O45" i="57" s="1"/>
  <c r="M31" i="57"/>
  <c r="O31" i="57" s="1"/>
  <c r="S32" i="57"/>
  <c r="T32" i="57" s="1"/>
  <c r="H32" i="57" s="1"/>
  <c r="M32" i="57" s="1"/>
  <c r="O32" i="57" s="1"/>
  <c r="S30" i="57"/>
  <c r="T30" i="57" s="1"/>
  <c r="H30" i="57" s="1"/>
  <c r="M30" i="57" s="1"/>
  <c r="O30" i="57" s="1"/>
  <c r="S23" i="57"/>
  <c r="T23" i="57" s="1"/>
  <c r="H23" i="57" s="1"/>
  <c r="M23" i="57" s="1"/>
  <c r="O23" i="57" s="1"/>
  <c r="S14" i="57"/>
  <c r="T14" i="57" s="1"/>
  <c r="H14" i="57" s="1"/>
  <c r="M14" i="57" s="1"/>
  <c r="O14" i="57" s="1"/>
  <c r="M12" i="57"/>
  <c r="O12" i="57" s="1"/>
  <c r="S9" i="57"/>
  <c r="T9" i="57" s="1"/>
  <c r="H9" i="57" s="1"/>
  <c r="M9" i="57" s="1"/>
  <c r="O9" i="57" s="1"/>
  <c r="S83" i="56"/>
  <c r="T83" i="56" s="1"/>
  <c r="H83" i="56" s="1"/>
  <c r="M83" i="56" s="1"/>
  <c r="O83" i="56" s="1"/>
  <c r="S85" i="56"/>
  <c r="T85" i="56" s="1"/>
  <c r="H85" i="56" s="1"/>
  <c r="M85" i="56" s="1"/>
  <c r="O85" i="56" s="1"/>
  <c r="S87" i="56"/>
  <c r="T87" i="56" s="1"/>
  <c r="H87" i="56" s="1"/>
  <c r="M87" i="56" s="1"/>
  <c r="O87" i="56" s="1"/>
  <c r="R86" i="56"/>
  <c r="S86" i="56" s="1"/>
  <c r="T86" i="56" s="1"/>
  <c r="H86" i="56" s="1"/>
  <c r="M86" i="56" s="1"/>
  <c r="O86" i="56" s="1"/>
  <c r="S82" i="56"/>
  <c r="T82" i="56" s="1"/>
  <c r="H82" i="56" s="1"/>
  <c r="M82" i="56" s="1"/>
  <c r="O82" i="56" s="1"/>
  <c r="S81" i="56"/>
  <c r="T81" i="56" s="1"/>
  <c r="H81" i="56" s="1"/>
  <c r="M81" i="56" s="1"/>
  <c r="O81" i="56" s="1"/>
  <c r="C3" i="56" s="1"/>
  <c r="T80" i="56"/>
  <c r="H80" i="56"/>
  <c r="M80" i="56" s="1"/>
  <c r="O80" i="56" s="1"/>
  <c r="E79" i="56"/>
  <c r="R78" i="56"/>
  <c r="Q78" i="56" a="1"/>
  <c r="Q78" i="56" s="1"/>
  <c r="E78" i="56"/>
  <c r="S78" i="56" s="1"/>
  <c r="R77" i="56"/>
  <c r="Q77" i="56"/>
  <c r="Q77" i="56" a="1"/>
  <c r="E77" i="56"/>
  <c r="R76" i="56"/>
  <c r="Q76" i="56" a="1"/>
  <c r="Q76" i="56" s="1"/>
  <c r="E76" i="56"/>
  <c r="R75" i="56"/>
  <c r="Q75" i="56" a="1"/>
  <c r="Q75" i="56" s="1"/>
  <c r="E75" i="56"/>
  <c r="C70" i="56"/>
  <c r="B70" i="56"/>
  <c r="E70" i="56" s="1"/>
  <c r="R72" i="56"/>
  <c r="Q72" i="56" a="1"/>
  <c r="Q72" i="56" s="1"/>
  <c r="F72" i="56"/>
  <c r="E72" i="56"/>
  <c r="R71" i="56"/>
  <c r="Q71" i="56" a="1"/>
  <c r="Q71" i="56" s="1"/>
  <c r="F71" i="56"/>
  <c r="E71" i="56"/>
  <c r="Q70" i="56" a="1"/>
  <c r="Q70" i="56" s="1"/>
  <c r="R69" i="56"/>
  <c r="Q69" i="56" a="1"/>
  <c r="Q69" i="56" s="1"/>
  <c r="E69" i="56"/>
  <c r="R68" i="56"/>
  <c r="Q68" i="56" a="1"/>
  <c r="Q68" i="56" s="1"/>
  <c r="E68" i="56"/>
  <c r="R67" i="56"/>
  <c r="Q67" i="56" a="1"/>
  <c r="Q67" i="56" s="1"/>
  <c r="E67" i="56"/>
  <c r="R64" i="56"/>
  <c r="Q64" i="56" a="1"/>
  <c r="Q64" i="56" s="1"/>
  <c r="F64" i="56"/>
  <c r="E64" i="56"/>
  <c r="R63" i="56"/>
  <c r="Q63" i="56" a="1"/>
  <c r="Q63" i="56" s="1"/>
  <c r="F63" i="56"/>
  <c r="E63" i="56"/>
  <c r="R62" i="56"/>
  <c r="Q62" i="56" a="1"/>
  <c r="Q62" i="56" s="1"/>
  <c r="E62" i="56"/>
  <c r="R61" i="56"/>
  <c r="Q61" i="56" a="1"/>
  <c r="Q61" i="56" s="1"/>
  <c r="E61" i="56"/>
  <c r="R60" i="56"/>
  <c r="Q60" i="56" a="1"/>
  <c r="Q60" i="56" s="1"/>
  <c r="E60" i="56"/>
  <c r="R59" i="56"/>
  <c r="Q59" i="56" a="1"/>
  <c r="Q59" i="56" s="1"/>
  <c r="E59" i="56"/>
  <c r="R56" i="56"/>
  <c r="Q56" i="56" a="1"/>
  <c r="Q56" i="56" s="1"/>
  <c r="F56" i="56"/>
  <c r="E56" i="56"/>
  <c r="R55" i="56"/>
  <c r="Q55" i="56" a="1"/>
  <c r="Q55" i="56" s="1"/>
  <c r="F55" i="56"/>
  <c r="E55" i="56"/>
  <c r="R54" i="56"/>
  <c r="Q54" i="56" a="1"/>
  <c r="Q54" i="56" s="1"/>
  <c r="E54" i="56"/>
  <c r="R53" i="56"/>
  <c r="Q53" i="56" a="1"/>
  <c r="Q53" i="56" s="1"/>
  <c r="E53" i="56"/>
  <c r="R52" i="56"/>
  <c r="Q52" i="56" a="1"/>
  <c r="Q52" i="56" s="1"/>
  <c r="E52" i="56"/>
  <c r="R51" i="56"/>
  <c r="Q51" i="56" a="1"/>
  <c r="Q51" i="56" s="1"/>
  <c r="E51" i="56"/>
  <c r="R48" i="56"/>
  <c r="Q48" i="56" a="1"/>
  <c r="Q48" i="56" s="1"/>
  <c r="F48" i="56"/>
  <c r="E48" i="56"/>
  <c r="R47" i="56"/>
  <c r="Q47" i="56" a="1"/>
  <c r="Q47" i="56" s="1"/>
  <c r="F47" i="56"/>
  <c r="E47" i="56"/>
  <c r="R46" i="56"/>
  <c r="Q46" i="56" a="1"/>
  <c r="Q46" i="56" s="1"/>
  <c r="E46" i="56"/>
  <c r="R45" i="56"/>
  <c r="Q45" i="56" a="1"/>
  <c r="Q45" i="56" s="1"/>
  <c r="E45" i="56"/>
  <c r="R44" i="56"/>
  <c r="Q44" i="56" a="1"/>
  <c r="Q44" i="56" s="1"/>
  <c r="E44" i="56"/>
  <c r="R43" i="56"/>
  <c r="Q43" i="56" a="1"/>
  <c r="Q43" i="56" s="1"/>
  <c r="E43" i="56"/>
  <c r="R40" i="56"/>
  <c r="Q40" i="56" a="1"/>
  <c r="Q40" i="56" s="1"/>
  <c r="F40" i="56"/>
  <c r="E40" i="56"/>
  <c r="S40" i="56" s="1"/>
  <c r="Q39" i="56" a="1"/>
  <c r="Q39" i="56" s="1"/>
  <c r="F39" i="56"/>
  <c r="E39" i="56"/>
  <c r="R39" i="56"/>
  <c r="R37" i="56"/>
  <c r="Q37" i="56" a="1"/>
  <c r="Q37" i="56" s="1"/>
  <c r="E37" i="56"/>
  <c r="R24" i="56"/>
  <c r="Q24" i="56" a="1"/>
  <c r="Q24" i="56" s="1"/>
  <c r="E24" i="56"/>
  <c r="Q10" i="56" a="1"/>
  <c r="Q10" i="56" s="1"/>
  <c r="B10" i="56"/>
  <c r="R10" i="56" s="1"/>
  <c r="R38" i="56"/>
  <c r="Q38" i="56" a="1"/>
  <c r="Q38" i="56" s="1"/>
  <c r="E38" i="56"/>
  <c r="R36" i="56"/>
  <c r="Q36" i="56" a="1"/>
  <c r="Q36" i="56" s="1"/>
  <c r="E36" i="56"/>
  <c r="R35" i="56"/>
  <c r="Q35" i="56" a="1"/>
  <c r="Q35" i="56" s="1"/>
  <c r="E35" i="56"/>
  <c r="R32" i="56"/>
  <c r="Q32" i="56" a="1"/>
  <c r="Q32" i="56" s="1"/>
  <c r="F32" i="56"/>
  <c r="E32" i="56"/>
  <c r="B31" i="56"/>
  <c r="R31" i="56" s="1"/>
  <c r="Q31" i="56" a="1"/>
  <c r="Q31" i="56" s="1"/>
  <c r="E31" i="56"/>
  <c r="R30" i="56"/>
  <c r="Q30" i="56" a="1"/>
  <c r="Q30" i="56" s="1"/>
  <c r="B29" i="56"/>
  <c r="R29" i="56" s="1"/>
  <c r="Q29" i="56" a="1"/>
  <c r="Q29" i="56" s="1"/>
  <c r="R28" i="56"/>
  <c r="Q28" i="56" a="1"/>
  <c r="Q28" i="56" s="1"/>
  <c r="E28" i="56"/>
  <c r="R27" i="56"/>
  <c r="S27" i="56" s="1"/>
  <c r="Q27" i="56" a="1"/>
  <c r="Q27" i="56" s="1"/>
  <c r="E27" i="56"/>
  <c r="B21" i="56"/>
  <c r="E21" i="56" s="1"/>
  <c r="R23" i="56"/>
  <c r="Q23" i="56" a="1"/>
  <c r="Q23" i="56" s="1"/>
  <c r="F23" i="56"/>
  <c r="E23" i="56"/>
  <c r="R22" i="56"/>
  <c r="Q22" i="56" a="1"/>
  <c r="Q22" i="56" s="1"/>
  <c r="F22" i="56"/>
  <c r="E22" i="56"/>
  <c r="Q21" i="56" a="1"/>
  <c r="Q21" i="56" s="1"/>
  <c r="C3" i="57" l="1"/>
  <c r="B3" i="57"/>
  <c r="M79" i="56"/>
  <c r="O79" i="56" s="1"/>
  <c r="S79" i="56"/>
  <c r="T79" i="56" s="1"/>
  <c r="H79" i="56" s="1"/>
  <c r="S77" i="56"/>
  <c r="T77" i="56" s="1"/>
  <c r="H77" i="56" s="1"/>
  <c r="M77" i="56" s="1"/>
  <c r="O77" i="56" s="1"/>
  <c r="T78" i="56"/>
  <c r="H78" i="56" s="1"/>
  <c r="M78" i="56" s="1"/>
  <c r="O78" i="56" s="1"/>
  <c r="S76" i="56"/>
  <c r="T76" i="56" s="1"/>
  <c r="H76" i="56" s="1"/>
  <c r="M76" i="56" s="1"/>
  <c r="O76" i="56" s="1"/>
  <c r="S75" i="56"/>
  <c r="T75" i="56" s="1"/>
  <c r="H75" i="56" s="1"/>
  <c r="M75" i="56" s="1"/>
  <c r="O75" i="56" s="1"/>
  <c r="S37" i="56"/>
  <c r="R70" i="56"/>
  <c r="S46" i="56"/>
  <c r="T46" i="56" s="1"/>
  <c r="H46" i="56" s="1"/>
  <c r="M46" i="56" s="1"/>
  <c r="O46" i="56" s="1"/>
  <c r="S51" i="56"/>
  <c r="T51" i="56" s="1"/>
  <c r="H51" i="56" s="1"/>
  <c r="M51" i="56" s="1"/>
  <c r="O51" i="56" s="1"/>
  <c r="S54" i="56"/>
  <c r="T54" i="56" s="1"/>
  <c r="H54" i="56" s="1"/>
  <c r="M54" i="56" s="1"/>
  <c r="O54" i="56" s="1"/>
  <c r="S59" i="56"/>
  <c r="T59" i="56" s="1"/>
  <c r="H59" i="56" s="1"/>
  <c r="M59" i="56" s="1"/>
  <c r="O59" i="56" s="1"/>
  <c r="S61" i="56"/>
  <c r="T61" i="56" s="1"/>
  <c r="H61" i="56" s="1"/>
  <c r="M61" i="56" s="1"/>
  <c r="O61" i="56" s="1"/>
  <c r="S70" i="56"/>
  <c r="T70" i="56" s="1"/>
  <c r="H70" i="56" s="1"/>
  <c r="M70" i="56" s="1"/>
  <c r="O70" i="56" s="1"/>
  <c r="S60" i="56"/>
  <c r="S72" i="56"/>
  <c r="S36" i="56"/>
  <c r="T36" i="56" s="1"/>
  <c r="H36" i="56" s="1"/>
  <c r="M36" i="56" s="1"/>
  <c r="O36" i="56" s="1"/>
  <c r="S43" i="56"/>
  <c r="T43" i="56" s="1"/>
  <c r="H43" i="56" s="1"/>
  <c r="M43" i="56" s="1"/>
  <c r="O43" i="56" s="1"/>
  <c r="S52" i="56"/>
  <c r="T52" i="56" s="1"/>
  <c r="H52" i="56" s="1"/>
  <c r="M52" i="56" s="1"/>
  <c r="O52" i="56" s="1"/>
  <c r="S68" i="56"/>
  <c r="T68" i="56" s="1"/>
  <c r="H68" i="56" s="1"/>
  <c r="M68" i="56" s="1"/>
  <c r="O68" i="56" s="1"/>
  <c r="S67" i="56"/>
  <c r="T67" i="56" s="1"/>
  <c r="M67" i="56" s="1"/>
  <c r="O67" i="56" s="1"/>
  <c r="S69" i="56"/>
  <c r="T69" i="56" s="1"/>
  <c r="H69" i="56" s="1"/>
  <c r="M69" i="56" s="1"/>
  <c r="O69" i="56" s="1"/>
  <c r="T72" i="56"/>
  <c r="H72" i="56" s="1"/>
  <c r="M72" i="56" s="1"/>
  <c r="O72" i="56" s="1"/>
  <c r="S71" i="56"/>
  <c r="T71" i="56" s="1"/>
  <c r="H71" i="56" s="1"/>
  <c r="M71" i="56" s="1"/>
  <c r="O71" i="56" s="1"/>
  <c r="S64" i="56"/>
  <c r="T64" i="56" s="1"/>
  <c r="H64" i="56" s="1"/>
  <c r="M64" i="56" s="1"/>
  <c r="O64" i="56" s="1"/>
  <c r="S62" i="56"/>
  <c r="T62" i="56" s="1"/>
  <c r="H62" i="56" s="1"/>
  <c r="M62" i="56" s="1"/>
  <c r="O62" i="56" s="1"/>
  <c r="T60" i="56"/>
  <c r="H60" i="56" s="1"/>
  <c r="M60" i="56" s="1"/>
  <c r="O60" i="56" s="1"/>
  <c r="S63" i="56"/>
  <c r="T63" i="56" s="1"/>
  <c r="H63" i="56" s="1"/>
  <c r="M63" i="56" s="1"/>
  <c r="O63" i="56" s="1"/>
  <c r="S56" i="56"/>
  <c r="T56" i="56" s="1"/>
  <c r="H56" i="56" s="1"/>
  <c r="M56" i="56" s="1"/>
  <c r="O56" i="56" s="1"/>
  <c r="S53" i="56"/>
  <c r="T53" i="56" s="1"/>
  <c r="H53" i="56" s="1"/>
  <c r="M53" i="56" s="1"/>
  <c r="O53" i="56" s="1"/>
  <c r="S55" i="56"/>
  <c r="T55" i="56" s="1"/>
  <c r="H55" i="56" s="1"/>
  <c r="M55" i="56" s="1"/>
  <c r="O55" i="56" s="1"/>
  <c r="S48" i="56"/>
  <c r="T48" i="56" s="1"/>
  <c r="H48" i="56" s="1"/>
  <c r="M48" i="56" s="1"/>
  <c r="O48" i="56" s="1"/>
  <c r="S44" i="56"/>
  <c r="T44" i="56" s="1"/>
  <c r="H44" i="56" s="1"/>
  <c r="M44" i="56" s="1"/>
  <c r="O44" i="56" s="1"/>
  <c r="S45" i="56"/>
  <c r="T45" i="56" s="1"/>
  <c r="H45" i="56" s="1"/>
  <c r="M45" i="56" s="1"/>
  <c r="O45" i="56" s="1"/>
  <c r="S47" i="56"/>
  <c r="T47" i="56" s="1"/>
  <c r="H47" i="56" s="1"/>
  <c r="M47" i="56" s="1"/>
  <c r="O47" i="56" s="1"/>
  <c r="T40" i="56"/>
  <c r="H40" i="56" s="1"/>
  <c r="M40" i="56" s="1"/>
  <c r="O40" i="56" s="1"/>
  <c r="S39" i="56"/>
  <c r="T39" i="56" s="1"/>
  <c r="H39" i="56" s="1"/>
  <c r="M39" i="56" s="1"/>
  <c r="O39" i="56" s="1"/>
  <c r="T37" i="56"/>
  <c r="H37" i="56" s="1"/>
  <c r="M37" i="56" s="1"/>
  <c r="O37" i="56" s="1"/>
  <c r="S24" i="56"/>
  <c r="T24" i="56" s="1"/>
  <c r="H24" i="56" s="1"/>
  <c r="E10" i="56"/>
  <c r="F31" i="56"/>
  <c r="S38" i="56"/>
  <c r="T38" i="56" s="1"/>
  <c r="H38" i="56" s="1"/>
  <c r="M38" i="56" s="1"/>
  <c r="O38" i="56" s="1"/>
  <c r="S28" i="56"/>
  <c r="E29" i="56"/>
  <c r="S29" i="56" s="1"/>
  <c r="T29" i="56" s="1"/>
  <c r="H29" i="56" s="1"/>
  <c r="M29" i="56" s="1"/>
  <c r="O29" i="56" s="1"/>
  <c r="S35" i="56"/>
  <c r="T35" i="56" s="1"/>
  <c r="H35" i="56" s="1"/>
  <c r="M35" i="56" s="1"/>
  <c r="O35" i="56" s="1"/>
  <c r="S32" i="56"/>
  <c r="T32" i="56" s="1"/>
  <c r="H32" i="56" s="1"/>
  <c r="M32" i="56" s="1"/>
  <c r="O32" i="56" s="1"/>
  <c r="S31" i="56"/>
  <c r="T31" i="56" s="1"/>
  <c r="H31" i="56" s="1"/>
  <c r="E30" i="56"/>
  <c r="S30" i="56" s="1"/>
  <c r="T30" i="56" s="1"/>
  <c r="H30" i="56" s="1"/>
  <c r="M30" i="56" s="1"/>
  <c r="O30" i="56" s="1"/>
  <c r="T28" i="56"/>
  <c r="H28" i="56" s="1"/>
  <c r="M28" i="56" s="1"/>
  <c r="O28" i="56" s="1"/>
  <c r="T27" i="56"/>
  <c r="H27" i="56" s="1"/>
  <c r="M27" i="56" s="1"/>
  <c r="O27" i="56" s="1"/>
  <c r="R21" i="56"/>
  <c r="S21" i="56" s="1"/>
  <c r="T21" i="56" s="1"/>
  <c r="H21" i="56" s="1"/>
  <c r="M21" i="56" s="1"/>
  <c r="O21" i="56" s="1"/>
  <c r="S23" i="56"/>
  <c r="T23" i="56" s="1"/>
  <c r="H23" i="56" s="1"/>
  <c r="S22" i="56"/>
  <c r="T22" i="56" s="1"/>
  <c r="H22" i="56" s="1"/>
  <c r="R20" i="56"/>
  <c r="Q20" i="56" a="1"/>
  <c r="Q20" i="56" s="1"/>
  <c r="F20" i="56"/>
  <c r="E20" i="56"/>
  <c r="R19" i="56"/>
  <c r="Q19" i="56" a="1"/>
  <c r="Q19" i="56" s="1"/>
  <c r="F19" i="56"/>
  <c r="E19" i="56"/>
  <c r="R18" i="56"/>
  <c r="Q18" i="56" a="1"/>
  <c r="Q18" i="56" s="1"/>
  <c r="E18" i="56"/>
  <c r="Q17" i="56" a="1"/>
  <c r="Q17" i="56" s="1"/>
  <c r="R17" i="56"/>
  <c r="R16" i="56"/>
  <c r="Q16" i="56" a="1"/>
  <c r="Q16" i="56" s="1"/>
  <c r="E16" i="56"/>
  <c r="B9" i="56"/>
  <c r="E9" i="56" s="1"/>
  <c r="B8" i="56"/>
  <c r="R13" i="56"/>
  <c r="Q13" i="56" a="1"/>
  <c r="Q13" i="56" s="1"/>
  <c r="F13" i="56"/>
  <c r="E13" i="56"/>
  <c r="R12" i="56"/>
  <c r="Q12" i="56" a="1"/>
  <c r="Q12" i="56" s="1"/>
  <c r="F12" i="56"/>
  <c r="E12" i="56"/>
  <c r="R11" i="56"/>
  <c r="Q11" i="56" a="1"/>
  <c r="Q11" i="56" s="1"/>
  <c r="E11" i="56"/>
  <c r="R9" i="56"/>
  <c r="Q9" i="56" a="1"/>
  <c r="Q9" i="56" s="1"/>
  <c r="I3" i="57" l="1"/>
  <c r="M31" i="56"/>
  <c r="O31" i="56" s="1"/>
  <c r="S10" i="56"/>
  <c r="T10" i="56" s="1"/>
  <c r="H10" i="56" s="1"/>
  <c r="M23" i="56"/>
  <c r="O23" i="56" s="1"/>
  <c r="M24" i="56"/>
  <c r="O24" i="56" s="1"/>
  <c r="M22" i="56"/>
  <c r="O22" i="56" s="1"/>
  <c r="S20" i="56"/>
  <c r="T20" i="56" s="1"/>
  <c r="H20" i="56" s="1"/>
  <c r="S18" i="56"/>
  <c r="T18" i="56" s="1"/>
  <c r="H18" i="56" s="1"/>
  <c r="S13" i="56"/>
  <c r="T13" i="56" s="1"/>
  <c r="H13" i="56" s="1"/>
  <c r="S19" i="56"/>
  <c r="T19" i="56" s="1"/>
  <c r="H19" i="56" s="1"/>
  <c r="S9" i="56"/>
  <c r="T9" i="56" s="1"/>
  <c r="H9" i="56" s="1"/>
  <c r="S16" i="56"/>
  <c r="T16" i="56" s="1"/>
  <c r="H16" i="56" s="1"/>
  <c r="M16" i="56" s="1"/>
  <c r="O16" i="56" s="1"/>
  <c r="E17" i="56"/>
  <c r="T12" i="56"/>
  <c r="H12" i="56" s="1"/>
  <c r="S11" i="56"/>
  <c r="T11" i="56" s="1"/>
  <c r="H11" i="56" s="1"/>
  <c r="M11" i="56" s="1"/>
  <c r="E8" i="56"/>
  <c r="T8" i="56" s="1"/>
  <c r="H8" i="56" s="1"/>
  <c r="O8" i="56" s="1"/>
  <c r="H6" i="52"/>
  <c r="M6" i="52" s="1"/>
  <c r="R9" i="55"/>
  <c r="Q9" i="55" a="1"/>
  <c r="Q9" i="55" s="1"/>
  <c r="E9" i="55"/>
  <c r="R8" i="55"/>
  <c r="Q8" i="55" a="1"/>
  <c r="Q8" i="55" s="1"/>
  <c r="F8" i="55"/>
  <c r="E8" i="55"/>
  <c r="R7" i="55"/>
  <c r="Q7" i="55" a="1"/>
  <c r="Q7" i="55" s="1"/>
  <c r="E7" i="55"/>
  <c r="R6" i="55"/>
  <c r="Q6" i="55" a="1"/>
  <c r="Q6" i="55" s="1"/>
  <c r="F6" i="55"/>
  <c r="E6" i="55"/>
  <c r="S6" i="55" s="1"/>
  <c r="R9" i="54"/>
  <c r="S9" i="54" s="1"/>
  <c r="Q9" i="54"/>
  <c r="Q9" i="54" a="1"/>
  <c r="E9" i="54"/>
  <c r="R8" i="54"/>
  <c r="Q8" i="54" a="1"/>
  <c r="Q8" i="54" s="1"/>
  <c r="F8" i="54"/>
  <c r="E8" i="54"/>
  <c r="R7" i="54"/>
  <c r="Q7" i="54" a="1"/>
  <c r="Q7" i="54" s="1"/>
  <c r="E7" i="54"/>
  <c r="R6" i="54"/>
  <c r="Q6" i="54"/>
  <c r="Q6" i="54" a="1"/>
  <c r="F6" i="54"/>
  <c r="E6" i="54"/>
  <c r="S6" i="54" s="1"/>
  <c r="R7" i="53"/>
  <c r="U7" i="53" s="1"/>
  <c r="Q7" i="53" a="1"/>
  <c r="Q7" i="53" s="1"/>
  <c r="E7" i="53"/>
  <c r="R6" i="53"/>
  <c r="U6" i="53" s="1"/>
  <c r="Q6" i="53" a="1"/>
  <c r="Q6" i="53" s="1"/>
  <c r="F6" i="53"/>
  <c r="E6" i="53"/>
  <c r="R5" i="53"/>
  <c r="T5" i="53" s="1"/>
  <c r="Q5" i="53" a="1"/>
  <c r="Q5" i="53" s="1"/>
  <c r="F5" i="53"/>
  <c r="E5" i="53"/>
  <c r="O11" i="56" l="1"/>
  <c r="M10" i="56"/>
  <c r="O10" i="56" s="1"/>
  <c r="M9" i="56"/>
  <c r="O9" i="56" s="1"/>
  <c r="M12" i="56"/>
  <c r="O12" i="56" s="1"/>
  <c r="M13" i="56"/>
  <c r="O13" i="56" s="1"/>
  <c r="M19" i="56"/>
  <c r="O19" i="56" s="1"/>
  <c r="M20" i="56"/>
  <c r="O20" i="56" s="1"/>
  <c r="M18" i="56"/>
  <c r="O18" i="56" s="1"/>
  <c r="S17" i="56"/>
  <c r="T17" i="56" s="1"/>
  <c r="H17" i="56" s="1"/>
  <c r="S9" i="55"/>
  <c r="S7" i="55"/>
  <c r="T7" i="55" s="1"/>
  <c r="H7" i="55" s="1"/>
  <c r="M7" i="55" s="1"/>
  <c r="O7" i="55" s="1"/>
  <c r="T9" i="55"/>
  <c r="H9" i="55" s="1"/>
  <c r="M9" i="55" s="1"/>
  <c r="O9" i="55" s="1"/>
  <c r="T6" i="55"/>
  <c r="H6" i="55" s="1"/>
  <c r="M6" i="55" s="1"/>
  <c r="O6" i="55" s="1"/>
  <c r="T8" i="55"/>
  <c r="H8" i="55" s="1"/>
  <c r="M8" i="55" s="1"/>
  <c r="O8" i="55" s="1"/>
  <c r="S8" i="55"/>
  <c r="S8" i="54"/>
  <c r="T8" i="54" s="1"/>
  <c r="H8" i="54" s="1"/>
  <c r="M8" i="54" s="1"/>
  <c r="O8" i="54" s="1"/>
  <c r="T9" i="54"/>
  <c r="H9" i="54" s="1"/>
  <c r="M9" i="54" s="1"/>
  <c r="O9" i="54" s="1"/>
  <c r="S7" i="54"/>
  <c r="T7" i="54" s="1"/>
  <c r="H7" i="54" s="1"/>
  <c r="M7" i="54" s="1"/>
  <c r="O7" i="54" s="1"/>
  <c r="T6" i="54"/>
  <c r="H6" i="54" s="1"/>
  <c r="M6" i="54" s="1"/>
  <c r="O6" i="54" s="1"/>
  <c r="U5" i="53"/>
  <c r="V5" i="53" s="1"/>
  <c r="H5" i="53" s="1"/>
  <c r="M5" i="53" s="1"/>
  <c r="V6" i="53"/>
  <c r="H6" i="53"/>
  <c r="M6" i="53" s="1"/>
  <c r="V7" i="53"/>
  <c r="H7" i="53" s="1"/>
  <c r="M7" i="53" s="1"/>
  <c r="T6" i="53"/>
  <c r="T7" i="53"/>
  <c r="M17" i="56" l="1"/>
  <c r="O17" i="56" s="1"/>
  <c r="C2" i="56" s="1"/>
  <c r="G2" i="56" s="1"/>
  <c r="C2" i="55"/>
  <c r="D2" i="55" s="1"/>
  <c r="C2" i="54"/>
  <c r="D2" i="54" s="1"/>
  <c r="C2" i="53"/>
  <c r="D2" i="53" s="1"/>
  <c r="R14" i="52" l="1"/>
  <c r="Q14" i="52" a="1"/>
  <c r="Q14" i="52" s="1"/>
  <c r="R13" i="52"/>
  <c r="S13" i="52" s="1"/>
  <c r="Q13" i="52" a="1"/>
  <c r="Q13" i="52" s="1"/>
  <c r="T13" i="52" s="1"/>
  <c r="R12" i="52"/>
  <c r="Q12" i="52" a="1"/>
  <c r="Q12" i="52" s="1"/>
  <c r="R11" i="52"/>
  <c r="Q11" i="52" a="1"/>
  <c r="Q11" i="52" s="1"/>
  <c r="T11" i="52" s="1"/>
  <c r="S11" i="52"/>
  <c r="R9" i="52"/>
  <c r="Q9" i="52" a="1"/>
  <c r="Q9" i="52" s="1"/>
  <c r="E9" i="52"/>
  <c r="S9" i="52" s="1"/>
  <c r="R8" i="52"/>
  <c r="Q8" i="52" a="1"/>
  <c r="Q8" i="52" s="1"/>
  <c r="F8" i="52"/>
  <c r="E8" i="52"/>
  <c r="R7" i="52"/>
  <c r="Q7" i="52" a="1"/>
  <c r="Q7" i="52" s="1"/>
  <c r="E7" i="52"/>
  <c r="R6" i="52"/>
  <c r="Q6" i="52" a="1"/>
  <c r="Q6" i="52" s="1"/>
  <c r="F6" i="52"/>
  <c r="E6" i="52"/>
  <c r="S14" i="52" l="1"/>
  <c r="T14" i="52" s="1"/>
  <c r="S12" i="52"/>
  <c r="T12" i="52" s="1"/>
  <c r="S7" i="52"/>
  <c r="T7" i="52" s="1"/>
  <c r="H7" i="52" s="1"/>
  <c r="M7" i="52" s="1"/>
  <c r="O7" i="52" s="1"/>
  <c r="S8" i="52"/>
  <c r="T8" i="52" s="1"/>
  <c r="H8" i="52" s="1"/>
  <c r="M8" i="52" s="1"/>
  <c r="O8" i="52" s="1"/>
  <c r="S6" i="52"/>
  <c r="T6" i="52" s="1"/>
  <c r="O6" i="52" s="1"/>
  <c r="C2" i="52" s="1"/>
  <c r="T9" i="52"/>
  <c r="H9" i="52" s="1"/>
  <c r="M9" i="52" s="1"/>
  <c r="O9" i="52" s="1"/>
  <c r="E2" i="51"/>
  <c r="C4" i="51"/>
  <c r="D4" i="51" s="1"/>
  <c r="B110" i="51"/>
  <c r="D110" i="51" s="1"/>
  <c r="R108" i="51"/>
  <c r="Q108" i="51" a="1"/>
  <c r="Q108" i="51" s="1"/>
  <c r="E108" i="51"/>
  <c r="S107" i="51"/>
  <c r="R107" i="51"/>
  <c r="Q107" i="51" a="1"/>
  <c r="Q107" i="51" s="1"/>
  <c r="E107" i="51"/>
  <c r="R106" i="51"/>
  <c r="Q106" i="51" a="1"/>
  <c r="Q106" i="51" s="1"/>
  <c r="F106" i="51"/>
  <c r="E106" i="51"/>
  <c r="R105" i="51"/>
  <c r="Q105" i="51" a="1"/>
  <c r="Q105" i="51" s="1"/>
  <c r="F105" i="51"/>
  <c r="E105" i="51"/>
  <c r="D2" i="52" l="1"/>
  <c r="S108" i="51"/>
  <c r="T108" i="51" s="1"/>
  <c r="H108" i="51" s="1"/>
  <c r="M108" i="51" s="1"/>
  <c r="O108" i="51" s="1"/>
  <c r="T107" i="51"/>
  <c r="H107" i="51" s="1"/>
  <c r="M107" i="51" s="1"/>
  <c r="O107" i="51" s="1"/>
  <c r="S106" i="51"/>
  <c r="T106" i="51" s="1"/>
  <c r="H106" i="51" s="1"/>
  <c r="M106" i="51" s="1"/>
  <c r="O106" i="51" s="1"/>
  <c r="S105" i="51"/>
  <c r="T105" i="51" s="1"/>
  <c r="H105" i="51" s="1"/>
  <c r="M105" i="51" s="1"/>
  <c r="O105" i="51" s="1"/>
  <c r="R56" i="51"/>
  <c r="Q56" i="51" a="1"/>
  <c r="Q56" i="51" s="1"/>
  <c r="E56" i="51"/>
  <c r="S56" i="51" s="1"/>
  <c r="R55" i="51"/>
  <c r="Q55" i="51" a="1"/>
  <c r="Q55" i="51" s="1"/>
  <c r="F55" i="51"/>
  <c r="E55" i="51"/>
  <c r="R54" i="51"/>
  <c r="Q54" i="51" a="1"/>
  <c r="Q54" i="51" s="1"/>
  <c r="F54" i="51"/>
  <c r="E54" i="51"/>
  <c r="R53" i="51"/>
  <c r="S53" i="51" s="1"/>
  <c r="Q53" i="51" a="1"/>
  <c r="Q53" i="51" s="1"/>
  <c r="E53" i="51"/>
  <c r="R52" i="51"/>
  <c r="Q52" i="51" a="1"/>
  <c r="Q52" i="51" s="1"/>
  <c r="E52" i="51"/>
  <c r="R51" i="51"/>
  <c r="Q51" i="51" a="1"/>
  <c r="Q51" i="51" s="1"/>
  <c r="E51" i="51"/>
  <c r="R50" i="51"/>
  <c r="Q50" i="51" a="1"/>
  <c r="Q50" i="51" s="1"/>
  <c r="E50" i="51"/>
  <c r="D103" i="51"/>
  <c r="Q100" i="51" a="1"/>
  <c r="Q100" i="51" s="1"/>
  <c r="F100" i="51"/>
  <c r="E100" i="51"/>
  <c r="R99" i="51"/>
  <c r="Q99" i="51" a="1"/>
  <c r="Q99" i="51" s="1"/>
  <c r="E99" i="51"/>
  <c r="S99" i="51" s="1"/>
  <c r="R68" i="51"/>
  <c r="Q68" i="51" a="1"/>
  <c r="Q68" i="51" s="1"/>
  <c r="F68" i="51"/>
  <c r="E68" i="51"/>
  <c r="Q16" i="51" a="1"/>
  <c r="Q16" i="51" s="1"/>
  <c r="F16" i="51"/>
  <c r="E16" i="51"/>
  <c r="R16" i="51"/>
  <c r="R97" i="51"/>
  <c r="Q97" i="51" a="1"/>
  <c r="Q97" i="51" s="1"/>
  <c r="E97" i="51"/>
  <c r="R96" i="51"/>
  <c r="Q96" i="51" a="1"/>
  <c r="Q96" i="51" s="1"/>
  <c r="E96" i="51"/>
  <c r="R95" i="51"/>
  <c r="Q95" i="51" a="1"/>
  <c r="Q95" i="51" s="1"/>
  <c r="E95" i="51"/>
  <c r="S95" i="51" s="1"/>
  <c r="R89" i="51"/>
  <c r="R93" i="51"/>
  <c r="Q93" i="51" a="1"/>
  <c r="Q93" i="51" s="1"/>
  <c r="E93" i="51"/>
  <c r="R87" i="51"/>
  <c r="Q87" i="51" a="1"/>
  <c r="Q87" i="51" s="1"/>
  <c r="E87" i="51"/>
  <c r="R81" i="51"/>
  <c r="Q81" i="51" a="1"/>
  <c r="Q81" i="51" s="1"/>
  <c r="E81" i="51"/>
  <c r="R42" i="51"/>
  <c r="Q42" i="51" a="1"/>
  <c r="Q42" i="51" s="1"/>
  <c r="E42" i="51"/>
  <c r="R30" i="51"/>
  <c r="Q30" i="51" a="1"/>
  <c r="Q30" i="51" s="1"/>
  <c r="E30" i="51"/>
  <c r="R36" i="51"/>
  <c r="Q36" i="51" a="1"/>
  <c r="Q36" i="51" s="1"/>
  <c r="E36" i="51"/>
  <c r="R92" i="51"/>
  <c r="Q92" i="51" a="1"/>
  <c r="Q92" i="51" s="1"/>
  <c r="F92" i="51"/>
  <c r="E92" i="51"/>
  <c r="R91" i="51"/>
  <c r="Q91" i="51" a="1"/>
  <c r="Q91" i="51" s="1"/>
  <c r="F91" i="51"/>
  <c r="E91" i="51"/>
  <c r="R90" i="51"/>
  <c r="Q90" i="51" a="1"/>
  <c r="Q90" i="51" s="1"/>
  <c r="E90" i="51"/>
  <c r="Q89" i="51" a="1"/>
  <c r="Q89" i="51" s="1"/>
  <c r="E89" i="51"/>
  <c r="R86" i="51"/>
  <c r="Q86" i="51" a="1"/>
  <c r="Q86" i="51" s="1"/>
  <c r="F86" i="51"/>
  <c r="E86" i="51"/>
  <c r="R85" i="51"/>
  <c r="Q85" i="51" a="1"/>
  <c r="Q85" i="51" s="1"/>
  <c r="F85" i="51"/>
  <c r="E85" i="51"/>
  <c r="R84" i="51"/>
  <c r="Q84" i="51" a="1"/>
  <c r="Q84" i="51" s="1"/>
  <c r="E84" i="51"/>
  <c r="S84" i="51" s="1"/>
  <c r="R83" i="51"/>
  <c r="Q83" i="51" a="1"/>
  <c r="Q83" i="51" s="1"/>
  <c r="E83" i="51"/>
  <c r="R80" i="51"/>
  <c r="Q80" i="51" a="1"/>
  <c r="Q80" i="51" s="1"/>
  <c r="T80" i="51" s="1"/>
  <c r="H80" i="51" s="1"/>
  <c r="F80" i="51"/>
  <c r="E80" i="51"/>
  <c r="S80" i="51" s="1"/>
  <c r="R79" i="51"/>
  <c r="Q79" i="51" a="1"/>
  <c r="Q79" i="51" s="1"/>
  <c r="F79" i="51"/>
  <c r="E79" i="51"/>
  <c r="R78" i="51"/>
  <c r="Q78" i="51" a="1"/>
  <c r="Q78" i="51" s="1"/>
  <c r="E78" i="51"/>
  <c r="R77" i="51"/>
  <c r="Q77" i="51" a="1"/>
  <c r="Q77" i="51" s="1"/>
  <c r="E77" i="51"/>
  <c r="Q75" i="51" a="1"/>
  <c r="Q75" i="51" s="1"/>
  <c r="F75" i="51"/>
  <c r="E75" i="51"/>
  <c r="Q74" i="51" a="1"/>
  <c r="Q74" i="51" s="1"/>
  <c r="F74" i="51"/>
  <c r="E74" i="51"/>
  <c r="R74" i="51"/>
  <c r="Q73" i="51" a="1"/>
  <c r="Q73" i="51" s="1"/>
  <c r="B73" i="51"/>
  <c r="R73" i="51" s="1"/>
  <c r="B69" i="51"/>
  <c r="F69" i="51" s="1"/>
  <c r="R71" i="51"/>
  <c r="Q71" i="51" a="1"/>
  <c r="Q71" i="51" s="1"/>
  <c r="E71" i="51"/>
  <c r="R70" i="51"/>
  <c r="Q70" i="51" a="1"/>
  <c r="Q70" i="51" s="1"/>
  <c r="F70" i="51"/>
  <c r="E70" i="51"/>
  <c r="Q69" i="51" a="1"/>
  <c r="Q69" i="51" s="1"/>
  <c r="R67" i="51"/>
  <c r="Q67" i="51" a="1"/>
  <c r="Q67" i="51" s="1"/>
  <c r="E67" i="51"/>
  <c r="R66" i="51"/>
  <c r="Q66" i="51" a="1"/>
  <c r="Q66" i="51" s="1"/>
  <c r="E66" i="51"/>
  <c r="R65" i="51"/>
  <c r="Q65" i="51" a="1"/>
  <c r="Q65" i="51" s="1"/>
  <c r="E65" i="51"/>
  <c r="R64" i="51"/>
  <c r="Q64" i="51" a="1"/>
  <c r="Q64" i="51" s="1"/>
  <c r="E64" i="51"/>
  <c r="R63" i="51"/>
  <c r="Q63" i="51" a="1"/>
  <c r="Q63" i="51" s="1"/>
  <c r="E63" i="51"/>
  <c r="R62" i="51"/>
  <c r="Q62" i="51" a="1"/>
  <c r="Q62" i="51" s="1"/>
  <c r="E62" i="51"/>
  <c r="R61" i="51"/>
  <c r="Q61" i="51" a="1"/>
  <c r="Q61" i="51" s="1"/>
  <c r="E61" i="51"/>
  <c r="R60" i="51"/>
  <c r="Q60" i="51" a="1"/>
  <c r="Q60" i="51" s="1"/>
  <c r="E60" i="51"/>
  <c r="R59" i="51"/>
  <c r="Q59" i="51" a="1"/>
  <c r="Q59" i="51" s="1"/>
  <c r="E59" i="51"/>
  <c r="S51" i="51" l="1"/>
  <c r="T51" i="51" s="1"/>
  <c r="H51" i="51" s="1"/>
  <c r="M51" i="51" s="1"/>
  <c r="O51" i="51" s="1"/>
  <c r="S50" i="51"/>
  <c r="T50" i="51" s="1"/>
  <c r="H50" i="51" s="1"/>
  <c r="M50" i="51" s="1"/>
  <c r="O50" i="51" s="1"/>
  <c r="T56" i="51"/>
  <c r="H56" i="51" s="1"/>
  <c r="M56" i="51" s="1"/>
  <c r="O56" i="51" s="1"/>
  <c r="S68" i="51"/>
  <c r="S30" i="51"/>
  <c r="S81" i="51"/>
  <c r="S97" i="51"/>
  <c r="T97" i="51" s="1"/>
  <c r="H97" i="51" s="1"/>
  <c r="M97" i="51" s="1"/>
  <c r="O97" i="51" s="1"/>
  <c r="S52" i="51"/>
  <c r="S55" i="51"/>
  <c r="T55" i="51" s="1"/>
  <c r="H55" i="51" s="1"/>
  <c r="M55" i="51" s="1"/>
  <c r="O55" i="51" s="1"/>
  <c r="S54" i="51"/>
  <c r="T54" i="51" s="1"/>
  <c r="H54" i="51" s="1"/>
  <c r="M54" i="51" s="1"/>
  <c r="O54" i="51" s="1"/>
  <c r="T53" i="51"/>
  <c r="H53" i="51" s="1"/>
  <c r="M53" i="51" s="1"/>
  <c r="O53" i="51" s="1"/>
  <c r="T52" i="51"/>
  <c r="H52" i="51" s="1"/>
  <c r="M52" i="51" s="1"/>
  <c r="O52" i="51" s="1"/>
  <c r="S96" i="51"/>
  <c r="T96" i="51" s="1"/>
  <c r="H96" i="51" s="1"/>
  <c r="M96" i="51" s="1"/>
  <c r="O96" i="51" s="1"/>
  <c r="T99" i="51"/>
  <c r="H99" i="51" s="1"/>
  <c r="M99" i="51" s="1"/>
  <c r="O99" i="51" s="1"/>
  <c r="R100" i="51"/>
  <c r="S100" i="51" s="1"/>
  <c r="T100" i="51" s="1"/>
  <c r="H100" i="51" s="1"/>
  <c r="M100" i="51" s="1"/>
  <c r="O100" i="51" s="1"/>
  <c r="T68" i="51"/>
  <c r="H68" i="51" s="1"/>
  <c r="M68" i="51" s="1"/>
  <c r="O68" i="51" s="1"/>
  <c r="S16" i="51"/>
  <c r="T16" i="51" s="1"/>
  <c r="H16" i="51" s="1"/>
  <c r="M16" i="51" s="1"/>
  <c r="O16" i="51" s="1"/>
  <c r="T95" i="51"/>
  <c r="H95" i="51" s="1"/>
  <c r="M95" i="51" s="1"/>
  <c r="O95" i="51" s="1"/>
  <c r="S93" i="51"/>
  <c r="T93" i="51" s="1"/>
  <c r="H93" i="51" s="1"/>
  <c r="M93" i="51" s="1"/>
  <c r="O93" i="51" s="1"/>
  <c r="S89" i="51"/>
  <c r="T89" i="51" s="1"/>
  <c r="H89" i="51" s="1"/>
  <c r="M89" i="51" s="1"/>
  <c r="O89" i="51" s="1"/>
  <c r="S87" i="51"/>
  <c r="T87" i="51"/>
  <c r="H87" i="51" s="1"/>
  <c r="M87" i="51" s="1"/>
  <c r="O87" i="51" s="1"/>
  <c r="T81" i="51"/>
  <c r="H81" i="51" s="1"/>
  <c r="M81" i="51" s="1"/>
  <c r="O81" i="51" s="1"/>
  <c r="S85" i="51"/>
  <c r="T85" i="51" s="1"/>
  <c r="H85" i="51" s="1"/>
  <c r="M85" i="51" s="1"/>
  <c r="O85" i="51" s="1"/>
  <c r="S92" i="51"/>
  <c r="T92" i="51" s="1"/>
  <c r="H92" i="51" s="1"/>
  <c r="M92" i="51" s="1"/>
  <c r="O92" i="51" s="1"/>
  <c r="S36" i="51"/>
  <c r="T36" i="51" s="1"/>
  <c r="H36" i="51" s="1"/>
  <c r="M36" i="51" s="1"/>
  <c r="O36" i="51" s="1"/>
  <c r="S42" i="51"/>
  <c r="T42" i="51" s="1"/>
  <c r="H42" i="51" s="1"/>
  <c r="M42" i="51" s="1"/>
  <c r="O42" i="51" s="1"/>
  <c r="T30" i="51"/>
  <c r="H30" i="51" s="1"/>
  <c r="M30" i="51" s="1"/>
  <c r="O30" i="51" s="1"/>
  <c r="S61" i="51"/>
  <c r="T61" i="51" s="1"/>
  <c r="H61" i="51" s="1"/>
  <c r="M61" i="51" s="1"/>
  <c r="O61" i="51" s="1"/>
  <c r="S63" i="51"/>
  <c r="S70" i="51"/>
  <c r="T70" i="51" s="1"/>
  <c r="H70" i="51" s="1"/>
  <c r="M70" i="51" s="1"/>
  <c r="O70" i="51" s="1"/>
  <c r="T84" i="51"/>
  <c r="H84" i="51" s="1"/>
  <c r="M84" i="51" s="1"/>
  <c r="O84" i="51" s="1"/>
  <c r="S59" i="51"/>
  <c r="T59" i="51" s="1"/>
  <c r="H59" i="51" s="1"/>
  <c r="M59" i="51" s="1"/>
  <c r="O59" i="51" s="1"/>
  <c r="S77" i="51"/>
  <c r="T77" i="51" s="1"/>
  <c r="H77" i="51" s="1"/>
  <c r="M77" i="51" s="1"/>
  <c r="O77" i="51" s="1"/>
  <c r="S62" i="51"/>
  <c r="T62" i="51" s="1"/>
  <c r="H62" i="51" s="1"/>
  <c r="M62" i="51" s="1"/>
  <c r="O62" i="51" s="1"/>
  <c r="S64" i="51"/>
  <c r="T64" i="51" s="1"/>
  <c r="H64" i="51" s="1"/>
  <c r="M64" i="51" s="1"/>
  <c r="O64" i="51" s="1"/>
  <c r="S67" i="51"/>
  <c r="T67" i="51" s="1"/>
  <c r="H67" i="51" s="1"/>
  <c r="M67" i="51" s="1"/>
  <c r="O67" i="51" s="1"/>
  <c r="E69" i="51"/>
  <c r="S83" i="51"/>
  <c r="T83" i="51" s="1"/>
  <c r="H83" i="51" s="1"/>
  <c r="M83" i="51" s="1"/>
  <c r="O83" i="51" s="1"/>
  <c r="S78" i="51"/>
  <c r="T78" i="51" s="1"/>
  <c r="H78" i="51" s="1"/>
  <c r="M78" i="51" s="1"/>
  <c r="O78" i="51" s="1"/>
  <c r="S90" i="51"/>
  <c r="T90" i="51" s="1"/>
  <c r="H90" i="51" s="1"/>
  <c r="M90" i="51" s="1"/>
  <c r="O90" i="51" s="1"/>
  <c r="R69" i="51"/>
  <c r="S79" i="51"/>
  <c r="T79" i="51" s="1"/>
  <c r="H79" i="51" s="1"/>
  <c r="M79" i="51" s="1"/>
  <c r="O79" i="51" s="1"/>
  <c r="S86" i="51"/>
  <c r="T86" i="51" s="1"/>
  <c r="H86" i="51" s="1"/>
  <c r="M86" i="51" s="1"/>
  <c r="O86" i="51" s="1"/>
  <c r="S91" i="51"/>
  <c r="T91" i="51" s="1"/>
  <c r="H91" i="51" s="1"/>
  <c r="M91" i="51" s="1"/>
  <c r="O91" i="51" s="1"/>
  <c r="M80" i="51"/>
  <c r="O80" i="51" s="1"/>
  <c r="S74" i="51"/>
  <c r="T74" i="51" s="1"/>
  <c r="H74" i="51" s="1"/>
  <c r="M74" i="51" s="1"/>
  <c r="O74" i="51" s="1"/>
  <c r="E73" i="51"/>
  <c r="R75" i="51"/>
  <c r="S75" i="51" s="1"/>
  <c r="T75" i="51" s="1"/>
  <c r="H75" i="51" s="1"/>
  <c r="M75" i="51" s="1"/>
  <c r="O75" i="51" s="1"/>
  <c r="F73" i="51"/>
  <c r="S71" i="51"/>
  <c r="T71" i="51" s="1"/>
  <c r="H71" i="51" s="1"/>
  <c r="M71" i="51" s="1"/>
  <c r="O71" i="51" s="1"/>
  <c r="S66" i="51"/>
  <c r="T66" i="51" s="1"/>
  <c r="H66" i="51" s="1"/>
  <c r="M66" i="51" s="1"/>
  <c r="O66" i="51" s="1"/>
  <c r="S65" i="51"/>
  <c r="T65" i="51" s="1"/>
  <c r="H65" i="51" s="1"/>
  <c r="M65" i="51" s="1"/>
  <c r="O65" i="51" s="1"/>
  <c r="S60" i="51"/>
  <c r="T60" i="51" s="1"/>
  <c r="H60" i="51" s="1"/>
  <c r="M60" i="51" s="1"/>
  <c r="O60" i="51" s="1"/>
  <c r="T63" i="51"/>
  <c r="H63" i="51" s="1"/>
  <c r="M63" i="51" s="1"/>
  <c r="O63" i="51" s="1"/>
  <c r="D48" i="51"/>
  <c r="B45" i="51"/>
  <c r="F45" i="51" s="1"/>
  <c r="Q45" i="51" a="1"/>
  <c r="Q45" i="51" s="1"/>
  <c r="R44" i="51"/>
  <c r="Q44" i="51" a="1"/>
  <c r="Q44" i="51" s="1"/>
  <c r="E44" i="51"/>
  <c r="R41" i="51"/>
  <c r="Q41" i="51" a="1"/>
  <c r="Q41" i="51" s="1"/>
  <c r="F41" i="51"/>
  <c r="E41" i="51"/>
  <c r="R40" i="51"/>
  <c r="Q40" i="51" a="1"/>
  <c r="Q40" i="51" s="1"/>
  <c r="F40" i="51"/>
  <c r="E40" i="51"/>
  <c r="R39" i="51"/>
  <c r="Q39" i="51" a="1"/>
  <c r="Q39" i="51" s="1"/>
  <c r="E39" i="51"/>
  <c r="R38" i="51"/>
  <c r="Q38" i="51" a="1"/>
  <c r="Q38" i="51" s="1"/>
  <c r="E38" i="51"/>
  <c r="R35" i="51"/>
  <c r="Q35" i="51" a="1"/>
  <c r="Q35" i="51" s="1"/>
  <c r="F35" i="51"/>
  <c r="E35" i="51"/>
  <c r="R34" i="51"/>
  <c r="Q34" i="51" a="1"/>
  <c r="Q34" i="51" s="1"/>
  <c r="F34" i="51"/>
  <c r="E34" i="51"/>
  <c r="R33" i="51"/>
  <c r="Q33" i="51" a="1"/>
  <c r="Q33" i="51" s="1"/>
  <c r="E33" i="51"/>
  <c r="R32" i="51"/>
  <c r="Q32" i="51" a="1"/>
  <c r="Q32" i="51" s="1"/>
  <c r="E32" i="51"/>
  <c r="S32" i="51" s="1"/>
  <c r="Q29" i="51" a="1"/>
  <c r="Q29" i="51" s="1"/>
  <c r="F29" i="51"/>
  <c r="Q28" i="51" a="1"/>
  <c r="Q28" i="51" s="1"/>
  <c r="F28" i="51"/>
  <c r="E28" i="51"/>
  <c r="R27" i="51"/>
  <c r="Q27" i="51" a="1"/>
  <c r="Q27" i="51" s="1"/>
  <c r="E27" i="51"/>
  <c r="R26" i="51"/>
  <c r="Q26" i="51" a="1"/>
  <c r="Q26" i="51" s="1"/>
  <c r="E26" i="51"/>
  <c r="S26" i="51" s="1"/>
  <c r="R19" i="51"/>
  <c r="Q19" i="51" a="1"/>
  <c r="Q19" i="51" s="1"/>
  <c r="E19" i="51"/>
  <c r="Q24" i="51" a="1"/>
  <c r="Q24" i="51" s="1"/>
  <c r="B24" i="51"/>
  <c r="E24" i="51" s="1"/>
  <c r="Q23" i="51" a="1"/>
  <c r="Q23" i="51" s="1"/>
  <c r="B23" i="51"/>
  <c r="R23" i="51" s="1"/>
  <c r="Q22" i="51" a="1"/>
  <c r="Q22" i="51" s="1"/>
  <c r="B22" i="51"/>
  <c r="R22" i="51" s="1"/>
  <c r="Q21" i="51" a="1"/>
  <c r="Q21" i="51" s="1"/>
  <c r="B21" i="51"/>
  <c r="R21" i="51" s="1"/>
  <c r="Q18" i="51" a="1"/>
  <c r="Q18" i="51" s="1"/>
  <c r="F18" i="51"/>
  <c r="E18" i="51"/>
  <c r="R18" i="51"/>
  <c r="B17" i="51"/>
  <c r="F17" i="51" s="1"/>
  <c r="Q17" i="51" a="1"/>
  <c r="Q17" i="51" s="1"/>
  <c r="R15" i="51"/>
  <c r="Q15" i="51" a="1"/>
  <c r="Q15" i="51" s="1"/>
  <c r="E15" i="51"/>
  <c r="S15" i="51" s="1"/>
  <c r="R14" i="51"/>
  <c r="Q14" i="51" a="1"/>
  <c r="Q14" i="51" s="1"/>
  <c r="E14" i="51"/>
  <c r="R13" i="51"/>
  <c r="S13" i="51" s="1"/>
  <c r="Q13" i="51" a="1"/>
  <c r="Q13" i="51" s="1"/>
  <c r="E13" i="51"/>
  <c r="R12" i="51"/>
  <c r="Q12" i="51" a="1"/>
  <c r="Q12" i="51" s="1"/>
  <c r="E12" i="51"/>
  <c r="R11" i="51"/>
  <c r="Q11" i="51" a="1"/>
  <c r="Q11" i="51" s="1"/>
  <c r="E11" i="51"/>
  <c r="R10" i="51"/>
  <c r="Q10" i="51" a="1"/>
  <c r="Q10" i="51" s="1"/>
  <c r="E10" i="51"/>
  <c r="R9" i="51"/>
  <c r="Q9" i="51" a="1"/>
  <c r="Q9" i="51" s="1"/>
  <c r="E9" i="51"/>
  <c r="R8" i="51"/>
  <c r="Q8" i="51" a="1"/>
  <c r="Q8" i="51" s="1"/>
  <c r="E8" i="51"/>
  <c r="R7" i="51"/>
  <c r="Q7" i="51" a="1"/>
  <c r="Q7" i="51" s="1"/>
  <c r="E7" i="51"/>
  <c r="S33" i="51" l="1"/>
  <c r="T33" i="51" s="1"/>
  <c r="H33" i="51" s="1"/>
  <c r="M33" i="51" s="1"/>
  <c r="O33" i="51" s="1"/>
  <c r="R45" i="51"/>
  <c r="S69" i="51"/>
  <c r="T69" i="51" s="1"/>
  <c r="H69" i="51" s="1"/>
  <c r="M69" i="51" s="1"/>
  <c r="O69" i="51" s="1"/>
  <c r="S44" i="51"/>
  <c r="T44" i="51" s="1"/>
  <c r="H44" i="51" s="1"/>
  <c r="M44" i="51" s="1"/>
  <c r="O44" i="51" s="1"/>
  <c r="S34" i="51"/>
  <c r="S10" i="51"/>
  <c r="T10" i="51" s="1"/>
  <c r="H10" i="51" s="1"/>
  <c r="M10" i="51" s="1"/>
  <c r="O10" i="51" s="1"/>
  <c r="S11" i="51"/>
  <c r="T11" i="51" s="1"/>
  <c r="H11" i="51" s="1"/>
  <c r="M11" i="51" s="1"/>
  <c r="O11" i="51" s="1"/>
  <c r="S39" i="51"/>
  <c r="T39" i="51" s="1"/>
  <c r="H39" i="51" s="1"/>
  <c r="M39" i="51" s="1"/>
  <c r="O39" i="51" s="1"/>
  <c r="E45" i="51"/>
  <c r="S45" i="51" s="1"/>
  <c r="T45" i="51" s="1"/>
  <c r="H45" i="51" s="1"/>
  <c r="M45" i="51" s="1"/>
  <c r="O45" i="51" s="1"/>
  <c r="T13" i="51"/>
  <c r="H13" i="51" s="1"/>
  <c r="M13" i="51" s="1"/>
  <c r="O13" i="51" s="1"/>
  <c r="R17" i="51"/>
  <c r="S38" i="51"/>
  <c r="T38" i="51" s="1"/>
  <c r="H38" i="51" s="1"/>
  <c r="M38" i="51" s="1"/>
  <c r="O38" i="51" s="1"/>
  <c r="S12" i="51"/>
  <c r="T12" i="51" s="1"/>
  <c r="H12" i="51" s="1"/>
  <c r="M12" i="51" s="1"/>
  <c r="O12" i="51" s="1"/>
  <c r="E22" i="51"/>
  <c r="S22" i="51" s="1"/>
  <c r="T22" i="51" s="1"/>
  <c r="H22" i="51" s="1"/>
  <c r="E23" i="51"/>
  <c r="S23" i="51" s="1"/>
  <c r="T23" i="51" s="1"/>
  <c r="H23" i="51" s="1"/>
  <c r="F24" i="51"/>
  <c r="S27" i="51"/>
  <c r="F22" i="51"/>
  <c r="F23" i="51"/>
  <c r="S19" i="51"/>
  <c r="T19" i="51" s="1"/>
  <c r="H19" i="51" s="1"/>
  <c r="M19" i="51" s="1"/>
  <c r="O19" i="51" s="1"/>
  <c r="S73" i="51"/>
  <c r="T73" i="51" s="1"/>
  <c r="H73" i="51" s="1"/>
  <c r="M73" i="51" s="1"/>
  <c r="O73" i="51" s="1"/>
  <c r="S41" i="51"/>
  <c r="T41" i="51" s="1"/>
  <c r="H41" i="51" s="1"/>
  <c r="M41" i="51" s="1"/>
  <c r="O41" i="51" s="1"/>
  <c r="S40" i="51"/>
  <c r="T40" i="51" s="1"/>
  <c r="H40" i="51" s="1"/>
  <c r="M40" i="51" s="1"/>
  <c r="O40" i="51" s="1"/>
  <c r="T32" i="51"/>
  <c r="H32" i="51" s="1"/>
  <c r="M32" i="51" s="1"/>
  <c r="O32" i="51" s="1"/>
  <c r="T34" i="51"/>
  <c r="H34" i="51" s="1"/>
  <c r="M34" i="51" s="1"/>
  <c r="O34" i="51" s="1"/>
  <c r="S35" i="51"/>
  <c r="T35" i="51" s="1"/>
  <c r="H35" i="51" s="1"/>
  <c r="M35" i="51" s="1"/>
  <c r="O35" i="51" s="1"/>
  <c r="R29" i="51"/>
  <c r="R28" i="51"/>
  <c r="S28" i="51" s="1"/>
  <c r="T28" i="51" s="1"/>
  <c r="H28" i="51" s="1"/>
  <c r="M28" i="51" s="1"/>
  <c r="O28" i="51" s="1"/>
  <c r="E29" i="51"/>
  <c r="T27" i="51"/>
  <c r="H27" i="51" s="1"/>
  <c r="M27" i="51" s="1"/>
  <c r="O27" i="51" s="1"/>
  <c r="T26" i="51"/>
  <c r="H26" i="51" s="1"/>
  <c r="M26" i="51" s="1"/>
  <c r="O26" i="51" s="1"/>
  <c r="R24" i="51"/>
  <c r="S24" i="51" s="1"/>
  <c r="T24" i="51" s="1"/>
  <c r="H24" i="51" s="1"/>
  <c r="M24" i="51" s="1"/>
  <c r="O24" i="51" s="1"/>
  <c r="E21" i="51"/>
  <c r="F21" i="51"/>
  <c r="S18" i="51"/>
  <c r="T18" i="51" s="1"/>
  <c r="H18" i="51" s="1"/>
  <c r="M18" i="51" s="1"/>
  <c r="O18" i="51" s="1"/>
  <c r="E17" i="51"/>
  <c r="S17" i="51" s="1"/>
  <c r="T17" i="51" s="1"/>
  <c r="H17" i="51" s="1"/>
  <c r="M17" i="51" s="1"/>
  <c r="O17" i="51" s="1"/>
  <c r="S14" i="51"/>
  <c r="T14" i="51" s="1"/>
  <c r="H14" i="51" s="1"/>
  <c r="M14" i="51" s="1"/>
  <c r="O14" i="51" s="1"/>
  <c r="T15" i="51"/>
  <c r="H15" i="51" s="1"/>
  <c r="M15" i="51" s="1"/>
  <c r="O15" i="51" s="1"/>
  <c r="S9" i="51"/>
  <c r="T9" i="51" s="1"/>
  <c r="H9" i="51" s="1"/>
  <c r="M9" i="51" s="1"/>
  <c r="O9" i="51" s="1"/>
  <c r="S8" i="51"/>
  <c r="T8" i="51" s="1"/>
  <c r="H8" i="51" s="1"/>
  <c r="M8" i="51" s="1"/>
  <c r="O8" i="51" s="1"/>
  <c r="S7" i="51"/>
  <c r="T7" i="51" s="1"/>
  <c r="H7" i="51" s="1"/>
  <c r="M7" i="51" s="1"/>
  <c r="O7" i="51" s="1"/>
  <c r="B39" i="50"/>
  <c r="C3" i="51" l="1"/>
  <c r="D3" i="51" s="1"/>
  <c r="M22" i="51"/>
  <c r="O22" i="51" s="1"/>
  <c r="M23" i="51"/>
  <c r="O23" i="51" s="1"/>
  <c r="S29" i="51"/>
  <c r="T29" i="51" s="1"/>
  <c r="H29" i="51" s="1"/>
  <c r="M29" i="51" s="1"/>
  <c r="O29" i="51" s="1"/>
  <c r="S21" i="51"/>
  <c r="T21" i="51" s="1"/>
  <c r="H21" i="51" s="1"/>
  <c r="M21" i="51" s="1"/>
  <c r="O21" i="51" s="1"/>
  <c r="C2" i="51" s="1"/>
  <c r="D39" i="50"/>
  <c r="Q36" i="50" a="1"/>
  <c r="Q36" i="50" s="1"/>
  <c r="F36" i="50"/>
  <c r="E36" i="50"/>
  <c r="R36" i="50"/>
  <c r="R35" i="50"/>
  <c r="Q35" i="50" a="1"/>
  <c r="Q35" i="50" s="1"/>
  <c r="E35" i="50"/>
  <c r="S35" i="50" s="1"/>
  <c r="R33" i="50"/>
  <c r="Q33" i="50" a="1"/>
  <c r="Q33" i="50" s="1"/>
  <c r="E33" i="50"/>
  <c r="R32" i="50"/>
  <c r="Q32" i="50" a="1"/>
  <c r="Q32" i="50" s="1"/>
  <c r="E32" i="50"/>
  <c r="R30" i="50"/>
  <c r="Q30" i="50" a="1"/>
  <c r="Q30" i="50" s="1"/>
  <c r="T30" i="50" s="1"/>
  <c r="H30" i="50" s="1"/>
  <c r="E30" i="50"/>
  <c r="S30" i="50" s="1"/>
  <c r="R29" i="50"/>
  <c r="S29" i="50" s="1"/>
  <c r="Q29" i="50" a="1"/>
  <c r="Q29" i="50" s="1"/>
  <c r="E29" i="50"/>
  <c r="R28" i="50"/>
  <c r="Q28" i="50" a="1"/>
  <c r="Q28" i="50" s="1"/>
  <c r="E28" i="50"/>
  <c r="S28" i="50" s="1"/>
  <c r="B24" i="50"/>
  <c r="R24" i="50" s="1"/>
  <c r="R26" i="50"/>
  <c r="Q26" i="50" a="1"/>
  <c r="Q26" i="50" s="1"/>
  <c r="E26" i="50"/>
  <c r="R25" i="50"/>
  <c r="Q25" i="50" a="1"/>
  <c r="Q25" i="50" s="1"/>
  <c r="F25" i="50"/>
  <c r="E25" i="50"/>
  <c r="Q24" i="50" a="1"/>
  <c r="Q24" i="50" s="1"/>
  <c r="E24" i="50"/>
  <c r="R22" i="50"/>
  <c r="Q22" i="50" a="1"/>
  <c r="Q22" i="50" s="1"/>
  <c r="E22" i="50"/>
  <c r="R21" i="50"/>
  <c r="Q21" i="50" a="1"/>
  <c r="Q21" i="50" s="1"/>
  <c r="E21" i="50"/>
  <c r="R20" i="50"/>
  <c r="Q20" i="50" a="1"/>
  <c r="Q20" i="50" s="1"/>
  <c r="F20" i="50"/>
  <c r="E20" i="50"/>
  <c r="R19" i="50"/>
  <c r="Q19" i="50" a="1"/>
  <c r="Q19" i="50" s="1"/>
  <c r="F19" i="50"/>
  <c r="E19" i="50"/>
  <c r="D2" i="51" l="1"/>
  <c r="S36" i="50"/>
  <c r="T36" i="50" s="1"/>
  <c r="H36" i="50" s="1"/>
  <c r="M36" i="50" s="1"/>
  <c r="O36" i="50" s="1"/>
  <c r="T35" i="50"/>
  <c r="H35" i="50" s="1"/>
  <c r="M35" i="50" s="1"/>
  <c r="O35" i="50" s="1"/>
  <c r="S33" i="50"/>
  <c r="T33" i="50" s="1"/>
  <c r="H33" i="50" s="1"/>
  <c r="M33" i="50" s="1"/>
  <c r="O33" i="50" s="1"/>
  <c r="S32" i="50"/>
  <c r="T32" i="50" s="1"/>
  <c r="H32" i="50" s="1"/>
  <c r="M32" i="50" s="1"/>
  <c r="O32" i="50" s="1"/>
  <c r="T29" i="50"/>
  <c r="H29" i="50" s="1"/>
  <c r="M29" i="50" s="1"/>
  <c r="O29" i="50" s="1"/>
  <c r="T28" i="50"/>
  <c r="H28" i="50" s="1"/>
  <c r="M28" i="50" s="1"/>
  <c r="O28" i="50" s="1"/>
  <c r="M30" i="50"/>
  <c r="O30" i="50" s="1"/>
  <c r="S26" i="50"/>
  <c r="T26" i="50" s="1"/>
  <c r="H26" i="50" s="1"/>
  <c r="M26" i="50" s="1"/>
  <c r="O26" i="50" s="1"/>
  <c r="S25" i="50"/>
  <c r="T25" i="50" s="1"/>
  <c r="H25" i="50" s="1"/>
  <c r="M25" i="50" s="1"/>
  <c r="O25" i="50" s="1"/>
  <c r="F24" i="50"/>
  <c r="S24" i="50"/>
  <c r="T24" i="50" s="1"/>
  <c r="H24" i="50" s="1"/>
  <c r="M24" i="50" s="1"/>
  <c r="O24" i="50" s="1"/>
  <c r="S20" i="50"/>
  <c r="T20" i="50" s="1"/>
  <c r="H20" i="50" s="1"/>
  <c r="M20" i="50" s="1"/>
  <c r="O20" i="50" s="1"/>
  <c r="S21" i="50"/>
  <c r="T21" i="50" s="1"/>
  <c r="H21" i="50" s="1"/>
  <c r="M21" i="50" s="1"/>
  <c r="O21" i="50" s="1"/>
  <c r="S22" i="50"/>
  <c r="T22" i="50" s="1"/>
  <c r="H22" i="50" s="1"/>
  <c r="M22" i="50" s="1"/>
  <c r="O22" i="50" s="1"/>
  <c r="S19" i="50"/>
  <c r="T19" i="50" s="1"/>
  <c r="H19" i="50" s="1"/>
  <c r="M19" i="50" s="1"/>
  <c r="O19" i="50" s="1"/>
  <c r="S17" i="50"/>
  <c r="R17" i="50"/>
  <c r="Q17" i="50" a="1"/>
  <c r="Q17" i="50" s="1"/>
  <c r="E17" i="50"/>
  <c r="R16" i="50"/>
  <c r="Q16" i="50" a="1"/>
  <c r="Q16" i="50" s="1"/>
  <c r="F16" i="50"/>
  <c r="E16" i="50"/>
  <c r="S16" i="50" s="1"/>
  <c r="R15" i="50"/>
  <c r="Q15" i="50" a="1"/>
  <c r="Q15" i="50" s="1"/>
  <c r="F15" i="50"/>
  <c r="E15" i="50"/>
  <c r="Q14" i="50" a="1"/>
  <c r="Q14" i="50" s="1"/>
  <c r="E14" i="50"/>
  <c r="R13" i="50"/>
  <c r="Q13" i="50" a="1"/>
  <c r="Q13" i="50" s="1"/>
  <c r="E13" i="50"/>
  <c r="B12" i="50"/>
  <c r="E12" i="50" s="1"/>
  <c r="R12" i="50"/>
  <c r="Q12" i="50" a="1"/>
  <c r="Q12" i="50" s="1"/>
  <c r="R11" i="50"/>
  <c r="Q11" i="50" a="1"/>
  <c r="Q11" i="50" s="1"/>
  <c r="E11" i="50"/>
  <c r="R10" i="50"/>
  <c r="Q10" i="50" a="1"/>
  <c r="Q10" i="50" s="1"/>
  <c r="F10" i="50"/>
  <c r="E10" i="50"/>
  <c r="R9" i="50"/>
  <c r="Q9" i="50" a="1"/>
  <c r="Q9" i="50" s="1"/>
  <c r="F9" i="50"/>
  <c r="E9" i="50"/>
  <c r="R8" i="50"/>
  <c r="S8" i="50" s="1"/>
  <c r="Q8" i="50" a="1"/>
  <c r="Q8" i="50" s="1"/>
  <c r="E8" i="50"/>
  <c r="R7" i="50"/>
  <c r="Q7" i="50" a="1"/>
  <c r="Q7" i="50" s="1"/>
  <c r="E7" i="50"/>
  <c r="R6" i="50"/>
  <c r="S6" i="50" s="1"/>
  <c r="Q6" i="50" a="1"/>
  <c r="Q6" i="50" s="1"/>
  <c r="E6" i="50"/>
  <c r="T17" i="50" l="1"/>
  <c r="H17" i="50" s="1"/>
  <c r="M17" i="50" s="1"/>
  <c r="O17" i="50" s="1"/>
  <c r="T16" i="50"/>
  <c r="H16" i="50" s="1"/>
  <c r="M16" i="50" s="1"/>
  <c r="O16" i="50" s="1"/>
  <c r="S15" i="50"/>
  <c r="T15" i="50" s="1"/>
  <c r="H15" i="50" s="1"/>
  <c r="M15" i="50" s="1"/>
  <c r="O15" i="50" s="1"/>
  <c r="R14" i="50"/>
  <c r="S14" i="50" s="1"/>
  <c r="T14" i="50" s="1"/>
  <c r="H14" i="50" s="1"/>
  <c r="M14" i="50" s="1"/>
  <c r="O14" i="50" s="1"/>
  <c r="S13" i="50"/>
  <c r="T13" i="50" s="1"/>
  <c r="H13" i="50" s="1"/>
  <c r="M13" i="50" s="1"/>
  <c r="O13" i="50" s="1"/>
  <c r="S12" i="50"/>
  <c r="T12" i="50" s="1"/>
  <c r="H12" i="50" s="1"/>
  <c r="M12" i="50" s="1"/>
  <c r="O12" i="50" s="1"/>
  <c r="S11" i="50"/>
  <c r="T11" i="50" s="1"/>
  <c r="H11" i="50" s="1"/>
  <c r="M11" i="50" s="1"/>
  <c r="O11" i="50" s="1"/>
  <c r="S10" i="50"/>
  <c r="T10" i="50"/>
  <c r="H10" i="50" s="1"/>
  <c r="M10" i="50" s="1"/>
  <c r="O10" i="50" s="1"/>
  <c r="S9" i="50"/>
  <c r="T9" i="50"/>
  <c r="H9" i="50" s="1"/>
  <c r="M9" i="50" s="1"/>
  <c r="O9" i="50" s="1"/>
  <c r="T8" i="50"/>
  <c r="H8" i="50" s="1"/>
  <c r="M8" i="50" s="1"/>
  <c r="O8" i="50" s="1"/>
  <c r="S7" i="50"/>
  <c r="T6" i="50"/>
  <c r="H6" i="50" s="1"/>
  <c r="M6" i="50" s="1"/>
  <c r="O6" i="50" s="1"/>
  <c r="T7" i="50"/>
  <c r="H7" i="50"/>
  <c r="M7" i="50" s="1"/>
  <c r="O7" i="50" s="1"/>
  <c r="B13" i="49"/>
  <c r="D13" i="49"/>
  <c r="B12" i="49"/>
  <c r="D12" i="49" s="1"/>
  <c r="Q10" i="49" a="1"/>
  <c r="Q10" i="49" s="1"/>
  <c r="F10" i="49"/>
  <c r="B8" i="49"/>
  <c r="R8" i="49" s="1"/>
  <c r="R9" i="49"/>
  <c r="Q9" i="49" a="1"/>
  <c r="Q9" i="49" s="1"/>
  <c r="F9" i="49"/>
  <c r="E9" i="49"/>
  <c r="Q8" i="49" a="1"/>
  <c r="Q8" i="49" s="1"/>
  <c r="R7" i="49"/>
  <c r="Q7" i="49" a="1"/>
  <c r="Q7" i="49" s="1"/>
  <c r="F7" i="49"/>
  <c r="E7" i="49"/>
  <c r="R6" i="49"/>
  <c r="Q6" i="49" a="1"/>
  <c r="Q6" i="49" s="1"/>
  <c r="F6" i="49"/>
  <c r="E6" i="49"/>
  <c r="R5" i="49"/>
  <c r="Q5" i="49" a="1"/>
  <c r="Q5" i="49" s="1"/>
  <c r="E5" i="49"/>
  <c r="C2" i="50" l="1"/>
  <c r="D2" i="50" s="1"/>
  <c r="S5" i="49"/>
  <c r="F8" i="49"/>
  <c r="E8" i="49"/>
  <c r="S8" i="49" s="1"/>
  <c r="T8" i="49" s="1"/>
  <c r="H8" i="49" s="1"/>
  <c r="E10" i="49"/>
  <c r="R10" i="49"/>
  <c r="S6" i="49"/>
  <c r="T6" i="49" s="1"/>
  <c r="H6" i="49" s="1"/>
  <c r="M6" i="49" s="1"/>
  <c r="O6" i="49" s="1"/>
  <c r="T5" i="49"/>
  <c r="H5" i="49" s="1"/>
  <c r="M5" i="49" s="1"/>
  <c r="O5" i="49" s="1"/>
  <c r="S7" i="49"/>
  <c r="T7" i="49" s="1"/>
  <c r="H7" i="49" s="1"/>
  <c r="M7" i="49" s="1"/>
  <c r="O7" i="49" s="1"/>
  <c r="S9" i="49"/>
  <c r="T9" i="49" s="1"/>
  <c r="H9" i="49" s="1"/>
  <c r="M9" i="49" s="1"/>
  <c r="O9" i="49" s="1"/>
  <c r="C2" i="49" l="1"/>
  <c r="D2" i="49" s="1"/>
  <c r="M8" i="49"/>
  <c r="O8" i="49" s="1"/>
  <c r="S10" i="49"/>
  <c r="T10" i="49" s="1"/>
  <c r="H10" i="49" s="1"/>
  <c r="M10" i="49" s="1"/>
  <c r="O10" i="49" s="1"/>
  <c r="D48" i="48" l="1"/>
  <c r="R46" i="48"/>
  <c r="Q46" i="48" a="1"/>
  <c r="Q46" i="48" s="1"/>
  <c r="E46" i="48"/>
  <c r="R45" i="48"/>
  <c r="Q45" i="48" a="1"/>
  <c r="Q45" i="48" s="1"/>
  <c r="F45" i="48"/>
  <c r="E45" i="48"/>
  <c r="R44" i="48"/>
  <c r="Q44" i="48" a="1"/>
  <c r="Q44" i="48" s="1"/>
  <c r="E44" i="48"/>
  <c r="R43" i="48"/>
  <c r="Q43" i="48" a="1"/>
  <c r="Q43" i="48" s="1"/>
  <c r="E43" i="48"/>
  <c r="R42" i="48"/>
  <c r="Q42" i="48" a="1"/>
  <c r="Q42" i="48" s="1"/>
  <c r="E42" i="48"/>
  <c r="R41" i="48"/>
  <c r="Q41" i="48" a="1"/>
  <c r="Q41" i="48" s="1"/>
  <c r="F41" i="48"/>
  <c r="E41" i="48"/>
  <c r="R40" i="48"/>
  <c r="Q40" i="48" a="1"/>
  <c r="Q40" i="48" s="1"/>
  <c r="F40" i="48"/>
  <c r="E40" i="48"/>
  <c r="R39" i="48"/>
  <c r="Q39" i="48" a="1"/>
  <c r="Q39" i="48" s="1"/>
  <c r="E39" i="48"/>
  <c r="D37" i="48"/>
  <c r="R35" i="48"/>
  <c r="Q35" i="48" a="1"/>
  <c r="Q35" i="48" s="1"/>
  <c r="E35" i="48"/>
  <c r="S35" i="48" s="1"/>
  <c r="R34" i="48"/>
  <c r="Q34" i="48" a="1"/>
  <c r="Q34" i="48" s="1"/>
  <c r="F34" i="48"/>
  <c r="E34" i="48"/>
  <c r="R33" i="48"/>
  <c r="Q33" i="48" a="1"/>
  <c r="Q33" i="48" s="1"/>
  <c r="E33" i="48"/>
  <c r="R32" i="48"/>
  <c r="Q32" i="48" a="1"/>
  <c r="Q32" i="48" s="1"/>
  <c r="E32" i="48"/>
  <c r="S32" i="48" s="1"/>
  <c r="R31" i="48"/>
  <c r="Q31" i="48" a="1"/>
  <c r="Q31" i="48" s="1"/>
  <c r="E31" i="48"/>
  <c r="R29" i="48"/>
  <c r="Q29" i="48" a="1"/>
  <c r="Q29" i="48" s="1"/>
  <c r="F29" i="48"/>
  <c r="E29" i="48"/>
  <c r="R28" i="48"/>
  <c r="Q28" i="48" a="1"/>
  <c r="Q28" i="48" s="1"/>
  <c r="F28" i="48"/>
  <c r="E28" i="48"/>
  <c r="R27" i="48"/>
  <c r="Q27" i="48" a="1"/>
  <c r="Q27" i="48" s="1"/>
  <c r="F27" i="48"/>
  <c r="E27" i="48"/>
  <c r="R26" i="48"/>
  <c r="Q26" i="48" a="1"/>
  <c r="Q26" i="48" s="1"/>
  <c r="F26" i="48"/>
  <c r="E26" i="48"/>
  <c r="R25" i="48"/>
  <c r="Q25" i="48" a="1"/>
  <c r="Q25" i="48" s="1"/>
  <c r="E25" i="48"/>
  <c r="R24" i="48"/>
  <c r="Q24" i="48" a="1"/>
  <c r="Q24" i="48" s="1"/>
  <c r="E24" i="48"/>
  <c r="R23" i="48"/>
  <c r="Q23" i="48" a="1"/>
  <c r="Q23" i="48" s="1"/>
  <c r="E23" i="48"/>
  <c r="S31" i="48" l="1"/>
  <c r="S25" i="48"/>
  <c r="S42" i="48"/>
  <c r="T42" i="48" s="1"/>
  <c r="H42" i="48" s="1"/>
  <c r="M42" i="48" s="1"/>
  <c r="O42" i="48" s="1"/>
  <c r="T31" i="48"/>
  <c r="H31" i="48" s="1"/>
  <c r="M31" i="48" s="1"/>
  <c r="O31" i="48" s="1"/>
  <c r="S26" i="48"/>
  <c r="S27" i="48"/>
  <c r="T27" i="48" s="1"/>
  <c r="H27" i="48" s="1"/>
  <c r="M27" i="48" s="1"/>
  <c r="O27" i="48" s="1"/>
  <c r="S29" i="48"/>
  <c r="T29" i="48" s="1"/>
  <c r="H29" i="48" s="1"/>
  <c r="M29" i="48" s="1"/>
  <c r="O29" i="48" s="1"/>
  <c r="S40" i="48"/>
  <c r="T40" i="48" s="1"/>
  <c r="H40" i="48" s="1"/>
  <c r="M40" i="48" s="1"/>
  <c r="O40" i="48" s="1"/>
  <c r="S33" i="48"/>
  <c r="T33" i="48" s="1"/>
  <c r="H33" i="48" s="1"/>
  <c r="M33" i="48" s="1"/>
  <c r="O33" i="48" s="1"/>
  <c r="S28" i="48"/>
  <c r="T28" i="48" s="1"/>
  <c r="H28" i="48" s="1"/>
  <c r="M28" i="48" s="1"/>
  <c r="O28" i="48" s="1"/>
  <c r="S24" i="48"/>
  <c r="T24" i="48" s="1"/>
  <c r="H24" i="48" s="1"/>
  <c r="M24" i="48" s="1"/>
  <c r="O24" i="48" s="1"/>
  <c r="S23" i="48"/>
  <c r="T23" i="48" s="1"/>
  <c r="H23" i="48" s="1"/>
  <c r="M23" i="48" s="1"/>
  <c r="O23" i="48" s="1"/>
  <c r="S44" i="48"/>
  <c r="T44" i="48" s="1"/>
  <c r="H44" i="48" s="1"/>
  <c r="M44" i="48" s="1"/>
  <c r="O44" i="48" s="1"/>
  <c r="S43" i="48"/>
  <c r="S46" i="48"/>
  <c r="T46" i="48" s="1"/>
  <c r="H46" i="48" s="1"/>
  <c r="M46" i="48" s="1"/>
  <c r="O46" i="48" s="1"/>
  <c r="S41" i="48"/>
  <c r="T41" i="48" s="1"/>
  <c r="H41" i="48" s="1"/>
  <c r="M41" i="48" s="1"/>
  <c r="O41" i="48" s="1"/>
  <c r="S39" i="48"/>
  <c r="T39" i="48" s="1"/>
  <c r="H39" i="48" s="1"/>
  <c r="M39" i="48" s="1"/>
  <c r="O39" i="48" s="1"/>
  <c r="T43" i="48"/>
  <c r="H43" i="48" s="1"/>
  <c r="M43" i="48" s="1"/>
  <c r="O43" i="48" s="1"/>
  <c r="S45" i="48"/>
  <c r="T45" i="48" s="1"/>
  <c r="H45" i="48" s="1"/>
  <c r="M45" i="48" s="1"/>
  <c r="O45" i="48" s="1"/>
  <c r="T25" i="48"/>
  <c r="H25" i="48" s="1"/>
  <c r="M25" i="48" s="1"/>
  <c r="O25" i="48" s="1"/>
  <c r="T26" i="48"/>
  <c r="H26" i="48" s="1"/>
  <c r="M26" i="48" s="1"/>
  <c r="O26" i="48" s="1"/>
  <c r="T32" i="48"/>
  <c r="H32" i="48" s="1"/>
  <c r="M32" i="48" s="1"/>
  <c r="O32" i="48" s="1"/>
  <c r="T35" i="48"/>
  <c r="H35" i="48" s="1"/>
  <c r="M35" i="48" s="1"/>
  <c r="O35" i="48" s="1"/>
  <c r="S34" i="48"/>
  <c r="T34" i="48" s="1"/>
  <c r="H34" i="48" s="1"/>
  <c r="M34" i="48" s="1"/>
  <c r="O34" i="48" s="1"/>
  <c r="R10" i="48"/>
  <c r="Q10" i="48" a="1"/>
  <c r="Q10" i="48" s="1"/>
  <c r="F10" i="48"/>
  <c r="E10" i="48"/>
  <c r="R11" i="48"/>
  <c r="Q11" i="48" a="1"/>
  <c r="Q11" i="48" s="1"/>
  <c r="F11" i="48"/>
  <c r="E11" i="48"/>
  <c r="R12" i="48"/>
  <c r="Q12" i="48" a="1"/>
  <c r="Q12" i="48" s="1"/>
  <c r="F12" i="48"/>
  <c r="E12" i="48"/>
  <c r="R13" i="48"/>
  <c r="Q13" i="48" a="1"/>
  <c r="Q13" i="48" s="1"/>
  <c r="F13" i="48"/>
  <c r="E13" i="48"/>
  <c r="C3" i="48" l="1"/>
  <c r="C4" i="48"/>
  <c r="D4" i="48" s="1"/>
  <c r="S13" i="48"/>
  <c r="T13" i="48" s="1"/>
  <c r="H13" i="48" s="1"/>
  <c r="M13" i="48" s="1"/>
  <c r="O13" i="48" s="1"/>
  <c r="S11" i="48"/>
  <c r="T11" i="48" s="1"/>
  <c r="H11" i="48" s="1"/>
  <c r="M11" i="48" s="1"/>
  <c r="O11" i="48" s="1"/>
  <c r="S10" i="48"/>
  <c r="T10" i="48" s="1"/>
  <c r="H10" i="48" s="1"/>
  <c r="M10" i="48" s="1"/>
  <c r="O10" i="48" s="1"/>
  <c r="S12" i="48"/>
  <c r="T12" i="48" s="1"/>
  <c r="H12" i="48" s="1"/>
  <c r="M12" i="48" s="1"/>
  <c r="O12" i="48" s="1"/>
  <c r="R19" i="48"/>
  <c r="Q19" i="48" a="1"/>
  <c r="Q19" i="48" s="1"/>
  <c r="E19" i="48"/>
  <c r="D21" i="48"/>
  <c r="S19" i="48" l="1"/>
  <c r="T19" i="48" s="1"/>
  <c r="H19" i="48" s="1"/>
  <c r="M19" i="48" s="1"/>
  <c r="O19" i="48" s="1"/>
  <c r="R15" i="48" l="1"/>
  <c r="Q15" i="48" a="1"/>
  <c r="Q15" i="48" s="1"/>
  <c r="E15" i="48"/>
  <c r="R17" i="48"/>
  <c r="Q17" i="48" a="1"/>
  <c r="Q17" i="48" s="1"/>
  <c r="E17" i="48"/>
  <c r="R18" i="48"/>
  <c r="Q18" i="48" a="1"/>
  <c r="Q18" i="48" s="1"/>
  <c r="F18" i="48"/>
  <c r="E18" i="48"/>
  <c r="R16" i="48"/>
  <c r="Q16" i="48" a="1"/>
  <c r="Q16" i="48" s="1"/>
  <c r="E16" i="48"/>
  <c r="R9" i="48"/>
  <c r="Q9" i="48" a="1"/>
  <c r="Q9" i="48" s="1"/>
  <c r="E9" i="48"/>
  <c r="R8" i="48"/>
  <c r="Q8" i="48" a="1"/>
  <c r="Q8" i="48" s="1"/>
  <c r="E8" i="48"/>
  <c r="R7" i="48"/>
  <c r="Q7" i="48" a="1"/>
  <c r="Q7" i="48" s="1"/>
  <c r="E7" i="48"/>
  <c r="S15" i="48" l="1"/>
  <c r="T15" i="48" s="1"/>
  <c r="H15" i="48" s="1"/>
  <c r="M15" i="48" s="1"/>
  <c r="O15" i="48" s="1"/>
  <c r="S17" i="48"/>
  <c r="T17" i="48" s="1"/>
  <c r="H17" i="48" s="1"/>
  <c r="M17" i="48" s="1"/>
  <c r="O17" i="48" s="1"/>
  <c r="S8" i="48"/>
  <c r="T8" i="48" s="1"/>
  <c r="H8" i="48" s="1"/>
  <c r="M8" i="48" s="1"/>
  <c r="O8" i="48" s="1"/>
  <c r="S7" i="48"/>
  <c r="T7" i="48" s="1"/>
  <c r="H7" i="48" s="1"/>
  <c r="M7" i="48" s="1"/>
  <c r="O7" i="48" s="1"/>
  <c r="S18" i="48"/>
  <c r="T18" i="48" s="1"/>
  <c r="H18" i="48" s="1"/>
  <c r="M18" i="48" s="1"/>
  <c r="O18" i="48" s="1"/>
  <c r="S9" i="48"/>
  <c r="T9" i="48" s="1"/>
  <c r="H9" i="48" s="1"/>
  <c r="M9" i="48" s="1"/>
  <c r="O9" i="48" s="1"/>
  <c r="S16" i="48"/>
  <c r="T16" i="48" s="1"/>
  <c r="H16" i="48" s="1"/>
  <c r="M16" i="48" s="1"/>
  <c r="O16" i="48" s="1"/>
  <c r="E64" i="4"/>
  <c r="R68" i="4"/>
  <c r="S68" i="4" s="1"/>
  <c r="Q68" i="4" a="1"/>
  <c r="Q68" i="4" s="1"/>
  <c r="F68" i="4"/>
  <c r="R67" i="4"/>
  <c r="S67" i="4" s="1"/>
  <c r="Q67" i="4" a="1"/>
  <c r="Q67" i="4" s="1"/>
  <c r="F67" i="4"/>
  <c r="R65" i="4"/>
  <c r="Q65" i="4" a="1"/>
  <c r="Q65" i="4" s="1"/>
  <c r="F65" i="4"/>
  <c r="E65" i="4"/>
  <c r="Q64" i="4" a="1"/>
  <c r="Q64" i="4" s="1"/>
  <c r="F64" i="4"/>
  <c r="R66" i="4"/>
  <c r="S66" i="4" s="1"/>
  <c r="Q66" i="4" a="1"/>
  <c r="Q66" i="4" s="1"/>
  <c r="F66" i="4"/>
  <c r="H37" i="47"/>
  <c r="S39" i="47"/>
  <c r="R39" i="47"/>
  <c r="Q39" i="47" a="1"/>
  <c r="Q39" i="47" s="1"/>
  <c r="T39" i="47" s="1"/>
  <c r="S38" i="47"/>
  <c r="R38" i="47"/>
  <c r="Q38" i="47" a="1"/>
  <c r="Q38" i="47" s="1"/>
  <c r="T38" i="47" s="1"/>
  <c r="S37" i="47"/>
  <c r="R37" i="47"/>
  <c r="Q37" i="47" a="1"/>
  <c r="Q37" i="47" s="1"/>
  <c r="T37" i="47" s="1"/>
  <c r="Q36" i="47" a="1"/>
  <c r="Q36" i="47" s="1"/>
  <c r="T36" i="47" s="1"/>
  <c r="R36" i="47"/>
  <c r="S36" i="47" s="1"/>
  <c r="H38" i="47" l="1"/>
  <c r="H39" i="47"/>
  <c r="H36" i="47"/>
  <c r="C2" i="48"/>
  <c r="D2" i="48" s="1"/>
  <c r="D3" i="48"/>
  <c r="S65" i="4"/>
  <c r="T65" i="4" s="1"/>
  <c r="H65" i="4" s="1"/>
  <c r="M65" i="4" s="1"/>
  <c r="O65" i="4" s="1"/>
  <c r="R64" i="4"/>
  <c r="S64" i="4" s="1"/>
  <c r="T64" i="4" s="1"/>
  <c r="H64" i="4" s="1"/>
  <c r="M64" i="4" s="1"/>
  <c r="O64" i="4" s="1"/>
  <c r="T68" i="4"/>
  <c r="H68" i="4" s="1"/>
  <c r="M68" i="4" s="1"/>
  <c r="O68" i="4" s="1"/>
  <c r="T67" i="4"/>
  <c r="H67" i="4" s="1"/>
  <c r="M67" i="4" s="1"/>
  <c r="O67" i="4" s="1"/>
  <c r="T66" i="4"/>
  <c r="H66" i="4" s="1"/>
  <c r="M66" i="4" s="1"/>
  <c r="O66" i="4" s="1"/>
  <c r="D32" i="47"/>
  <c r="F39" i="47"/>
  <c r="E39" i="47"/>
  <c r="M39" i="47" s="1"/>
  <c r="O39" i="47" s="1"/>
  <c r="M38" i="47"/>
  <c r="O38" i="47" s="1"/>
  <c r="F38" i="47"/>
  <c r="E38" i="47"/>
  <c r="F37" i="47"/>
  <c r="E37" i="47"/>
  <c r="F36" i="47"/>
  <c r="M36" i="47" s="1"/>
  <c r="O36" i="47" s="1"/>
  <c r="D31" i="47"/>
  <c r="B63" i="4" l="1"/>
  <c r="E2" i="48"/>
  <c r="M37" i="47"/>
  <c r="O37" i="47" s="1"/>
  <c r="E26" i="47" l="1"/>
  <c r="R28" i="47"/>
  <c r="S28" i="47" s="1"/>
  <c r="Q28" i="47" a="1"/>
  <c r="Q28" i="47" s="1"/>
  <c r="E28" i="47"/>
  <c r="R27" i="47"/>
  <c r="Q27" i="47" a="1"/>
  <c r="Q27" i="47" s="1"/>
  <c r="E27" i="47"/>
  <c r="R26" i="47"/>
  <c r="Q26" i="47" a="1"/>
  <c r="Q26" i="47" s="1"/>
  <c r="R25" i="47"/>
  <c r="Q25" i="47" a="1"/>
  <c r="Q25" i="47" s="1"/>
  <c r="F25" i="47"/>
  <c r="E25" i="47"/>
  <c r="R24" i="47"/>
  <c r="Q24" i="47" a="1"/>
  <c r="Q24" i="47" s="1"/>
  <c r="E24" i="47"/>
  <c r="R23" i="47"/>
  <c r="Q23" i="47" a="1"/>
  <c r="Q23" i="47" s="1"/>
  <c r="E23" i="47"/>
  <c r="S23" i="47" s="1"/>
  <c r="R22" i="47"/>
  <c r="Q22" i="47" a="1"/>
  <c r="Q22" i="47" s="1"/>
  <c r="E22" i="47"/>
  <c r="R21" i="47"/>
  <c r="Q21" i="47" a="1"/>
  <c r="Q21" i="47" s="1"/>
  <c r="E21" i="47"/>
  <c r="R18" i="47"/>
  <c r="Q18" i="47" a="1"/>
  <c r="Q18" i="47" s="1"/>
  <c r="E18" i="47"/>
  <c r="R17" i="47"/>
  <c r="S17" i="47" s="1"/>
  <c r="Q17" i="47" a="1"/>
  <c r="Q17" i="47" s="1"/>
  <c r="E17" i="47"/>
  <c r="R20" i="47"/>
  <c r="Q20" i="47" a="1"/>
  <c r="Q20" i="47" s="1"/>
  <c r="E20" i="47"/>
  <c r="R19" i="47"/>
  <c r="S19" i="47" s="1"/>
  <c r="Q19" i="47"/>
  <c r="Q19" i="47" a="1"/>
  <c r="E19" i="47"/>
  <c r="R12" i="47"/>
  <c r="Q12" i="47" a="1"/>
  <c r="Q12" i="47" s="1"/>
  <c r="F12" i="47"/>
  <c r="E12" i="47"/>
  <c r="R11" i="47"/>
  <c r="Q11" i="47" a="1"/>
  <c r="Q11" i="47" s="1"/>
  <c r="F11" i="47"/>
  <c r="E11" i="47"/>
  <c r="S27" i="47" l="1"/>
  <c r="T27" i="47" s="1"/>
  <c r="H27" i="47" s="1"/>
  <c r="M27" i="47" s="1"/>
  <c r="O27" i="47" s="1"/>
  <c r="S26" i="47"/>
  <c r="T26" i="47" s="1"/>
  <c r="H26" i="47" s="1"/>
  <c r="M26" i="47" s="1"/>
  <c r="O26" i="47" s="1"/>
  <c r="T28" i="47"/>
  <c r="H28" i="47" s="1"/>
  <c r="M28" i="47" s="1"/>
  <c r="O28" i="47" s="1"/>
  <c r="S24" i="47"/>
  <c r="T24" i="47" s="1"/>
  <c r="H24" i="47" s="1"/>
  <c r="M24" i="47" s="1"/>
  <c r="O24" i="47" s="1"/>
  <c r="T25" i="47"/>
  <c r="H25" i="47" s="1"/>
  <c r="M25" i="47" s="1"/>
  <c r="O25" i="47" s="1"/>
  <c r="S25" i="47"/>
  <c r="S21" i="47"/>
  <c r="S22" i="47"/>
  <c r="T22" i="47" s="1"/>
  <c r="H22" i="47" s="1"/>
  <c r="M22" i="47" s="1"/>
  <c r="O22" i="47" s="1"/>
  <c r="T23" i="47"/>
  <c r="H23" i="47" s="1"/>
  <c r="M23" i="47" s="1"/>
  <c r="O23" i="47" s="1"/>
  <c r="T21" i="47"/>
  <c r="H21" i="47" s="1"/>
  <c r="M21" i="47" s="1"/>
  <c r="O21" i="47" s="1"/>
  <c r="S20" i="47"/>
  <c r="S18" i="47"/>
  <c r="T18" i="47" s="1"/>
  <c r="H18" i="47" s="1"/>
  <c r="M18" i="47" s="1"/>
  <c r="O18" i="47" s="1"/>
  <c r="T17" i="47"/>
  <c r="H17" i="47" s="1"/>
  <c r="M17" i="47" s="1"/>
  <c r="O17" i="47" s="1"/>
  <c r="T19" i="47"/>
  <c r="H19" i="47" s="1"/>
  <c r="M19" i="47" s="1"/>
  <c r="O19" i="47" s="1"/>
  <c r="T20" i="47"/>
  <c r="H20" i="47" s="1"/>
  <c r="M20" i="47" s="1"/>
  <c r="O20" i="47" s="1"/>
  <c r="S12" i="47"/>
  <c r="T12" i="47"/>
  <c r="H12" i="47" s="1"/>
  <c r="M12" i="47" s="1"/>
  <c r="O12" i="47" s="1"/>
  <c r="S11" i="47"/>
  <c r="T11" i="47" s="1"/>
  <c r="H11" i="47" s="1"/>
  <c r="M11" i="47" s="1"/>
  <c r="O11" i="47" s="1"/>
  <c r="R14" i="47"/>
  <c r="Q14" i="47" a="1"/>
  <c r="Q14" i="47" s="1"/>
  <c r="F14" i="47"/>
  <c r="E14" i="47"/>
  <c r="S14" i="47" s="1"/>
  <c r="Q9" i="47" a="1"/>
  <c r="Q9" i="47" s="1"/>
  <c r="C9" i="47"/>
  <c r="E9" i="47" s="1"/>
  <c r="R16" i="47"/>
  <c r="Q16" i="47" a="1"/>
  <c r="Q16" i="47" s="1"/>
  <c r="E16" i="47"/>
  <c r="R10" i="47"/>
  <c r="Q10" i="47" a="1"/>
  <c r="Q10" i="47" s="1"/>
  <c r="E10" i="47"/>
  <c r="Q8" i="47" a="1"/>
  <c r="Q8" i="47" s="1"/>
  <c r="C8" i="47"/>
  <c r="R8" i="47" s="1"/>
  <c r="R7" i="47"/>
  <c r="Q7" i="47" a="1"/>
  <c r="Q7" i="47" s="1"/>
  <c r="E7" i="47"/>
  <c r="R6" i="47"/>
  <c r="Q6" i="47" a="1"/>
  <c r="Q6" i="47" s="1"/>
  <c r="E6" i="47"/>
  <c r="S6" i="47" l="1"/>
  <c r="S7" i="47"/>
  <c r="T7" i="47" s="1"/>
  <c r="H7" i="47" s="1"/>
  <c r="M7" i="47" s="1"/>
  <c r="O7" i="47" s="1"/>
  <c r="T14" i="47"/>
  <c r="H14" i="47" s="1"/>
  <c r="M14" i="47" s="1"/>
  <c r="O14" i="47" s="1"/>
  <c r="R9" i="47"/>
  <c r="S9" i="47" s="1"/>
  <c r="T9" i="47" s="1"/>
  <c r="H9" i="47" s="1"/>
  <c r="M9" i="47" s="1"/>
  <c r="O9" i="47" s="1"/>
  <c r="S16" i="47"/>
  <c r="T16" i="47"/>
  <c r="H16" i="47" s="1"/>
  <c r="M16" i="47" s="1"/>
  <c r="O16" i="47" s="1"/>
  <c r="C3" i="47" s="1"/>
  <c r="D3" i="47" s="1"/>
  <c r="S10" i="47"/>
  <c r="T10" i="47" s="1"/>
  <c r="H10" i="47" s="1"/>
  <c r="M10" i="47" s="1"/>
  <c r="O10" i="47" s="1"/>
  <c r="T6" i="47"/>
  <c r="H6" i="47" s="1"/>
  <c r="M6" i="47" s="1"/>
  <c r="O6" i="47" s="1"/>
  <c r="E8" i="47"/>
  <c r="C5" i="46"/>
  <c r="S8" i="47" l="1"/>
  <c r="T8" i="47" s="1"/>
  <c r="H8" i="47" s="1"/>
  <c r="M8" i="47" s="1"/>
  <c r="O8" i="47" s="1"/>
  <c r="B35" i="46"/>
  <c r="D35" i="46" s="1"/>
  <c r="B34" i="46"/>
  <c r="D34" i="46"/>
  <c r="C2" i="47" l="1"/>
  <c r="D2" i="47" s="1"/>
  <c r="E2" i="47" s="1"/>
  <c r="R31" i="46"/>
  <c r="Q31" i="46" a="1"/>
  <c r="Q31" i="46" s="1"/>
  <c r="E31" i="46"/>
  <c r="C10" i="46"/>
  <c r="B28" i="46"/>
  <c r="R29" i="46"/>
  <c r="Q29" i="46" a="1"/>
  <c r="Q29" i="46" s="1"/>
  <c r="E29" i="46"/>
  <c r="R28" i="46"/>
  <c r="Q28" i="46" a="1"/>
  <c r="Q28" i="46" s="1"/>
  <c r="E28" i="46"/>
  <c r="R27" i="46"/>
  <c r="Q27" i="46" a="1"/>
  <c r="Q27" i="46" s="1"/>
  <c r="E27" i="46"/>
  <c r="R26" i="46"/>
  <c r="Q26" i="46" a="1"/>
  <c r="Q26" i="46" s="1"/>
  <c r="E26" i="46"/>
  <c r="R25" i="46"/>
  <c r="Q25" i="46" a="1"/>
  <c r="Q25" i="46" s="1"/>
  <c r="E25" i="46"/>
  <c r="R24" i="46"/>
  <c r="Q24" i="46" a="1"/>
  <c r="Q24" i="46" s="1"/>
  <c r="E24" i="46"/>
  <c r="S24" i="46" s="1"/>
  <c r="C20" i="46"/>
  <c r="B20" i="46"/>
  <c r="R22" i="46"/>
  <c r="Q22" i="46" a="1"/>
  <c r="Q22" i="46" s="1"/>
  <c r="E22" i="46"/>
  <c r="R21" i="46"/>
  <c r="Q21" i="46" a="1"/>
  <c r="Q21" i="46" s="1"/>
  <c r="E21" i="46"/>
  <c r="Q20" i="46" a="1"/>
  <c r="Q20" i="46" s="1"/>
  <c r="C17" i="46"/>
  <c r="R17" i="46" s="1"/>
  <c r="R15" i="46"/>
  <c r="Q15" i="46" a="1"/>
  <c r="Q15" i="46" s="1"/>
  <c r="E15" i="46"/>
  <c r="R19" i="46"/>
  <c r="Q19" i="46" a="1"/>
  <c r="Q19" i="46" s="1"/>
  <c r="E19" i="46"/>
  <c r="R18" i="46"/>
  <c r="Q18" i="46" a="1"/>
  <c r="Q18" i="46" s="1"/>
  <c r="E18" i="46"/>
  <c r="Q17" i="46" a="1"/>
  <c r="Q17" i="46" s="1"/>
  <c r="E17" i="46"/>
  <c r="R16" i="46"/>
  <c r="Q16" i="46" a="1"/>
  <c r="Q16" i="46" s="1"/>
  <c r="E16" i="46"/>
  <c r="R14" i="46"/>
  <c r="Q14" i="46" a="1"/>
  <c r="Q14" i="46" s="1"/>
  <c r="E14" i="46"/>
  <c r="R13" i="46"/>
  <c r="Q13" i="46" a="1"/>
  <c r="Q13" i="46" s="1"/>
  <c r="E13" i="46"/>
  <c r="R12" i="46"/>
  <c r="Q12" i="46" a="1"/>
  <c r="Q12" i="46" s="1"/>
  <c r="E12" i="46"/>
  <c r="R11" i="46"/>
  <c r="Q11" i="46" a="1"/>
  <c r="Q11" i="46" s="1"/>
  <c r="E11" i="46"/>
  <c r="R10" i="46"/>
  <c r="Q10" i="46" a="1"/>
  <c r="Q10" i="46" s="1"/>
  <c r="E10" i="46"/>
  <c r="R9" i="46"/>
  <c r="S9" i="46" s="1"/>
  <c r="Q9" i="46" a="1"/>
  <c r="Q9" i="46" s="1"/>
  <c r="E9" i="46"/>
  <c r="R8" i="46"/>
  <c r="Q8" i="46" a="1"/>
  <c r="Q8" i="46" s="1"/>
  <c r="E8" i="46"/>
  <c r="S31" i="46" l="1"/>
  <c r="T31" i="46" s="1"/>
  <c r="H31" i="46" s="1"/>
  <c r="M31" i="46" s="1"/>
  <c r="O31" i="46" s="1"/>
  <c r="C4" i="46" s="1"/>
  <c r="S27" i="46"/>
  <c r="S29" i="46"/>
  <c r="T29" i="46" s="1"/>
  <c r="H29" i="46" s="1"/>
  <c r="M29" i="46" s="1"/>
  <c r="O29" i="46" s="1"/>
  <c r="S26" i="46"/>
  <c r="T26" i="46" s="1"/>
  <c r="H26" i="46" s="1"/>
  <c r="M26" i="46" s="1"/>
  <c r="O26" i="46" s="1"/>
  <c r="S28" i="46"/>
  <c r="T28" i="46" s="1"/>
  <c r="H28" i="46" s="1"/>
  <c r="M28" i="46" s="1"/>
  <c r="O28" i="46" s="1"/>
  <c r="S25" i="46"/>
  <c r="T25" i="46" s="1"/>
  <c r="H25" i="46" s="1"/>
  <c r="M25" i="46" s="1"/>
  <c r="O25" i="46" s="1"/>
  <c r="T27" i="46"/>
  <c r="H27" i="46" s="1"/>
  <c r="M27" i="46" s="1"/>
  <c r="O27" i="46" s="1"/>
  <c r="T24" i="46"/>
  <c r="H24" i="46" s="1"/>
  <c r="M24" i="46" s="1"/>
  <c r="O24" i="46" s="1"/>
  <c r="C3" i="46" s="1"/>
  <c r="S21" i="46"/>
  <c r="S10" i="46"/>
  <c r="T10" i="46" s="1"/>
  <c r="H10" i="46" s="1"/>
  <c r="M10" i="46" s="1"/>
  <c r="O10" i="46" s="1"/>
  <c r="S22" i="46"/>
  <c r="T22" i="46" s="1"/>
  <c r="H22" i="46" s="1"/>
  <c r="M22" i="46" s="1"/>
  <c r="O22" i="46" s="1"/>
  <c r="R20" i="46"/>
  <c r="T21" i="46"/>
  <c r="H21" i="46" s="1"/>
  <c r="M21" i="46" s="1"/>
  <c r="O21" i="46" s="1"/>
  <c r="E20" i="46"/>
  <c r="S19" i="46"/>
  <c r="T19" i="46" s="1"/>
  <c r="H19" i="46" s="1"/>
  <c r="M19" i="46" s="1"/>
  <c r="O19" i="46" s="1"/>
  <c r="S17" i="46"/>
  <c r="T17" i="46" s="1"/>
  <c r="H17" i="46" s="1"/>
  <c r="M17" i="46" s="1"/>
  <c r="O17" i="46" s="1"/>
  <c r="S12" i="46"/>
  <c r="T12" i="46" s="1"/>
  <c r="H12" i="46" s="1"/>
  <c r="M12" i="46" s="1"/>
  <c r="O12" i="46" s="1"/>
  <c r="S13" i="46"/>
  <c r="S15" i="46"/>
  <c r="T15" i="46" s="1"/>
  <c r="H15" i="46" s="1"/>
  <c r="M15" i="46" s="1"/>
  <c r="O15" i="46" s="1"/>
  <c r="S14" i="46"/>
  <c r="T14" i="46" s="1"/>
  <c r="H14" i="46" s="1"/>
  <c r="M14" i="46" s="1"/>
  <c r="O14" i="46" s="1"/>
  <c r="S16" i="46"/>
  <c r="T16" i="46" s="1"/>
  <c r="H16" i="46" s="1"/>
  <c r="M16" i="46" s="1"/>
  <c r="O16" i="46" s="1"/>
  <c r="S18" i="46"/>
  <c r="T18" i="46" s="1"/>
  <c r="H18" i="46" s="1"/>
  <c r="M18" i="46" s="1"/>
  <c r="O18" i="46" s="1"/>
  <c r="S11" i="46"/>
  <c r="T11" i="46" s="1"/>
  <c r="H11" i="46" s="1"/>
  <c r="M11" i="46" s="1"/>
  <c r="O11" i="46" s="1"/>
  <c r="S8" i="46"/>
  <c r="T8" i="46" s="1"/>
  <c r="H8" i="46" s="1"/>
  <c r="M8" i="46" s="1"/>
  <c r="O8" i="46" s="1"/>
  <c r="T13" i="46"/>
  <c r="H13" i="46" s="1"/>
  <c r="M13" i="46" s="1"/>
  <c r="O13" i="46" s="1"/>
  <c r="T9" i="46"/>
  <c r="H9" i="46" s="1"/>
  <c r="M9" i="46" s="1"/>
  <c r="O9" i="46" s="1"/>
  <c r="R103" i="45"/>
  <c r="Q103" i="45" a="1"/>
  <c r="Q103" i="45" s="1"/>
  <c r="F103" i="45"/>
  <c r="E103" i="45"/>
  <c r="S20" i="46" l="1"/>
  <c r="T20" i="46" s="1"/>
  <c r="H20" i="46" s="1"/>
  <c r="M20" i="46" s="1"/>
  <c r="O20" i="46" s="1"/>
  <c r="D4" i="46" s="1"/>
  <c r="S103" i="45"/>
  <c r="T103" i="45" s="1"/>
  <c r="H103" i="45" s="1"/>
  <c r="M103" i="45" s="1"/>
  <c r="O103" i="45" s="1"/>
  <c r="D3" i="46" l="1"/>
  <c r="D5" i="46"/>
  <c r="C2" i="46"/>
  <c r="D2" i="46" s="1"/>
  <c r="R102" i="45"/>
  <c r="Q102" i="45" a="1"/>
  <c r="Q102" i="45" s="1"/>
  <c r="E102" i="45"/>
  <c r="R101" i="45"/>
  <c r="Q101" i="45" a="1"/>
  <c r="Q101" i="45" s="1"/>
  <c r="E101" i="45"/>
  <c r="R100" i="45"/>
  <c r="Q100" i="45" a="1"/>
  <c r="Q100" i="45" s="1"/>
  <c r="F100" i="45"/>
  <c r="E100" i="45"/>
  <c r="R99" i="45"/>
  <c r="Q99" i="45" a="1"/>
  <c r="Q99" i="45" s="1"/>
  <c r="F99" i="45"/>
  <c r="E99" i="45"/>
  <c r="R98" i="45"/>
  <c r="Q98" i="45" a="1"/>
  <c r="Q98" i="45" s="1"/>
  <c r="E98" i="45"/>
  <c r="S98" i="45" s="1"/>
  <c r="R97" i="45"/>
  <c r="Q97" i="45" a="1"/>
  <c r="Q97" i="45" s="1"/>
  <c r="E97" i="45"/>
  <c r="S97" i="45" s="1"/>
  <c r="R94" i="45"/>
  <c r="Q94" i="45" a="1"/>
  <c r="Q94" i="45" s="1"/>
  <c r="E94" i="45"/>
  <c r="R93" i="45"/>
  <c r="Q93" i="45" a="1"/>
  <c r="Q93" i="45" s="1"/>
  <c r="E93" i="45"/>
  <c r="R92" i="45"/>
  <c r="Q92" i="45" a="1"/>
  <c r="Q92" i="45" s="1"/>
  <c r="F92" i="45"/>
  <c r="E92" i="45"/>
  <c r="R91" i="45"/>
  <c r="Q91" i="45" a="1"/>
  <c r="Q91" i="45" s="1"/>
  <c r="F91" i="45"/>
  <c r="E91" i="45"/>
  <c r="R90" i="45"/>
  <c r="Q90" i="45" a="1"/>
  <c r="Q90" i="45" s="1"/>
  <c r="E90" i="45"/>
  <c r="R89" i="45"/>
  <c r="Q89" i="45" a="1"/>
  <c r="Q89" i="45" s="1"/>
  <c r="E89" i="45"/>
  <c r="R14" i="45"/>
  <c r="Q14" i="45" a="1"/>
  <c r="Q14" i="45" s="1"/>
  <c r="F14" i="45"/>
  <c r="E14" i="45"/>
  <c r="R49" i="45"/>
  <c r="Q49" i="45" a="1"/>
  <c r="Q49" i="45" s="1"/>
  <c r="F49" i="45"/>
  <c r="E49" i="45"/>
  <c r="R84" i="45"/>
  <c r="Q84" i="45" a="1"/>
  <c r="Q84" i="45" s="1"/>
  <c r="F84" i="45"/>
  <c r="E84" i="45"/>
  <c r="R71" i="45"/>
  <c r="Q71" i="45" a="1"/>
  <c r="Q71" i="45" s="1"/>
  <c r="F71" i="45"/>
  <c r="E71" i="45"/>
  <c r="B86" i="45"/>
  <c r="D86" i="45" s="1"/>
  <c r="R83" i="45"/>
  <c r="Q83" i="45" a="1"/>
  <c r="Q83" i="45" s="1"/>
  <c r="E83" i="45"/>
  <c r="R82" i="45"/>
  <c r="Q82" i="45" a="1"/>
  <c r="Q82" i="45" s="1"/>
  <c r="E82" i="45"/>
  <c r="R81" i="45"/>
  <c r="Q81" i="45"/>
  <c r="Q81" i="45" a="1"/>
  <c r="F81" i="45"/>
  <c r="E81" i="45"/>
  <c r="S81" i="45" s="1"/>
  <c r="R80" i="45"/>
  <c r="Q80" i="45" a="1"/>
  <c r="Q80" i="45" s="1"/>
  <c r="F80" i="45"/>
  <c r="E80" i="45"/>
  <c r="S80" i="45" s="1"/>
  <c r="R79" i="45"/>
  <c r="Q79" i="45" a="1"/>
  <c r="Q79" i="45" s="1"/>
  <c r="E79" i="45"/>
  <c r="R78" i="45"/>
  <c r="Q78" i="45" a="1"/>
  <c r="Q78" i="45" s="1"/>
  <c r="E78" i="45"/>
  <c r="S78" i="45" s="1"/>
  <c r="R77" i="45"/>
  <c r="Q77" i="45" a="1"/>
  <c r="Q77" i="45" s="1"/>
  <c r="E77" i="45"/>
  <c r="S76" i="45"/>
  <c r="R76" i="45"/>
  <c r="Q76" i="45" a="1"/>
  <c r="Q76" i="45" s="1"/>
  <c r="E76" i="45"/>
  <c r="B73" i="45"/>
  <c r="D73" i="45" s="1"/>
  <c r="R68" i="45"/>
  <c r="Q68" i="45" a="1"/>
  <c r="Q68" i="45" s="1"/>
  <c r="E68" i="45"/>
  <c r="R67" i="45"/>
  <c r="Q67" i="45" a="1"/>
  <c r="Q67" i="45" s="1"/>
  <c r="E67" i="45"/>
  <c r="R70" i="45"/>
  <c r="Q70" i="45" a="1"/>
  <c r="Q70" i="45" s="1"/>
  <c r="E70" i="45"/>
  <c r="R65" i="45"/>
  <c r="Q65" i="45" a="1"/>
  <c r="Q65" i="45" s="1"/>
  <c r="E65" i="45"/>
  <c r="S65" i="45" s="1"/>
  <c r="R63" i="45"/>
  <c r="Q63" i="45" a="1"/>
  <c r="Q63" i="45" s="1"/>
  <c r="F63" i="45"/>
  <c r="E63" i="45"/>
  <c r="R60" i="45"/>
  <c r="Q60" i="45" a="1"/>
  <c r="Q60" i="45" s="1"/>
  <c r="E60" i="45"/>
  <c r="R56" i="45"/>
  <c r="Q56" i="45" a="1"/>
  <c r="Q56" i="45" s="1"/>
  <c r="E56" i="45"/>
  <c r="R58" i="45"/>
  <c r="Q58" i="45" a="1"/>
  <c r="Q58" i="45" s="1"/>
  <c r="E58" i="45"/>
  <c r="R55" i="45"/>
  <c r="Q55" i="45" a="1"/>
  <c r="Q55" i="45" s="1"/>
  <c r="E55" i="45"/>
  <c r="S55" i="45" s="1"/>
  <c r="R69" i="45"/>
  <c r="Q69" i="45" a="1"/>
  <c r="Q69" i="45" s="1"/>
  <c r="E69" i="45"/>
  <c r="R66" i="45"/>
  <c r="Q66" i="45" a="1"/>
  <c r="Q66" i="45" s="1"/>
  <c r="E66" i="45"/>
  <c r="R64" i="45"/>
  <c r="Q64" i="45" a="1"/>
  <c r="Q64" i="45" s="1"/>
  <c r="E64" i="45"/>
  <c r="R62" i="45"/>
  <c r="Q62" i="45" a="1"/>
  <c r="Q62" i="45" s="1"/>
  <c r="F62" i="45"/>
  <c r="E62" i="45"/>
  <c r="R61" i="45"/>
  <c r="Q61" i="45" a="1"/>
  <c r="Q61" i="45" s="1"/>
  <c r="F61" i="45"/>
  <c r="E61" i="45"/>
  <c r="R59" i="45"/>
  <c r="Q59" i="45" a="1"/>
  <c r="Q59" i="45" s="1"/>
  <c r="E59" i="45"/>
  <c r="R57" i="45"/>
  <c r="Q57" i="45" a="1"/>
  <c r="Q57" i="45" s="1"/>
  <c r="E57" i="45"/>
  <c r="R54" i="45"/>
  <c r="Q54" i="45" a="1"/>
  <c r="Q54" i="45" s="1"/>
  <c r="E54" i="45"/>
  <c r="B51" i="45"/>
  <c r="D51" i="45" s="1"/>
  <c r="R48" i="45"/>
  <c r="Q48" i="45" a="1"/>
  <c r="Q48" i="45" s="1"/>
  <c r="E48" i="45"/>
  <c r="R47" i="45"/>
  <c r="Q47" i="45" a="1"/>
  <c r="Q47" i="45" s="1"/>
  <c r="E47" i="45"/>
  <c r="R46" i="45"/>
  <c r="S46" i="45" s="1"/>
  <c r="Q46" i="45" a="1"/>
  <c r="Q46" i="45" s="1"/>
  <c r="E46" i="45"/>
  <c r="R45" i="45"/>
  <c r="Q45" i="45" a="1"/>
  <c r="Q45" i="45" s="1"/>
  <c r="E45" i="45"/>
  <c r="R44" i="45"/>
  <c r="Q44" i="45" a="1"/>
  <c r="Q44" i="45" s="1"/>
  <c r="E44" i="45"/>
  <c r="R41" i="45"/>
  <c r="Q41" i="45" a="1"/>
  <c r="Q41" i="45" s="1"/>
  <c r="E41" i="45"/>
  <c r="S41" i="45" s="1"/>
  <c r="R40" i="45"/>
  <c r="Q40" i="45" a="1"/>
  <c r="Q40" i="45" s="1"/>
  <c r="E40" i="45"/>
  <c r="S40" i="45" s="1"/>
  <c r="R39" i="45"/>
  <c r="Q39" i="45" a="1"/>
  <c r="Q39" i="45" s="1"/>
  <c r="E39" i="45"/>
  <c r="R37" i="45"/>
  <c r="Q37" i="45" a="1"/>
  <c r="Q37" i="45" s="1"/>
  <c r="F37" i="45"/>
  <c r="E37" i="45"/>
  <c r="Q36" i="45" a="1"/>
  <c r="Q36" i="45" s="1"/>
  <c r="B36" i="45"/>
  <c r="F36" i="45" s="1"/>
  <c r="R35" i="45"/>
  <c r="Q35" i="45" a="1"/>
  <c r="Q35" i="45" s="1"/>
  <c r="F35" i="45"/>
  <c r="E35" i="45"/>
  <c r="Q34" i="45" a="1"/>
  <c r="Q34" i="45" s="1"/>
  <c r="B34" i="45"/>
  <c r="F34" i="45" s="1"/>
  <c r="B32" i="45"/>
  <c r="F32" i="45" s="1"/>
  <c r="R33" i="45"/>
  <c r="Q33" i="45" a="1"/>
  <c r="Q33" i="45" s="1"/>
  <c r="F33" i="45"/>
  <c r="E33" i="45"/>
  <c r="R32" i="45"/>
  <c r="Q32" i="45" a="1"/>
  <c r="Q32" i="45" s="1"/>
  <c r="E32" i="45"/>
  <c r="R29" i="45"/>
  <c r="Q29" i="45" a="1"/>
  <c r="Q29" i="45" s="1"/>
  <c r="E29" i="45"/>
  <c r="R28" i="45"/>
  <c r="Q28" i="45" a="1"/>
  <c r="Q28" i="45" s="1"/>
  <c r="E28" i="45"/>
  <c r="R27" i="45"/>
  <c r="Q27" i="45" a="1"/>
  <c r="Q27" i="45" s="1"/>
  <c r="E27" i="45"/>
  <c r="R20" i="45"/>
  <c r="Q20" i="45" a="1"/>
  <c r="Q20" i="45" s="1"/>
  <c r="E20" i="45"/>
  <c r="R25" i="45"/>
  <c r="Q25" i="45" a="1"/>
  <c r="Q25" i="45" s="1"/>
  <c r="E25" i="45"/>
  <c r="S25" i="45" s="1"/>
  <c r="E24" i="45"/>
  <c r="R24" i="45"/>
  <c r="Q24" i="45" a="1"/>
  <c r="Q24" i="45" s="1"/>
  <c r="R23" i="45"/>
  <c r="Q23" i="45" a="1"/>
  <c r="Q23" i="45" s="1"/>
  <c r="E23" i="45"/>
  <c r="R22" i="45"/>
  <c r="Q22" i="45" a="1"/>
  <c r="Q22" i="45" s="1"/>
  <c r="E22" i="45"/>
  <c r="R43" i="45"/>
  <c r="Q43" i="45" a="1"/>
  <c r="Q43" i="45" s="1"/>
  <c r="E43" i="45"/>
  <c r="R42" i="45"/>
  <c r="Q42" i="45" a="1"/>
  <c r="Q42" i="45" s="1"/>
  <c r="E42" i="45"/>
  <c r="R38" i="45"/>
  <c r="Q38" i="45" a="1"/>
  <c r="Q38" i="45" s="1"/>
  <c r="E38" i="45"/>
  <c r="R31" i="45"/>
  <c r="Q31" i="45" a="1"/>
  <c r="Q31" i="45" s="1"/>
  <c r="F31" i="45"/>
  <c r="E31" i="45"/>
  <c r="R30" i="45"/>
  <c r="Q30" i="45" a="1"/>
  <c r="Q30" i="45" s="1"/>
  <c r="F30" i="45"/>
  <c r="E30" i="45"/>
  <c r="R26" i="45"/>
  <c r="Q26" i="45" a="1"/>
  <c r="Q26" i="45" s="1"/>
  <c r="E26" i="45"/>
  <c r="R21" i="45"/>
  <c r="Q21" i="45" a="1"/>
  <c r="Q21" i="45" s="1"/>
  <c r="E21" i="45"/>
  <c r="R19" i="45"/>
  <c r="Q19" i="45" a="1"/>
  <c r="Q19" i="45" s="1"/>
  <c r="E19" i="45"/>
  <c r="B16" i="45"/>
  <c r="D16" i="45"/>
  <c r="E2" i="46" l="1"/>
  <c r="S101" i="45"/>
  <c r="S99" i="45"/>
  <c r="T99" i="45" s="1"/>
  <c r="H99" i="45" s="1"/>
  <c r="M99" i="45" s="1"/>
  <c r="O99" i="45" s="1"/>
  <c r="S102" i="45"/>
  <c r="T102" i="45" s="1"/>
  <c r="H102" i="45" s="1"/>
  <c r="M102" i="45" s="1"/>
  <c r="O102" i="45" s="1"/>
  <c r="T101" i="45"/>
  <c r="H101" i="45" s="1"/>
  <c r="M101" i="45" s="1"/>
  <c r="O101" i="45" s="1"/>
  <c r="T98" i="45"/>
  <c r="H98" i="45" s="1"/>
  <c r="M98" i="45" s="1"/>
  <c r="O98" i="45" s="1"/>
  <c r="T97" i="45"/>
  <c r="H97" i="45" s="1"/>
  <c r="M97" i="45" s="1"/>
  <c r="O97" i="45" s="1"/>
  <c r="S100" i="45"/>
  <c r="T100" i="45" s="1"/>
  <c r="H100" i="45" s="1"/>
  <c r="M100" i="45" s="1"/>
  <c r="O100" i="45" s="1"/>
  <c r="S94" i="45"/>
  <c r="T94" i="45" s="1"/>
  <c r="H94" i="45" s="1"/>
  <c r="M94" i="45" s="1"/>
  <c r="O94" i="45" s="1"/>
  <c r="S90" i="45"/>
  <c r="T90" i="45" s="1"/>
  <c r="H90" i="45" s="1"/>
  <c r="M90" i="45" s="1"/>
  <c r="O90" i="45" s="1"/>
  <c r="S89" i="45"/>
  <c r="T89" i="45" s="1"/>
  <c r="H89" i="45" s="1"/>
  <c r="M89" i="45" s="1"/>
  <c r="O89" i="45" s="1"/>
  <c r="S93" i="45"/>
  <c r="T93" i="45" s="1"/>
  <c r="H93" i="45" s="1"/>
  <c r="M93" i="45" s="1"/>
  <c r="O93" i="45" s="1"/>
  <c r="S92" i="45"/>
  <c r="T92" i="45" s="1"/>
  <c r="H92" i="45" s="1"/>
  <c r="M92" i="45" s="1"/>
  <c r="O92" i="45" s="1"/>
  <c r="S91" i="45"/>
  <c r="T91" i="45" s="1"/>
  <c r="H91" i="45" s="1"/>
  <c r="M91" i="45" s="1"/>
  <c r="O91" i="45" s="1"/>
  <c r="S14" i="45"/>
  <c r="T14" i="45" s="1"/>
  <c r="H14" i="45" s="1"/>
  <c r="M14" i="45" s="1"/>
  <c r="O14" i="45" s="1"/>
  <c r="S49" i="45"/>
  <c r="T49" i="45" s="1"/>
  <c r="H49" i="45" s="1"/>
  <c r="M49" i="45" s="1"/>
  <c r="O49" i="45" s="1"/>
  <c r="S84" i="45"/>
  <c r="T84" i="45" s="1"/>
  <c r="H84" i="45" s="1"/>
  <c r="M84" i="45" s="1"/>
  <c r="O84" i="45" s="1"/>
  <c r="S71" i="45"/>
  <c r="T71" i="45" s="1"/>
  <c r="H71" i="45" s="1"/>
  <c r="M71" i="45" s="1"/>
  <c r="O71" i="45" s="1"/>
  <c r="S82" i="45"/>
  <c r="T82" i="45" s="1"/>
  <c r="H82" i="45" s="1"/>
  <c r="M82" i="45" s="1"/>
  <c r="O82" i="45" s="1"/>
  <c r="S83" i="45"/>
  <c r="T81" i="45"/>
  <c r="H81" i="45" s="1"/>
  <c r="M81" i="45" s="1"/>
  <c r="O81" i="45" s="1"/>
  <c r="S79" i="45"/>
  <c r="T79" i="45" s="1"/>
  <c r="H79" i="45" s="1"/>
  <c r="M79" i="45" s="1"/>
  <c r="O79" i="45" s="1"/>
  <c r="S77" i="45"/>
  <c r="T83" i="45"/>
  <c r="H83" i="45" s="1"/>
  <c r="M83" i="45" s="1"/>
  <c r="O83" i="45" s="1"/>
  <c r="T80" i="45"/>
  <c r="H80" i="45" s="1"/>
  <c r="M80" i="45" s="1"/>
  <c r="O80" i="45" s="1"/>
  <c r="T78" i="45"/>
  <c r="H78" i="45" s="1"/>
  <c r="M78" i="45" s="1"/>
  <c r="O78" i="45" s="1"/>
  <c r="T76" i="45"/>
  <c r="H76" i="45" s="1"/>
  <c r="M76" i="45" s="1"/>
  <c r="O76" i="45" s="1"/>
  <c r="T77" i="45"/>
  <c r="H77" i="45" s="1"/>
  <c r="M77" i="45" s="1"/>
  <c r="O77" i="45" s="1"/>
  <c r="S67" i="45"/>
  <c r="S68" i="45"/>
  <c r="S70" i="45"/>
  <c r="T70" i="45" s="1"/>
  <c r="H70" i="45" s="1"/>
  <c r="M70" i="45" s="1"/>
  <c r="O70" i="45" s="1"/>
  <c r="T68" i="45"/>
  <c r="H68" i="45" s="1"/>
  <c r="M68" i="45" s="1"/>
  <c r="O68" i="45" s="1"/>
  <c r="T67" i="45"/>
  <c r="H67" i="45" s="1"/>
  <c r="M67" i="45" s="1"/>
  <c r="O67" i="45" s="1"/>
  <c r="T65" i="45"/>
  <c r="H65" i="45" s="1"/>
  <c r="M65" i="45" s="1"/>
  <c r="O65" i="45" s="1"/>
  <c r="S63" i="45"/>
  <c r="T63" i="45" s="1"/>
  <c r="H63" i="45" s="1"/>
  <c r="M63" i="45" s="1"/>
  <c r="O63" i="45" s="1"/>
  <c r="S60" i="45"/>
  <c r="T60" i="45" s="1"/>
  <c r="H60" i="45" s="1"/>
  <c r="M60" i="45" s="1"/>
  <c r="O60" i="45" s="1"/>
  <c r="S56" i="45"/>
  <c r="T56" i="45" s="1"/>
  <c r="H56" i="45" s="1"/>
  <c r="M56" i="45" s="1"/>
  <c r="O56" i="45" s="1"/>
  <c r="S58" i="45"/>
  <c r="T58" i="45" s="1"/>
  <c r="H58" i="45" s="1"/>
  <c r="M58" i="45" s="1"/>
  <c r="O58" i="45" s="1"/>
  <c r="T55" i="45"/>
  <c r="H55" i="45" s="1"/>
  <c r="M55" i="45" s="1"/>
  <c r="O55" i="45" s="1"/>
  <c r="S66" i="45"/>
  <c r="T66" i="45" s="1"/>
  <c r="H66" i="45" s="1"/>
  <c r="M66" i="45" s="1"/>
  <c r="O66" i="45" s="1"/>
  <c r="S57" i="45"/>
  <c r="T57" i="45" s="1"/>
  <c r="H57" i="45" s="1"/>
  <c r="M57" i="45" s="1"/>
  <c r="O57" i="45" s="1"/>
  <c r="S69" i="45"/>
  <c r="T69" i="45" s="1"/>
  <c r="H69" i="45" s="1"/>
  <c r="M69" i="45" s="1"/>
  <c r="O69" i="45" s="1"/>
  <c r="S64" i="45"/>
  <c r="T64" i="45" s="1"/>
  <c r="H64" i="45" s="1"/>
  <c r="M64" i="45" s="1"/>
  <c r="O64" i="45" s="1"/>
  <c r="S62" i="45"/>
  <c r="T62" i="45" s="1"/>
  <c r="H62" i="45" s="1"/>
  <c r="M62" i="45" s="1"/>
  <c r="O62" i="45" s="1"/>
  <c r="S61" i="45"/>
  <c r="T61" i="45" s="1"/>
  <c r="H61" i="45" s="1"/>
  <c r="M61" i="45" s="1"/>
  <c r="O61" i="45" s="1"/>
  <c r="S59" i="45"/>
  <c r="T59" i="45" s="1"/>
  <c r="H59" i="45" s="1"/>
  <c r="M59" i="45" s="1"/>
  <c r="O59" i="45" s="1"/>
  <c r="S54" i="45"/>
  <c r="T54" i="45" s="1"/>
  <c r="H54" i="45" s="1"/>
  <c r="M54" i="45" s="1"/>
  <c r="O54" i="45" s="1"/>
  <c r="S48" i="45"/>
  <c r="T48" i="45" s="1"/>
  <c r="H48" i="45" s="1"/>
  <c r="M48" i="45" s="1"/>
  <c r="O48" i="45" s="1"/>
  <c r="S47" i="45"/>
  <c r="T47" i="45" s="1"/>
  <c r="H47" i="45" s="1"/>
  <c r="M47" i="45" s="1"/>
  <c r="O47" i="45" s="1"/>
  <c r="T46" i="45"/>
  <c r="H46" i="45" s="1"/>
  <c r="M46" i="45" s="1"/>
  <c r="O46" i="45" s="1"/>
  <c r="S45" i="45"/>
  <c r="T45" i="45" s="1"/>
  <c r="H45" i="45" s="1"/>
  <c r="M45" i="45" s="1"/>
  <c r="O45" i="45" s="1"/>
  <c r="S44" i="45"/>
  <c r="T44" i="45"/>
  <c r="H44" i="45" s="1"/>
  <c r="M44" i="45" s="1"/>
  <c r="O44" i="45" s="1"/>
  <c r="S42" i="45"/>
  <c r="S38" i="45"/>
  <c r="T38" i="45" s="1"/>
  <c r="H38" i="45" s="1"/>
  <c r="M38" i="45" s="1"/>
  <c r="O38" i="45" s="1"/>
  <c r="S39" i="45"/>
  <c r="T41" i="45"/>
  <c r="H41" i="45" s="1"/>
  <c r="M41" i="45" s="1"/>
  <c r="O41" i="45" s="1"/>
  <c r="T40" i="45"/>
  <c r="H40" i="45" s="1"/>
  <c r="M40" i="45" s="1"/>
  <c r="O40" i="45" s="1"/>
  <c r="T39" i="45"/>
  <c r="H39" i="45" s="1"/>
  <c r="M39" i="45" s="1"/>
  <c r="O39" i="45" s="1"/>
  <c r="S37" i="45"/>
  <c r="T37" i="45" s="1"/>
  <c r="H37" i="45" s="1"/>
  <c r="M37" i="45" s="1"/>
  <c r="O37" i="45" s="1"/>
  <c r="E36" i="45"/>
  <c r="R36" i="45"/>
  <c r="S35" i="45"/>
  <c r="T35" i="45"/>
  <c r="H35" i="45" s="1"/>
  <c r="M35" i="45" s="1"/>
  <c r="O35" i="45" s="1"/>
  <c r="E34" i="45"/>
  <c r="R34" i="45"/>
  <c r="S32" i="45"/>
  <c r="T32" i="45" s="1"/>
  <c r="H32" i="45" s="1"/>
  <c r="M32" i="45" s="1"/>
  <c r="O32" i="45" s="1"/>
  <c r="S33" i="45"/>
  <c r="T33" i="45" s="1"/>
  <c r="H33" i="45" s="1"/>
  <c r="M33" i="45" s="1"/>
  <c r="O33" i="45" s="1"/>
  <c r="S29" i="45"/>
  <c r="T29" i="45" s="1"/>
  <c r="H29" i="45" s="1"/>
  <c r="M29" i="45" s="1"/>
  <c r="O29" i="45" s="1"/>
  <c r="S28" i="45"/>
  <c r="T28" i="45" s="1"/>
  <c r="H28" i="45" s="1"/>
  <c r="M28" i="45" s="1"/>
  <c r="O28" i="45" s="1"/>
  <c r="S27" i="45"/>
  <c r="T27" i="45"/>
  <c r="H27" i="45" s="1"/>
  <c r="M27" i="45" s="1"/>
  <c r="O27" i="45" s="1"/>
  <c r="S20" i="45"/>
  <c r="T20" i="45" s="1"/>
  <c r="H20" i="45" s="1"/>
  <c r="M20" i="45" s="1"/>
  <c r="O20" i="45" s="1"/>
  <c r="S23" i="45"/>
  <c r="T23" i="45" s="1"/>
  <c r="H23" i="45" s="1"/>
  <c r="M23" i="45" s="1"/>
  <c r="O23" i="45" s="1"/>
  <c r="T25" i="45"/>
  <c r="H25" i="45" s="1"/>
  <c r="M25" i="45" s="1"/>
  <c r="O25" i="45" s="1"/>
  <c r="S24" i="45"/>
  <c r="T24" i="45" s="1"/>
  <c r="H24" i="45" s="1"/>
  <c r="M24" i="45" s="1"/>
  <c r="O24" i="45" s="1"/>
  <c r="S22" i="45"/>
  <c r="T22" i="45" s="1"/>
  <c r="H22" i="45" s="1"/>
  <c r="M22" i="45" s="1"/>
  <c r="O22" i="45" s="1"/>
  <c r="S30" i="45"/>
  <c r="T30" i="45" s="1"/>
  <c r="H30" i="45" s="1"/>
  <c r="M30" i="45" s="1"/>
  <c r="O30" i="45" s="1"/>
  <c r="S43" i="45"/>
  <c r="T43" i="45" s="1"/>
  <c r="H43" i="45" s="1"/>
  <c r="M43" i="45" s="1"/>
  <c r="O43" i="45" s="1"/>
  <c r="T42" i="45"/>
  <c r="H42" i="45" s="1"/>
  <c r="M42" i="45" s="1"/>
  <c r="O42" i="45" s="1"/>
  <c r="S26" i="45"/>
  <c r="T26" i="45" s="1"/>
  <c r="H26" i="45" s="1"/>
  <c r="M26" i="45" s="1"/>
  <c r="O26" i="45" s="1"/>
  <c r="S21" i="45"/>
  <c r="T21" i="45" s="1"/>
  <c r="H21" i="45" s="1"/>
  <c r="M21" i="45" s="1"/>
  <c r="O21" i="45" s="1"/>
  <c r="S19" i="45"/>
  <c r="T19" i="45" s="1"/>
  <c r="H19" i="45" s="1"/>
  <c r="M19" i="45" s="1"/>
  <c r="O19" i="45" s="1"/>
  <c r="S31" i="45"/>
  <c r="T31" i="45" s="1"/>
  <c r="H31" i="45" s="1"/>
  <c r="M31" i="45" s="1"/>
  <c r="O31" i="45" s="1"/>
  <c r="Q13" i="45" a="1"/>
  <c r="Q13" i="45" s="1"/>
  <c r="Q12" i="45" a="1"/>
  <c r="Q12" i="45" s="1"/>
  <c r="S13" i="45"/>
  <c r="R13" i="45"/>
  <c r="E13" i="45"/>
  <c r="R12" i="45"/>
  <c r="E12" i="45"/>
  <c r="S12" i="45" s="1"/>
  <c r="Q11" i="45" a="1"/>
  <c r="Q11" i="45" s="1"/>
  <c r="S11" i="45"/>
  <c r="R11" i="45"/>
  <c r="E11" i="45"/>
  <c r="Q10" i="45" a="1"/>
  <c r="Q10" i="45" s="1"/>
  <c r="Q9" i="45" a="1"/>
  <c r="Q9" i="45" s="1"/>
  <c r="R10" i="45"/>
  <c r="F10" i="45"/>
  <c r="E10" i="45"/>
  <c r="R8" i="45"/>
  <c r="S8" i="45" s="1"/>
  <c r="Q8" i="45" a="1"/>
  <c r="Q8" i="45" s="1"/>
  <c r="E8" i="45"/>
  <c r="R7" i="45"/>
  <c r="Q7" i="45" a="1"/>
  <c r="Q7" i="45" s="1"/>
  <c r="E7" i="45"/>
  <c r="S7" i="45" s="1"/>
  <c r="S36" i="45" l="1"/>
  <c r="T36" i="45" s="1"/>
  <c r="H36" i="45" s="1"/>
  <c r="M36" i="45" s="1"/>
  <c r="O36" i="45" s="1"/>
  <c r="S34" i="45"/>
  <c r="T34" i="45" s="1"/>
  <c r="H34" i="45" s="1"/>
  <c r="M34" i="45" s="1"/>
  <c r="O34" i="45" s="1"/>
  <c r="T13" i="45"/>
  <c r="H13" i="45" s="1"/>
  <c r="M13" i="45" s="1"/>
  <c r="O13" i="45" s="1"/>
  <c r="T12" i="45"/>
  <c r="H12" i="45" s="1"/>
  <c r="M12" i="45" s="1"/>
  <c r="O12" i="45" s="1"/>
  <c r="T11" i="45"/>
  <c r="S10" i="45"/>
  <c r="T10" i="45" s="1"/>
  <c r="H10" i="45" s="1"/>
  <c r="M10" i="45" s="1"/>
  <c r="O10" i="45" s="1"/>
  <c r="T8" i="45"/>
  <c r="H8" i="45" s="1"/>
  <c r="M8" i="45" s="1"/>
  <c r="O8" i="45" s="1"/>
  <c r="T7" i="45"/>
  <c r="H7" i="45" s="1"/>
  <c r="M7" i="45" s="1"/>
  <c r="O7" i="45" s="1"/>
  <c r="R9" i="45"/>
  <c r="F9" i="45"/>
  <c r="E9" i="45"/>
  <c r="R6" i="45"/>
  <c r="Q6" i="45" a="1"/>
  <c r="Q6" i="45" s="1"/>
  <c r="E6" i="45"/>
  <c r="H11" i="45" l="1"/>
  <c r="M11" i="45" s="1"/>
  <c r="O11" i="45" s="1"/>
  <c r="S9" i="45"/>
  <c r="T9" i="45" s="1"/>
  <c r="H9" i="45" s="1"/>
  <c r="M9" i="45" s="1"/>
  <c r="O9" i="45" s="1"/>
  <c r="S6" i="45"/>
  <c r="T6" i="45" s="1"/>
  <c r="H6" i="45" s="1"/>
  <c r="M6" i="45" s="1"/>
  <c r="O6" i="45" s="1"/>
  <c r="C2" i="45" l="1"/>
  <c r="D2" i="45" s="1"/>
  <c r="Q60" i="4" l="1"/>
  <c r="P60" i="4" a="1"/>
  <c r="P60" i="4" s="1"/>
  <c r="E60" i="4"/>
  <c r="R60" i="4" l="1"/>
  <c r="S60" i="4" s="1"/>
  <c r="G60" i="4" s="1"/>
  <c r="L60" i="4" s="1"/>
  <c r="N60" i="4" s="1"/>
  <c r="Q59" i="4" l="1"/>
  <c r="P59" i="4" a="1"/>
  <c r="P59" i="4" s="1"/>
  <c r="E59" i="4"/>
  <c r="Q58" i="4"/>
  <c r="P58" i="4" a="1"/>
  <c r="P58" i="4" s="1"/>
  <c r="E58" i="4"/>
  <c r="R59" i="4" l="1"/>
  <c r="S59" i="4" s="1"/>
  <c r="G59" i="4" s="1"/>
  <c r="L59" i="4" s="1"/>
  <c r="N59" i="4" s="1"/>
  <c r="R58" i="4"/>
  <c r="S58" i="4" s="1"/>
  <c r="G58" i="4" s="1"/>
  <c r="L58" i="4" s="1"/>
  <c r="N58" i="4" s="1"/>
  <c r="C57" i="4" l="1"/>
  <c r="Q44" i="4" l="1"/>
  <c r="P44" i="4" a="1"/>
  <c r="P44" i="4" s="1"/>
  <c r="E44" i="4"/>
  <c r="R44" i="4" l="1"/>
  <c r="S44" i="4" s="1"/>
  <c r="G44" i="4" s="1"/>
  <c r="L44" i="4" s="1"/>
  <c r="N44" i="4" s="1"/>
  <c r="Q54" i="4"/>
  <c r="P54" i="4" a="1"/>
  <c r="P54" i="4" s="1"/>
  <c r="E54" i="4"/>
  <c r="Q53" i="4"/>
  <c r="P53" i="4" a="1"/>
  <c r="P53" i="4" s="1"/>
  <c r="E53" i="4"/>
  <c r="Q52" i="4"/>
  <c r="P52" i="4" a="1"/>
  <c r="P52" i="4" s="1"/>
  <c r="E52" i="4"/>
  <c r="Q49" i="4"/>
  <c r="P49" i="4" a="1"/>
  <c r="P49" i="4" s="1"/>
  <c r="E49" i="4"/>
  <c r="R49" i="4" s="1"/>
  <c r="Q48" i="4"/>
  <c r="P48" i="4" a="1"/>
  <c r="P48" i="4" s="1"/>
  <c r="E48" i="4"/>
  <c r="Q47" i="4"/>
  <c r="P47" i="4" a="1"/>
  <c r="P47" i="4" s="1"/>
  <c r="E47" i="4"/>
  <c r="Q43" i="4"/>
  <c r="P43" i="4" a="1"/>
  <c r="P43" i="4" s="1"/>
  <c r="E43" i="4"/>
  <c r="Q42" i="4"/>
  <c r="P42" i="4" a="1"/>
  <c r="P42" i="4" s="1"/>
  <c r="E42" i="4"/>
  <c r="R48" i="4" l="1"/>
  <c r="R52" i="4"/>
  <c r="S52" i="4" s="1"/>
  <c r="G52" i="4" s="1"/>
  <c r="L52" i="4" s="1"/>
  <c r="N52" i="4" s="1"/>
  <c r="R54" i="4"/>
  <c r="R53" i="4"/>
  <c r="S53" i="4" s="1"/>
  <c r="G53" i="4" s="1"/>
  <c r="L53" i="4" s="1"/>
  <c r="N53" i="4" s="1"/>
  <c r="S54" i="4"/>
  <c r="G54" i="4" s="1"/>
  <c r="L54" i="4" s="1"/>
  <c r="N54" i="4" s="1"/>
  <c r="R43" i="4"/>
  <c r="S43" i="4" s="1"/>
  <c r="G43" i="4" s="1"/>
  <c r="L43" i="4" s="1"/>
  <c r="S49" i="4"/>
  <c r="G49" i="4" s="1"/>
  <c r="L49" i="4" s="1"/>
  <c r="N49" i="4" s="1"/>
  <c r="R47" i="4"/>
  <c r="S47" i="4" s="1"/>
  <c r="G47" i="4" s="1"/>
  <c r="L47" i="4" s="1"/>
  <c r="N47" i="4" s="1"/>
  <c r="S48" i="4"/>
  <c r="G48" i="4" s="1"/>
  <c r="L48" i="4" s="1"/>
  <c r="N48" i="4" s="1"/>
  <c r="R42" i="4"/>
  <c r="S42" i="4" s="1"/>
  <c r="G42" i="4" s="1"/>
  <c r="L42" i="4" s="1"/>
  <c r="N42" i="4" s="1"/>
  <c r="N43" i="4" l="1"/>
  <c r="C41" i="4" s="1"/>
  <c r="C51" i="4"/>
  <c r="C46" i="4"/>
  <c r="E39" i="4" l="1"/>
  <c r="E38" i="4"/>
  <c r="R39" i="4"/>
  <c r="Q39" i="4" a="1"/>
  <c r="Q39" i="4" s="1"/>
  <c r="F39" i="4"/>
  <c r="R38" i="4"/>
  <c r="Q38" i="4" a="1"/>
  <c r="Q38" i="4" s="1"/>
  <c r="F38" i="4"/>
  <c r="S39" i="4" l="1"/>
  <c r="T39" i="4" s="1"/>
  <c r="H39" i="4" s="1"/>
  <c r="S38" i="4"/>
  <c r="T38" i="4" s="1"/>
  <c r="Q34" i="4"/>
  <c r="P34" i="4" a="1"/>
  <c r="P34" i="4" s="1"/>
  <c r="E34" i="4"/>
  <c r="Q33" i="4"/>
  <c r="P33" i="4" a="1"/>
  <c r="P33" i="4" s="1"/>
  <c r="E33" i="4"/>
  <c r="Q32" i="4"/>
  <c r="P32" i="4" a="1"/>
  <c r="P32" i="4" s="1"/>
  <c r="E32" i="4"/>
  <c r="Q31" i="4"/>
  <c r="P31" i="4" a="1"/>
  <c r="P31" i="4" s="1"/>
  <c r="E31" i="4"/>
  <c r="M39" i="4" l="1"/>
  <c r="O39" i="4" s="1"/>
  <c r="H38" i="4"/>
  <c r="M38" i="4" s="1"/>
  <c r="O38" i="4" s="1"/>
  <c r="C37" i="4" l="1"/>
  <c r="C27" i="4" l="1"/>
  <c r="B27" i="4"/>
  <c r="C15" i="4"/>
  <c r="B15" i="4"/>
  <c r="P26" i="4" a="1"/>
  <c r="P26" i="4" s="1"/>
  <c r="B26" i="4"/>
  <c r="E26" i="4" s="1"/>
  <c r="P25" i="4" a="1"/>
  <c r="P25" i="4" s="1"/>
  <c r="B25" i="4"/>
  <c r="Q25" i="4" s="1"/>
  <c r="Q24" i="4"/>
  <c r="P24" i="4" a="1"/>
  <c r="P24" i="4" s="1"/>
  <c r="E24" i="4"/>
  <c r="Q23" i="4"/>
  <c r="P23" i="4" a="1"/>
  <c r="P23" i="4" s="1"/>
  <c r="E23" i="4"/>
  <c r="Q22" i="4"/>
  <c r="P22" i="4" a="1"/>
  <c r="P22" i="4" s="1"/>
  <c r="E22" i="4"/>
  <c r="Q21" i="4"/>
  <c r="P21" i="4" a="1"/>
  <c r="P21" i="4" s="1"/>
  <c r="E21" i="4"/>
  <c r="R22" i="4" l="1"/>
  <c r="M10" i="4"/>
  <c r="M22" i="4"/>
  <c r="Q26" i="4"/>
  <c r="S22" i="4"/>
  <c r="G22" i="4" s="1"/>
  <c r="L22" i="4" s="1"/>
  <c r="E25" i="4"/>
  <c r="B14" i="4"/>
  <c r="B13" i="4"/>
  <c r="B11" i="4"/>
  <c r="N22" i="4" l="1"/>
  <c r="R25" i="4"/>
  <c r="S25" i="4" s="1"/>
  <c r="G25" i="4" s="1"/>
  <c r="L25" i="4" s="1"/>
  <c r="N25" i="4" s="1"/>
  <c r="Q18" i="4" l="1"/>
  <c r="F11" i="2"/>
  <c r="Q19" i="4"/>
  <c r="P19" i="4" a="1"/>
  <c r="P19" i="4" s="1"/>
  <c r="E19" i="4"/>
  <c r="P18" i="4" a="1"/>
  <c r="P18" i="4" s="1"/>
  <c r="E18" i="4"/>
  <c r="Q17" i="4"/>
  <c r="P17" i="4" a="1"/>
  <c r="P17" i="4" s="1"/>
  <c r="E17" i="4"/>
  <c r="Q14" i="4"/>
  <c r="P14" i="4" a="1"/>
  <c r="P14" i="4" s="1"/>
  <c r="E14" i="4"/>
  <c r="Q13" i="4"/>
  <c r="P13" i="4" a="1"/>
  <c r="P13" i="4" s="1"/>
  <c r="E13" i="4"/>
  <c r="Q12" i="4"/>
  <c r="P12" i="4" a="1"/>
  <c r="P12" i="4" s="1"/>
  <c r="E12" i="4"/>
  <c r="Q11" i="4"/>
  <c r="P11" i="4" a="1"/>
  <c r="P11" i="4" s="1"/>
  <c r="E11" i="4"/>
  <c r="Q10" i="4"/>
  <c r="P10" i="4" a="1"/>
  <c r="P10" i="4" s="1"/>
  <c r="E10" i="4"/>
  <c r="Q9" i="4"/>
  <c r="P9" i="4" a="1"/>
  <c r="P9" i="4" s="1"/>
  <c r="E9" i="4"/>
  <c r="R34" i="4" l="1"/>
  <c r="S34" i="4" s="1"/>
  <c r="G34" i="4" s="1"/>
  <c r="L34" i="4" s="1"/>
  <c r="N34" i="4" s="1"/>
  <c r="R32" i="4"/>
  <c r="S32" i="4" s="1"/>
  <c r="G32" i="4" s="1"/>
  <c r="L32" i="4" s="1"/>
  <c r="N32" i="4" s="1"/>
  <c r="R18" i="4"/>
  <c r="S18" i="4"/>
  <c r="G18" i="4" s="1"/>
  <c r="L18" i="4" s="1"/>
  <c r="R13" i="4"/>
  <c r="S13" i="4" s="1"/>
  <c r="G13" i="4" s="1"/>
  <c r="L13" i="4" s="1"/>
  <c r="N13" i="4" s="1"/>
  <c r="R10" i="4"/>
  <c r="S10" i="4" s="1"/>
  <c r="G10" i="4" s="1"/>
  <c r="L10" i="4" s="1"/>
  <c r="N18" i="4" l="1"/>
  <c r="N10" i="4"/>
  <c r="G6" i="2" l="1"/>
  <c r="F6" i="2"/>
  <c r="L7" i="4" l="1"/>
  <c r="L3" i="4"/>
  <c r="D7" i="4"/>
  <c r="K7" i="4" a="1"/>
  <c r="K7" i="4" s="1"/>
  <c r="K3" i="4" a="1"/>
  <c r="K3" i="4" s="1"/>
  <c r="D3" i="4"/>
  <c r="M3" i="4" s="1"/>
  <c r="F5" i="2"/>
  <c r="F4" i="2"/>
  <c r="G4" i="2" s="1"/>
  <c r="F10" i="2"/>
  <c r="I10" i="2" s="1"/>
  <c r="F3" i="2"/>
  <c r="G3" i="2" s="1"/>
  <c r="F9" i="2"/>
  <c r="I9" i="2" s="1"/>
  <c r="F2" i="2"/>
  <c r="H2" i="2" l="1"/>
  <c r="R31" i="4"/>
  <c r="S31" i="4" s="1"/>
  <c r="G31" i="4" s="1"/>
  <c r="L31" i="4" s="1"/>
  <c r="N31" i="4" s="1"/>
  <c r="R33" i="4"/>
  <c r="S33" i="4" s="1"/>
  <c r="G33" i="4" s="1"/>
  <c r="L33" i="4" s="1"/>
  <c r="N33" i="4" s="1"/>
  <c r="R21" i="4"/>
  <c r="S21" i="4" s="1"/>
  <c r="G21" i="4" s="1"/>
  <c r="L21" i="4" s="1"/>
  <c r="N21" i="4" s="1"/>
  <c r="R24" i="4"/>
  <c r="S24" i="4" s="1"/>
  <c r="G24" i="4" s="1"/>
  <c r="L24" i="4" s="1"/>
  <c r="N24" i="4" s="1"/>
  <c r="R23" i="4"/>
  <c r="S23" i="4" s="1"/>
  <c r="G23" i="4" s="1"/>
  <c r="L23" i="4" s="1"/>
  <c r="N23" i="4" s="1"/>
  <c r="R26" i="4"/>
  <c r="S26" i="4" s="1"/>
  <c r="G26" i="4" s="1"/>
  <c r="L26" i="4" s="1"/>
  <c r="N26" i="4" s="1"/>
  <c r="R14" i="4"/>
  <c r="S14" i="4" s="1"/>
  <c r="G14" i="4" s="1"/>
  <c r="L14" i="4" s="1"/>
  <c r="N14" i="4" s="1"/>
  <c r="R12" i="4"/>
  <c r="S12" i="4" s="1"/>
  <c r="G12" i="4" s="1"/>
  <c r="L12" i="4" s="1"/>
  <c r="N12" i="4" s="1"/>
  <c r="R17" i="4"/>
  <c r="S17" i="4" s="1"/>
  <c r="G17" i="4" s="1"/>
  <c r="L17" i="4" s="1"/>
  <c r="N17" i="4" s="1"/>
  <c r="R9" i="4"/>
  <c r="S9" i="4" s="1"/>
  <c r="G9" i="4" s="1"/>
  <c r="L9" i="4" s="1"/>
  <c r="N9" i="4" s="1"/>
  <c r="R11" i="4"/>
  <c r="S11" i="4" s="1"/>
  <c r="G11" i="4" s="1"/>
  <c r="L11" i="4" s="1"/>
  <c r="N11" i="4" s="1"/>
  <c r="R19" i="4"/>
  <c r="S19" i="4" s="1"/>
  <c r="G19" i="4" s="1"/>
  <c r="L19" i="4" s="1"/>
  <c r="N19" i="4" s="1"/>
  <c r="G5" i="2"/>
  <c r="M7" i="4"/>
  <c r="N7" i="4" s="1"/>
  <c r="F7" i="4" s="1"/>
  <c r="I7" i="4" s="1"/>
  <c r="N3" i="4"/>
  <c r="H10" i="2"/>
  <c r="H9" i="2"/>
  <c r="C16" i="4" l="1"/>
  <c r="C30" i="4"/>
  <c r="C20" i="4"/>
  <c r="C8" i="4"/>
  <c r="F3" i="4"/>
  <c r="I3" i="4" s="1"/>
  <c r="F12" i="1" a="1"/>
  <c r="F12" i="1" s="1"/>
  <c r="E12" i="1" a="1"/>
  <c r="E12" i="1" s="1"/>
  <c r="E13" i="1" s="1" a="1"/>
  <c r="E13" i="1" s="1"/>
  <c r="E14" i="1" s="1" a="1"/>
  <c r="E14" i="1" s="1"/>
  <c r="E15" i="1" s="1" a="1"/>
  <c r="E15" i="1" s="1"/>
  <c r="E16" i="1" s="1" a="1"/>
  <c r="E16" i="1" s="1"/>
  <c r="E17" i="1" s="1" a="1"/>
  <c r="E17" i="1" s="1"/>
  <c r="E18" i="1" s="1" a="1"/>
  <c r="E18" i="1" s="1"/>
  <c r="E19" i="1" s="1" a="1"/>
  <c r="E19" i="1" s="1"/>
  <c r="E20" i="1" s="1" a="1"/>
  <c r="E20" i="1" s="1"/>
  <c r="E21" i="1" s="1" a="1"/>
  <c r="E21" i="1" s="1"/>
  <c r="E22" i="1" s="1" a="1"/>
  <c r="E22" i="1" s="1"/>
  <c r="E23" i="1" s="1" a="1"/>
  <c r="E23" i="1" s="1"/>
  <c r="E24" i="1" s="1" a="1"/>
  <c r="E24" i="1" s="1"/>
  <c r="E25" i="1" s="1" a="1"/>
  <c r="E25" i="1" s="1"/>
  <c r="E26" i="1" s="1" a="1"/>
  <c r="E26" i="1" s="1"/>
  <c r="E27" i="1" s="1" a="1"/>
  <c r="E27" i="1" s="1"/>
  <c r="E28" i="1" s="1" a="1"/>
  <c r="E28" i="1" s="1"/>
  <c r="F13" i="1" l="1" a="1"/>
  <c r="F13" i="1" s="1"/>
  <c r="F14" i="1" s="1" a="1"/>
  <c r="F14" i="1" s="1"/>
  <c r="F15" i="1" s="1" a="1"/>
  <c r="F15" i="1" s="1"/>
  <c r="F16" i="1" s="1" a="1"/>
  <c r="F16" i="1" s="1"/>
  <c r="F17" i="1" s="1" a="1"/>
  <c r="F17" i="1" s="1"/>
  <c r="F18" i="1" s="1" a="1"/>
  <c r="F18" i="1" s="1"/>
  <c r="F19" i="1" s="1" a="1"/>
  <c r="F19" i="1" s="1"/>
  <c r="F20" i="1" s="1" a="1"/>
  <c r="F20" i="1" s="1"/>
  <c r="F21" i="1" s="1" a="1"/>
  <c r="F21" i="1" s="1"/>
  <c r="F22" i="1" s="1" a="1"/>
  <c r="F22" i="1" s="1"/>
  <c r="F23" i="1" s="1" a="1"/>
  <c r="F23" i="1" s="1"/>
  <c r="F24" i="1" s="1" a="1"/>
  <c r="F24" i="1" s="1"/>
  <c r="F25" i="1" s="1" a="1"/>
  <c r="F25" i="1" s="1"/>
  <c r="F26" i="1" s="1" a="1"/>
  <c r="F26" i="1" s="1"/>
  <c r="F27" i="1" s="1" a="1"/>
  <c r="F27" i="1" s="1"/>
</calcChain>
</file>

<file path=xl/sharedStrings.xml><?xml version="1.0" encoding="utf-8"?>
<sst xmlns="http://schemas.openxmlformats.org/spreadsheetml/2006/main" count="3344" uniqueCount="256">
  <si>
    <t>Тип</t>
  </si>
  <si>
    <t>Толщина(мм)</t>
  </si>
  <si>
    <t>Цена(руб)</t>
  </si>
  <si>
    <t>МДФ</t>
  </si>
  <si>
    <t>Стекло</t>
  </si>
  <si>
    <t>ВЛ.СТ</t>
  </si>
  <si>
    <t>ШПОН_Орех</t>
  </si>
  <si>
    <t>ШПОН_Дуб</t>
  </si>
  <si>
    <t>ШПОН_Бук</t>
  </si>
  <si>
    <t>Сосна</t>
  </si>
  <si>
    <t>Ткань</t>
  </si>
  <si>
    <t>Орех</t>
  </si>
  <si>
    <t>МДФ Зеленый</t>
  </si>
  <si>
    <t>Бук</t>
  </si>
  <si>
    <t>ШПОН_Ольха</t>
  </si>
  <si>
    <t>Ольха</t>
  </si>
  <si>
    <t>Дуб</t>
  </si>
  <si>
    <t>Стекло с фацетом 30мм</t>
  </si>
  <si>
    <t>Фанера гибкая</t>
  </si>
  <si>
    <t>Ширина</t>
  </si>
  <si>
    <t>Длина</t>
  </si>
  <si>
    <t>Толщина</t>
  </si>
  <si>
    <t>Площадь</t>
  </si>
  <si>
    <t>Цена квадратного метра</t>
  </si>
  <si>
    <t>Цена листа</t>
  </si>
  <si>
    <t>Высота</t>
  </si>
  <si>
    <t>Объём</t>
  </si>
  <si>
    <t>Цена кубометра</t>
  </si>
  <si>
    <t>Количество листов на куб</t>
  </si>
  <si>
    <t>Шпон_Орех</t>
  </si>
  <si>
    <t>Гибкий_МДФ</t>
  </si>
  <si>
    <t>http://flexmdf.ru/index.php/mdf</t>
  </si>
  <si>
    <t>Наименование</t>
  </si>
  <si>
    <t>Листы</t>
  </si>
  <si>
    <t>Массив</t>
  </si>
  <si>
    <t>Покрытие</t>
  </si>
  <si>
    <t>Цена 1 слой на М квадратный</t>
  </si>
  <si>
    <t>Расход на 1 слой на М квадратный</t>
  </si>
  <si>
    <t>Нет</t>
  </si>
  <si>
    <t>Финиш</t>
  </si>
  <si>
    <t>Грунт Белый</t>
  </si>
  <si>
    <t>Грунт</t>
  </si>
  <si>
    <t>Краска Вода</t>
  </si>
  <si>
    <t>Краска П.У.</t>
  </si>
  <si>
    <t>Лак</t>
  </si>
  <si>
    <t>Расчет МДФ</t>
  </si>
  <si>
    <t>Цена Материала</t>
  </si>
  <si>
    <t>Кол-во Слоёв</t>
  </si>
  <si>
    <t>Цена 1 изделия</t>
  </si>
  <si>
    <t>Тип Материала</t>
  </si>
  <si>
    <t>Чистая цена материала</t>
  </si>
  <si>
    <t>Коэффициент потери</t>
  </si>
  <si>
    <t>Добавочная цена</t>
  </si>
  <si>
    <t>Деталей на лист</t>
  </si>
  <si>
    <t>D3*(0,25*(ВПР(G3;Покрытия!$A$2:$B$8;2;ЛОЖЬ)*H3)+F3)</t>
  </si>
  <si>
    <t>Расчет Массива</t>
  </si>
  <si>
    <t>Объем</t>
  </si>
  <si>
    <t>Филёнка</t>
  </si>
  <si>
    <t>Итого</t>
  </si>
  <si>
    <t>Кол-во Изделий</t>
  </si>
  <si>
    <t>МДФ_ Дубовый</t>
  </si>
  <si>
    <t>Цена</t>
  </si>
  <si>
    <t>МДФ Дубовый</t>
  </si>
  <si>
    <t>Расчет Полки</t>
  </si>
  <si>
    <t>Массив наполнение</t>
  </si>
  <si>
    <t>Полотно МДФ</t>
  </si>
  <si>
    <t>Рама МДФ Вертикальная</t>
  </si>
  <si>
    <t>Рама МДФ Горизонтальная</t>
  </si>
  <si>
    <t>Рейка Массив</t>
  </si>
  <si>
    <t>Шпон</t>
  </si>
  <si>
    <t>Кол-во брусков</t>
  </si>
  <si>
    <t>Цена полки</t>
  </si>
  <si>
    <t>Расчет Фасада</t>
  </si>
  <si>
    <t>Полотно</t>
  </si>
  <si>
    <t>Цена фасада</t>
  </si>
  <si>
    <t>Марилка</t>
  </si>
  <si>
    <t>Расчет Полки 40</t>
  </si>
  <si>
    <t>Рама Вертикаль</t>
  </si>
  <si>
    <t>Рама Горизонталь</t>
  </si>
  <si>
    <t>Расчет Каретки</t>
  </si>
  <si>
    <t>Цена каретки</t>
  </si>
  <si>
    <t>Горизонталь</t>
  </si>
  <si>
    <t>Вертикаль</t>
  </si>
  <si>
    <t>МДФ Ореховый</t>
  </si>
  <si>
    <t>Расчет Полки без массива</t>
  </si>
  <si>
    <t>Расчет Накладки без массива</t>
  </si>
  <si>
    <t>Расчет Фасада без массива</t>
  </si>
  <si>
    <t>Вишня</t>
  </si>
  <si>
    <t>МДФ Вишнёвый</t>
  </si>
  <si>
    <t>ШПОН_Вишня</t>
  </si>
  <si>
    <t>МДФ Буковый</t>
  </si>
  <si>
    <t>Кол-во</t>
  </si>
  <si>
    <t>Изделие</t>
  </si>
  <si>
    <t>Рамка филёнки вертикаль</t>
  </si>
  <si>
    <t>Филёнка ШПОН</t>
  </si>
  <si>
    <t>ШПОН_Ам.Орех</t>
  </si>
  <si>
    <t>Плинтус</t>
  </si>
  <si>
    <t>м/п</t>
  </si>
  <si>
    <t>цена м/п</t>
  </si>
  <si>
    <t>Рамка филёнки горизонталь</t>
  </si>
  <si>
    <t>Молдинг</t>
  </si>
  <si>
    <t>Вертикаль Портала</t>
  </si>
  <si>
    <t>Горизонталь Портала</t>
  </si>
  <si>
    <t>Наличник Портала Вертикаль</t>
  </si>
  <si>
    <t>Наличник Портала Горизонталь</t>
  </si>
  <si>
    <t>Сандрик</t>
  </si>
  <si>
    <t>Стеновые панели и Порталы</t>
  </si>
  <si>
    <t>Боковая</t>
  </si>
  <si>
    <t>Задняя</t>
  </si>
  <si>
    <t>Полки</t>
  </si>
  <si>
    <t>Крышка/Дно</t>
  </si>
  <si>
    <t>Вертикальная</t>
  </si>
  <si>
    <t>Горизонтальная</t>
  </si>
  <si>
    <t>Наличники</t>
  </si>
  <si>
    <t>Рама для Зеркала</t>
  </si>
  <si>
    <t>Верхние Шкафы</t>
  </si>
  <si>
    <t>Нижние Шкафы</t>
  </si>
  <si>
    <t>Плинтус и Молдинг</t>
  </si>
  <si>
    <t>Карниз</t>
  </si>
  <si>
    <t>Зеркало</t>
  </si>
  <si>
    <t>Итог</t>
  </si>
  <si>
    <t>Нащельник</t>
  </si>
  <si>
    <t>Верх Шкафа</t>
  </si>
  <si>
    <t>Низ Шкафа</t>
  </si>
  <si>
    <t>Горизонтальная Раскладка</t>
  </si>
  <si>
    <t>Вертикальная Раскладка</t>
  </si>
  <si>
    <t>Ящик Фасад Зад</t>
  </si>
  <si>
    <t>Ящик Дно</t>
  </si>
  <si>
    <t>Ящик Боковая</t>
  </si>
  <si>
    <t>Наличник</t>
  </si>
  <si>
    <t>Вставка</t>
  </si>
  <si>
    <t>Вертикальная Филёнки</t>
  </si>
  <si>
    <t>Горизонтальная Филёнки</t>
  </si>
  <si>
    <t>Экран 3.2а</t>
  </si>
  <si>
    <t>Экран 3.8</t>
  </si>
  <si>
    <t>Экран 2.6</t>
  </si>
  <si>
    <t>Помещение 3.4</t>
  </si>
  <si>
    <t>Дно/Крышка</t>
  </si>
  <si>
    <t>Рама Вертикальная</t>
  </si>
  <si>
    <t>Рама Горизонтальная</t>
  </si>
  <si>
    <t>Вертикальная раскладка</t>
  </si>
  <si>
    <t>Горизонтальная раскладка</t>
  </si>
  <si>
    <t>Шкаф Спальня Дочери</t>
  </si>
  <si>
    <t>Шкаф 1</t>
  </si>
  <si>
    <t>Раскладка Вертикаль</t>
  </si>
  <si>
    <t>Раскладка Горизонталь</t>
  </si>
  <si>
    <t>Полка</t>
  </si>
  <si>
    <t>Цоколь</t>
  </si>
  <si>
    <t>Ящик Задняя</t>
  </si>
  <si>
    <t>Шкаф 2</t>
  </si>
  <si>
    <t>Панель Горизонтальная</t>
  </si>
  <si>
    <t>Панель Вертикальная</t>
  </si>
  <si>
    <t>Наличник Вертикаль</t>
  </si>
  <si>
    <t>Наличник Горизонталь</t>
  </si>
  <si>
    <t>Коробка</t>
  </si>
  <si>
    <t>Наличники и Плинтус</t>
  </si>
  <si>
    <t>Портал Горизонталь</t>
  </si>
  <si>
    <t>Портал Вертикаль</t>
  </si>
  <si>
    <t>2800х2000 Портал</t>
  </si>
  <si>
    <t>2100х1500 Портал</t>
  </si>
  <si>
    <t>Массив 1000х35х40</t>
  </si>
  <si>
    <t>Массив 1000х90х25</t>
  </si>
  <si>
    <t>Описание</t>
  </si>
  <si>
    <t>Слоёв</t>
  </si>
  <si>
    <t>Количество деталей</t>
  </si>
  <si>
    <t>Требуется листов</t>
  </si>
  <si>
    <t>Коэффицент</t>
  </si>
  <si>
    <t>Добавочная цена на лист</t>
  </si>
  <si>
    <t>Цена метра</t>
  </si>
  <si>
    <t>МДФ 1000х200х16</t>
  </si>
  <si>
    <t>Дверной портал</t>
  </si>
  <si>
    <t>2300х2000 Портал</t>
  </si>
  <si>
    <t>Цена 1 комплекта</t>
  </si>
  <si>
    <t>Оконные порталы 2ой Этаж</t>
  </si>
  <si>
    <t>Оконные порталы 3ий Этаж</t>
  </si>
  <si>
    <t>Плинтус 110</t>
  </si>
  <si>
    <t>Стеновые Панели</t>
  </si>
  <si>
    <t>Шкаф</t>
  </si>
  <si>
    <t>Фасад Горизонталь</t>
  </si>
  <si>
    <t>Фасад Вертикаль</t>
  </si>
  <si>
    <t>Дно Крышка</t>
  </si>
  <si>
    <t>Карниз МДФ</t>
  </si>
  <si>
    <t>Пелястры</t>
  </si>
  <si>
    <t>Цена 1 комплекта/Цена 1 п.м</t>
  </si>
  <si>
    <t>Основание</t>
  </si>
  <si>
    <t>П-11 ДР-12</t>
  </si>
  <si>
    <t>П-12 ДР-13</t>
  </si>
  <si>
    <t>П-13 ДР-14</t>
  </si>
  <si>
    <t>П-14 ДР-15</t>
  </si>
  <si>
    <t>Вершина</t>
  </si>
  <si>
    <t>П-15 ДР-16</t>
  </si>
  <si>
    <t>П-16 ДР-17</t>
  </si>
  <si>
    <t>ДР-20</t>
  </si>
  <si>
    <t>Тумба</t>
  </si>
  <si>
    <t>Наличники Вертикальные</t>
  </si>
  <si>
    <t>Наличники Горизонтальные</t>
  </si>
  <si>
    <t>Дно</t>
  </si>
  <si>
    <t>Колонна</t>
  </si>
  <si>
    <t>Пелястры для Зеркала</t>
  </si>
  <si>
    <t>Пелястры для Тумбы + Основание</t>
  </si>
  <si>
    <t>Вертикаль Шпон</t>
  </si>
  <si>
    <t>Горизонталь Шпон</t>
  </si>
  <si>
    <t>Филёнка Шпон</t>
  </si>
  <si>
    <t>Задняя Шпон</t>
  </si>
  <si>
    <t>Боковая Шпон</t>
  </si>
  <si>
    <t>Наличники Вертикальные Шпон</t>
  </si>
  <si>
    <t>Наличники Горизонтальные Шпон</t>
  </si>
  <si>
    <t>Вертикальная Шпон</t>
  </si>
  <si>
    <t>Горизонтальная Шпон</t>
  </si>
  <si>
    <t>Дно Шпон</t>
  </si>
  <si>
    <t>Полка Шпон</t>
  </si>
  <si>
    <t>Колонна Шпон</t>
  </si>
  <si>
    <t>Основание Шпон</t>
  </si>
  <si>
    <t>Вершина Шпон</t>
  </si>
  <si>
    <t>Карниз/Сандрик</t>
  </si>
  <si>
    <t>ШПОН</t>
  </si>
  <si>
    <t>Стеновые Панели Квадраты Туалет</t>
  </si>
  <si>
    <t>Стеновые Панели Прямоугольник Туалет</t>
  </si>
  <si>
    <t>Съемные панели</t>
  </si>
  <si>
    <t>Портал</t>
  </si>
  <si>
    <t>Филёнка Арка</t>
  </si>
  <si>
    <t>ШПОН Арка</t>
  </si>
  <si>
    <t>Плинтус 350мм Дуб</t>
  </si>
  <si>
    <t>Плинтус 200мм Покраска</t>
  </si>
  <si>
    <t>Массив 1000х20х20</t>
  </si>
  <si>
    <t>Массив 1000х25х20</t>
  </si>
  <si>
    <t>Шпон 1000х16</t>
  </si>
  <si>
    <t>Шпон 350х16</t>
  </si>
  <si>
    <t>МДФ 1000х350х16</t>
  </si>
  <si>
    <t>Шпон 1000х350</t>
  </si>
  <si>
    <t>Боковые</t>
  </si>
  <si>
    <t>Фальш Вертикальная</t>
  </si>
  <si>
    <t>Фальш Горизонтальная</t>
  </si>
  <si>
    <t>Фальш Филёнка</t>
  </si>
  <si>
    <t>Добор</t>
  </si>
  <si>
    <t>Ящик Фасад</t>
  </si>
  <si>
    <t>Шкаф 3</t>
  </si>
  <si>
    <t>Шкаф 4</t>
  </si>
  <si>
    <t>Шкаф 5</t>
  </si>
  <si>
    <t>Шкаф 6</t>
  </si>
  <si>
    <t>Шкаф 7</t>
  </si>
  <si>
    <t>Шкаф 8</t>
  </si>
  <si>
    <t>Шкаф 9</t>
  </si>
  <si>
    <t>Шкаф 10</t>
  </si>
  <si>
    <t>Фасад Вертикальная</t>
  </si>
  <si>
    <t>Фасад Горизонтальная</t>
  </si>
  <si>
    <t>Рама</t>
  </si>
  <si>
    <t>Рама Массив</t>
  </si>
  <si>
    <t>М/П</t>
  </si>
  <si>
    <t>Цена М/П</t>
  </si>
  <si>
    <t>Карниз Массив</t>
  </si>
  <si>
    <t>Панели</t>
  </si>
  <si>
    <t>Панель Вертикаль</t>
  </si>
  <si>
    <t>Панель Горизонталь</t>
  </si>
  <si>
    <t>Панель Филёнка</t>
  </si>
  <si>
    <t>Общая 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</si>
</sst>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rgb="FFFF0000"/>
      <name val="Arial"/>
      <family val="2"/>
    </font>
    <font>
      <sz val="18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00B050"/>
        <bgColor indexed="21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 applyAlignment="1"/>
    <xf numFmtId="0" fontId="0" fillId="0" borderId="0" xfId="0" applyFont="1" applyFill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66674</xdr:colOff>
      <xdr:row>0</xdr:row>
      <xdr:rowOff>19050</xdr:rowOff>
    </xdr:from>
    <xdr:ext cx="8048625" cy="397910"/>
    <xdr:sp macro="" textlink="">
      <xdr:nvSpPr>
        <xdr:cNvPr id="2" name="TextBox 1"/>
        <xdr:cNvSpPr txBox="1"/>
      </xdr:nvSpPr>
      <xdr:spPr>
        <a:xfrm>
          <a:off x="1181099" y="19050"/>
          <a:ext cx="8048625" cy="3979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ru-RU" sz="1100"/>
            <a:t>Цена</a:t>
          </a:r>
          <a:r>
            <a:rPr lang="ru-RU" sz="1100" baseline="0"/>
            <a:t> изделия = Площадь*(Расход покрытия*</a:t>
          </a:r>
          <a:r>
            <a:rPr lang="el-GR" sz="1100" baseline="0"/>
            <a:t>Σ</a:t>
          </a:r>
          <a:r>
            <a:rPr lang="ru-RU" sz="1100" baseline="0"/>
            <a:t>(Покрытие*Кол-во Слоёв) + Цена Материала)</a:t>
          </a:r>
        </a:p>
      </xdr:txBody>
    </xdr:sp>
    <xdr:clientData/>
  </xdr:oneCellAnchor>
  <xdr:oneCellAnchor>
    <xdr:from>
      <xdr:col>1</xdr:col>
      <xdr:colOff>47624</xdr:colOff>
      <xdr:row>4</xdr:row>
      <xdr:rowOff>38100</xdr:rowOff>
    </xdr:from>
    <xdr:ext cx="8048625" cy="397910"/>
    <xdr:sp macro="" textlink="">
      <xdr:nvSpPr>
        <xdr:cNvPr id="3" name="TextBox 2"/>
        <xdr:cNvSpPr txBox="1"/>
      </xdr:nvSpPr>
      <xdr:spPr>
        <a:xfrm>
          <a:off x="1162049" y="1019175"/>
          <a:ext cx="8048625" cy="3979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ru-RU" sz="1100"/>
            <a:t>Цена</a:t>
          </a:r>
          <a:r>
            <a:rPr lang="ru-RU" sz="1100" baseline="0"/>
            <a:t> изделия = Объем*(Расход покрытия*</a:t>
          </a:r>
          <a:r>
            <a:rPr lang="el-GR" sz="1100" baseline="0"/>
            <a:t>Σ</a:t>
          </a:r>
          <a:r>
            <a:rPr lang="ru-RU" sz="1100" baseline="0"/>
            <a:t>(Покрытие*Кол-во Слоёв) + Цена Материала)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2;&#1077;&#1073;&#1077;&#1083;&#1100;%20&#1056;&#1072;&#1079;&#1076;&#1086;&#1088;&#1099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4;&#1074;&#1077;&#1088;&#1080;/&#1044;&#1074;&#1077;&#1088;&#1080;%20&#1062;&#1086;&#1082;&#1086;&#1083;&#1100;&#1085;&#1099;&#1081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1057;&#1072;&#1096;&#1072;/Desktop/&#1056;&#1072;&#1089;&#1095;&#1077;&#1090;&#1099;/&#1040;&#1088;&#1093;&#1080;&#1074;/&#1055;&#1088;&#1086;&#1077;&#1082;&#1090;&#1099;/&#1041;&#104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Материалы"/>
      <sheetName val="Раскройка"/>
      <sheetName val="Покрытия"/>
      <sheetName val="Формулы расчета"/>
      <sheetName val="Комод"/>
      <sheetName val="Ключница"/>
      <sheetName val="Вешалка-скамья"/>
      <sheetName val="Зеркало"/>
      <sheetName val="Буфет"/>
      <sheetName val="Вешалка-скамья(главный вход)"/>
    </sheetNames>
    <sheetDataSet>
      <sheetData sheetId="0" refreshError="1">
        <row r="2">
          <cell r="A2" t="str">
            <v>МДФ</v>
          </cell>
          <cell r="C2">
            <v>210</v>
          </cell>
        </row>
        <row r="3">
          <cell r="A3" t="str">
            <v>МДФ</v>
          </cell>
          <cell r="C3">
            <v>150</v>
          </cell>
        </row>
        <row r="4">
          <cell r="A4" t="str">
            <v>МДФ</v>
          </cell>
          <cell r="C4">
            <v>290</v>
          </cell>
        </row>
        <row r="5">
          <cell r="A5" t="str">
            <v>МДФ</v>
          </cell>
          <cell r="C5">
            <v>330</v>
          </cell>
        </row>
        <row r="6">
          <cell r="A6" t="str">
            <v>МДФ</v>
          </cell>
          <cell r="C6">
            <v>390</v>
          </cell>
        </row>
        <row r="7">
          <cell r="A7" t="str">
            <v>МДФ</v>
          </cell>
          <cell r="C7">
            <v>500</v>
          </cell>
        </row>
        <row r="8">
          <cell r="A8" t="str">
            <v>ВЛ.СТ</v>
          </cell>
          <cell r="C8">
            <v>180</v>
          </cell>
        </row>
        <row r="9">
          <cell r="A9" t="str">
            <v>ВЛ.СТ</v>
          </cell>
          <cell r="C9">
            <v>490</v>
          </cell>
        </row>
        <row r="10">
          <cell r="A10" t="str">
            <v>ВЛ.СТ</v>
          </cell>
          <cell r="C10">
            <v>240</v>
          </cell>
        </row>
        <row r="11">
          <cell r="A11" t="str">
            <v>ВЛ.СТ</v>
          </cell>
          <cell r="C11">
            <v>260</v>
          </cell>
        </row>
        <row r="12">
          <cell r="A12" t="str">
            <v>ШПОН_Орех</v>
          </cell>
          <cell r="C12">
            <v>430</v>
          </cell>
        </row>
        <row r="13">
          <cell r="A13" t="str">
            <v>ШПОН_Дуб</v>
          </cell>
          <cell r="C13">
            <v>277</v>
          </cell>
        </row>
        <row r="14">
          <cell r="A14" t="str">
            <v>ШПОН_Бук</v>
          </cell>
          <cell r="C14">
            <v>0</v>
          </cell>
        </row>
        <row r="15">
          <cell r="A15" t="str">
            <v>Стекло</v>
          </cell>
          <cell r="C15">
            <v>5000</v>
          </cell>
        </row>
        <row r="16">
          <cell r="A16" t="str">
            <v>Сосна</v>
          </cell>
          <cell r="C16">
            <v>15000</v>
          </cell>
        </row>
        <row r="17">
          <cell r="A17" t="str">
            <v>Ткань</v>
          </cell>
          <cell r="C17">
            <v>0</v>
          </cell>
        </row>
        <row r="18">
          <cell r="A18" t="str">
            <v>Орех</v>
          </cell>
          <cell r="C18">
            <v>308000</v>
          </cell>
        </row>
        <row r="19">
          <cell r="A19" t="str">
            <v>МДФ Зеленый</v>
          </cell>
          <cell r="C19">
            <v>460</v>
          </cell>
        </row>
        <row r="20">
          <cell r="A20" t="str">
            <v>МДФ Зеленый</v>
          </cell>
          <cell r="C20">
            <v>500</v>
          </cell>
        </row>
        <row r="21">
          <cell r="A21" t="str">
            <v>МДФ Зеленый</v>
          </cell>
          <cell r="C21">
            <v>646</v>
          </cell>
        </row>
        <row r="22">
          <cell r="A22" t="str">
            <v>Сосна</v>
          </cell>
          <cell r="C22">
            <v>15000</v>
          </cell>
        </row>
        <row r="23">
          <cell r="A23" t="str">
            <v>Бук</v>
          </cell>
          <cell r="C23">
            <v>28000</v>
          </cell>
        </row>
        <row r="24">
          <cell r="A24" t="str">
            <v>Бук</v>
          </cell>
          <cell r="C24">
            <v>28000</v>
          </cell>
        </row>
        <row r="25">
          <cell r="A25" t="str">
            <v>Бук</v>
          </cell>
          <cell r="C25">
            <v>28000</v>
          </cell>
        </row>
        <row r="26">
          <cell r="A26" t="str">
            <v>ШПОН_Ольха</v>
          </cell>
          <cell r="C26">
            <v>155</v>
          </cell>
        </row>
        <row r="27">
          <cell r="A27" t="str">
            <v>Ольха</v>
          </cell>
          <cell r="C27">
            <v>32000</v>
          </cell>
        </row>
        <row r="28">
          <cell r="A28" t="str">
            <v>МДФ Зеленый</v>
          </cell>
          <cell r="C28">
            <v>550</v>
          </cell>
        </row>
        <row r="29">
          <cell r="A29" t="str">
            <v>Дуб</v>
          </cell>
          <cell r="C29">
            <v>45500</v>
          </cell>
        </row>
        <row r="30">
          <cell r="A30" t="str">
            <v>Дуб</v>
          </cell>
          <cell r="C30">
            <v>57000</v>
          </cell>
        </row>
        <row r="31">
          <cell r="A31" t="str">
            <v>Дуб</v>
          </cell>
          <cell r="C31">
            <v>45500</v>
          </cell>
        </row>
        <row r="32">
          <cell r="A32" t="str">
            <v>Орех</v>
          </cell>
          <cell r="C32">
            <v>308000</v>
          </cell>
        </row>
        <row r="33">
          <cell r="A33" t="str">
            <v>Сосна</v>
          </cell>
          <cell r="C33">
            <v>15000</v>
          </cell>
        </row>
        <row r="34">
          <cell r="A34" t="str">
            <v>Сосна</v>
          </cell>
          <cell r="C34">
            <v>15000</v>
          </cell>
        </row>
        <row r="35">
          <cell r="A35" t="str">
            <v>Сосна</v>
          </cell>
          <cell r="C35">
            <v>15000</v>
          </cell>
        </row>
        <row r="36">
          <cell r="A36" t="str">
            <v>Сосна</v>
          </cell>
          <cell r="C36">
            <v>15000</v>
          </cell>
        </row>
        <row r="37">
          <cell r="A37" t="str">
            <v>МДФ Зеленый</v>
          </cell>
          <cell r="C37">
            <v>492</v>
          </cell>
        </row>
        <row r="38">
          <cell r="A38" t="str">
            <v>МДФ Зеленый</v>
          </cell>
          <cell r="C38">
            <v>767</v>
          </cell>
        </row>
        <row r="39">
          <cell r="A39" t="str">
            <v>Стекло с фацетом 30мм</v>
          </cell>
          <cell r="C39">
            <v>1882</v>
          </cell>
        </row>
        <row r="40">
          <cell r="A40" t="str">
            <v>Фанера гибкая</v>
          </cell>
          <cell r="C40">
            <v>1042</v>
          </cell>
        </row>
        <row r="41">
          <cell r="A41" t="str">
            <v>ШПОН_Вишня</v>
          </cell>
          <cell r="C41">
            <v>466</v>
          </cell>
        </row>
        <row r="42">
          <cell r="A42" t="str">
            <v>Вишня</v>
          </cell>
          <cell r="C42">
            <v>200000</v>
          </cell>
        </row>
      </sheetData>
      <sheetData sheetId="1" refreshError="1">
        <row r="8">
          <cell r="F8">
            <v>1.125E-2</v>
          </cell>
        </row>
        <row r="9">
          <cell r="C9">
            <v>150</v>
          </cell>
          <cell r="D9">
            <v>3000</v>
          </cell>
          <cell r="F9">
            <v>1.125E-2</v>
          </cell>
        </row>
      </sheetData>
      <sheetData sheetId="2" refreshError="1">
        <row r="2">
          <cell r="A2" t="str">
            <v>Нет</v>
          </cell>
          <cell r="B2">
            <v>0</v>
          </cell>
        </row>
        <row r="3">
          <cell r="A3" t="str">
            <v>Финиш</v>
          </cell>
          <cell r="B3">
            <v>1200</v>
          </cell>
        </row>
        <row r="4">
          <cell r="A4" t="str">
            <v>Грунт Белый</v>
          </cell>
          <cell r="B4">
            <v>900</v>
          </cell>
        </row>
        <row r="5">
          <cell r="A5" t="str">
            <v>Грунт</v>
          </cell>
          <cell r="B5">
            <v>900</v>
          </cell>
        </row>
        <row r="6">
          <cell r="A6" t="str">
            <v>Краска Вода</v>
          </cell>
          <cell r="B6">
            <v>0</v>
          </cell>
        </row>
        <row r="7">
          <cell r="A7" t="str">
            <v>Краска П.У.</v>
          </cell>
          <cell r="B7">
            <v>0</v>
          </cell>
        </row>
        <row r="8">
          <cell r="A8" t="str">
            <v>Лак</v>
          </cell>
          <cell r="B8">
            <v>1200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Материалы"/>
      <sheetName val="Раскройка"/>
      <sheetName val="Покрытия"/>
      <sheetName val="Формулы расчета"/>
      <sheetName val="Тумба ТВ вариант 2"/>
      <sheetName val="Двери и Порталы"/>
      <sheetName val="Коробки"/>
      <sheetName val="Сандрики"/>
      <sheetName val="Полотна"/>
      <sheetName val="00-01-02-010"/>
      <sheetName val="04-014-016-08-06"/>
      <sheetName val="04А-05А-07"/>
      <sheetName val="09-011-012-013-015"/>
      <sheetName val="018-019-020"/>
    </sheetNames>
    <sheetDataSet>
      <sheetData sheetId="0"/>
      <sheetData sheetId="1"/>
      <sheetData sheetId="2">
        <row r="2">
          <cell r="A2" t="str">
            <v>Нет</v>
          </cell>
          <cell r="B2">
            <v>0</v>
          </cell>
        </row>
        <row r="3">
          <cell r="A3" t="str">
            <v>Финиш</v>
          </cell>
          <cell r="B3">
            <v>1200</v>
          </cell>
        </row>
        <row r="4">
          <cell r="A4" t="str">
            <v>Грунт Белый</v>
          </cell>
          <cell r="B4">
            <v>900</v>
          </cell>
        </row>
        <row r="5">
          <cell r="A5" t="str">
            <v>Грунт</v>
          </cell>
          <cell r="B5">
            <v>900</v>
          </cell>
        </row>
        <row r="6">
          <cell r="A6" t="str">
            <v>Краска Вода</v>
          </cell>
          <cell r="B6">
            <v>0</v>
          </cell>
        </row>
        <row r="7">
          <cell r="A7" t="str">
            <v>Краска П.У.</v>
          </cell>
          <cell r="B7">
            <v>0</v>
          </cell>
        </row>
        <row r="8">
          <cell r="A8" t="str">
            <v>Лак</v>
          </cell>
          <cell r="B8">
            <v>1200</v>
          </cell>
        </row>
        <row r="9">
          <cell r="A9" t="str">
            <v>Марилка</v>
          </cell>
          <cell r="B9">
            <v>1200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Материалы"/>
      <sheetName val="Листы"/>
      <sheetName val="Покрытия"/>
      <sheetName val="Плинтуса"/>
      <sheetName val="Плинтуса Расчет"/>
      <sheetName val="Карниз"/>
    </sheetNames>
    <sheetDataSet>
      <sheetData sheetId="0">
        <row r="2">
          <cell r="A2" t="str">
            <v>МДФ</v>
          </cell>
          <cell r="B2">
            <v>6</v>
          </cell>
          <cell r="C2">
            <v>210</v>
          </cell>
        </row>
        <row r="3">
          <cell r="A3" t="str">
            <v>МДФ</v>
          </cell>
          <cell r="B3">
            <v>10</v>
          </cell>
          <cell r="C3">
            <v>150</v>
          </cell>
        </row>
        <row r="4">
          <cell r="A4" t="str">
            <v>МДФ</v>
          </cell>
          <cell r="B4">
            <v>12</v>
          </cell>
          <cell r="C4">
            <v>290</v>
          </cell>
        </row>
        <row r="5">
          <cell r="A5" t="str">
            <v>МДФ</v>
          </cell>
          <cell r="B5">
            <v>16</v>
          </cell>
          <cell r="C5">
            <v>330</v>
          </cell>
        </row>
        <row r="6">
          <cell r="A6" t="str">
            <v>МДФ</v>
          </cell>
          <cell r="B6">
            <v>18</v>
          </cell>
          <cell r="C6">
            <v>390</v>
          </cell>
        </row>
        <row r="7">
          <cell r="A7" t="str">
            <v>МДФ</v>
          </cell>
          <cell r="B7">
            <v>25</v>
          </cell>
          <cell r="C7">
            <v>500</v>
          </cell>
        </row>
        <row r="8">
          <cell r="A8" t="str">
            <v>МДФ Зеленый</v>
          </cell>
          <cell r="B8">
            <v>9</v>
          </cell>
          <cell r="C8">
            <v>572</v>
          </cell>
        </row>
        <row r="9">
          <cell r="A9" t="str">
            <v>МДФ Зеленый</v>
          </cell>
          <cell r="B9">
            <v>10</v>
          </cell>
          <cell r="C9">
            <v>419</v>
          </cell>
        </row>
        <row r="10">
          <cell r="A10" t="str">
            <v>МДФ Зеленый</v>
          </cell>
          <cell r="B10">
            <v>12</v>
          </cell>
          <cell r="C10">
            <v>493</v>
          </cell>
        </row>
        <row r="11">
          <cell r="A11" t="str">
            <v>МДФ Зеленый</v>
          </cell>
          <cell r="B11">
            <v>16</v>
          </cell>
          <cell r="C11">
            <v>646</v>
          </cell>
        </row>
        <row r="12">
          <cell r="A12" t="str">
            <v>МДФ Зеленый</v>
          </cell>
          <cell r="B12">
            <v>19</v>
          </cell>
          <cell r="C12">
            <v>767</v>
          </cell>
        </row>
        <row r="13">
          <cell r="A13" t="str">
            <v>МДФ Зеленый</v>
          </cell>
          <cell r="B13">
            <v>25</v>
          </cell>
          <cell r="C13">
            <v>1496</v>
          </cell>
        </row>
        <row r="14">
          <cell r="A14" t="str">
            <v>ШПОН_Орех</v>
          </cell>
          <cell r="B14">
            <v>0.6</v>
          </cell>
          <cell r="C14">
            <v>430</v>
          </cell>
        </row>
        <row r="15">
          <cell r="A15" t="str">
            <v>ШПОН_Дуб</v>
          </cell>
          <cell r="B15">
            <v>0.6</v>
          </cell>
          <cell r="C15">
            <v>277</v>
          </cell>
        </row>
        <row r="16">
          <cell r="A16" t="str">
            <v>ШПОН_Бук</v>
          </cell>
          <cell r="B16">
            <v>0.6</v>
          </cell>
          <cell r="C16">
            <v>0</v>
          </cell>
        </row>
        <row r="17">
          <cell r="A17" t="str">
            <v>Стекло</v>
          </cell>
          <cell r="B17">
            <v>4</v>
          </cell>
          <cell r="C17">
            <v>5000</v>
          </cell>
        </row>
        <row r="18">
          <cell r="A18" t="str">
            <v>Сосна</v>
          </cell>
          <cell r="B18">
            <v>18</v>
          </cell>
          <cell r="C18">
            <v>15000</v>
          </cell>
        </row>
        <row r="19">
          <cell r="A19" t="str">
            <v>Ткань</v>
          </cell>
          <cell r="B19">
            <v>0</v>
          </cell>
          <cell r="C19">
            <v>0</v>
          </cell>
        </row>
        <row r="20">
          <cell r="A20" t="str">
            <v>Орех</v>
          </cell>
          <cell r="B20">
            <v>25</v>
          </cell>
          <cell r="C20">
            <v>308000</v>
          </cell>
        </row>
        <row r="21">
          <cell r="A21" t="str">
            <v>Сосна</v>
          </cell>
          <cell r="B21">
            <v>35</v>
          </cell>
          <cell r="C21">
            <v>15000</v>
          </cell>
        </row>
        <row r="22">
          <cell r="A22" t="str">
            <v>Бук</v>
          </cell>
          <cell r="B22">
            <v>30</v>
          </cell>
          <cell r="C22">
            <v>28000</v>
          </cell>
        </row>
        <row r="23">
          <cell r="A23" t="str">
            <v>Бук</v>
          </cell>
          <cell r="B23">
            <v>25</v>
          </cell>
          <cell r="C23">
            <v>28000</v>
          </cell>
        </row>
        <row r="24">
          <cell r="A24" t="str">
            <v>Бук</v>
          </cell>
          <cell r="B24">
            <v>60</v>
          </cell>
          <cell r="C24">
            <v>28000</v>
          </cell>
        </row>
        <row r="25">
          <cell r="A25" t="str">
            <v>ШПОН_Ольха</v>
          </cell>
          <cell r="B25">
            <v>0.6</v>
          </cell>
          <cell r="C25">
            <v>155</v>
          </cell>
        </row>
        <row r="26">
          <cell r="A26" t="str">
            <v>Ольха</v>
          </cell>
          <cell r="B26">
            <v>30</v>
          </cell>
          <cell r="C26">
            <v>32000</v>
          </cell>
        </row>
        <row r="27">
          <cell r="A27" t="str">
            <v>Дуб</v>
          </cell>
          <cell r="B27">
            <v>30</v>
          </cell>
          <cell r="C27">
            <v>45500</v>
          </cell>
        </row>
        <row r="28">
          <cell r="A28" t="str">
            <v>Орех</v>
          </cell>
          <cell r="B28">
            <v>50</v>
          </cell>
          <cell r="C28">
            <v>308000</v>
          </cell>
        </row>
        <row r="29">
          <cell r="A29" t="str">
            <v>Сосна</v>
          </cell>
          <cell r="B29">
            <v>12</v>
          </cell>
          <cell r="C29">
            <v>15000</v>
          </cell>
        </row>
        <row r="30">
          <cell r="A30" t="str">
            <v>Сосна</v>
          </cell>
          <cell r="B30">
            <v>16</v>
          </cell>
          <cell r="C30">
            <v>15000</v>
          </cell>
        </row>
        <row r="31">
          <cell r="A31" t="str">
            <v>Сосна</v>
          </cell>
          <cell r="B31">
            <v>20</v>
          </cell>
          <cell r="C31">
            <v>15000</v>
          </cell>
        </row>
        <row r="32">
          <cell r="A32" t="str">
            <v>Сосна</v>
          </cell>
          <cell r="B32">
            <v>40</v>
          </cell>
          <cell r="C32">
            <v>15000</v>
          </cell>
        </row>
      </sheetData>
      <sheetData sheetId="1">
        <row r="40">
          <cell r="B40">
            <v>2800</v>
          </cell>
          <cell r="C40">
            <v>2070</v>
          </cell>
        </row>
      </sheetData>
      <sheetData sheetId="2">
        <row r="2">
          <cell r="A2" t="str">
            <v>Нет</v>
          </cell>
          <cell r="B2">
            <v>0</v>
          </cell>
        </row>
        <row r="3">
          <cell r="A3" t="str">
            <v>Финиш</v>
          </cell>
          <cell r="B3">
            <v>1200</v>
          </cell>
        </row>
        <row r="4">
          <cell r="A4" t="str">
            <v>Грунт Белый</v>
          </cell>
          <cell r="B4">
            <v>900</v>
          </cell>
        </row>
        <row r="5">
          <cell r="A5" t="str">
            <v>Грунт</v>
          </cell>
          <cell r="B5">
            <v>900</v>
          </cell>
        </row>
        <row r="6">
          <cell r="A6" t="str">
            <v>Краска Вода</v>
          </cell>
          <cell r="B6">
            <v>0</v>
          </cell>
        </row>
        <row r="7">
          <cell r="A7" t="str">
            <v>Краска П.У.</v>
          </cell>
          <cell r="B7">
            <v>0</v>
          </cell>
        </row>
        <row r="8">
          <cell r="A8" t="str">
            <v>Лак</v>
          </cell>
          <cell r="B8">
            <v>1200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28" workbookViewId="0">
      <selection activeCell="D62" sqref="A1:XFD1048576"/>
    </sheetView>
  </sheetViews>
  <sheetFormatPr defaultRowHeight="15" x14ac:dyDescent="0.25"/>
  <cols>
    <col min="1" max="1" width="22.140625" customWidth="1"/>
    <col min="2" max="2" width="15.85546875" customWidth="1"/>
    <col min="3" max="3" width="12.85546875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1"/>
      <c r="E1" s="2"/>
      <c r="F1" s="2"/>
      <c r="G1" s="2"/>
      <c r="H1" s="2"/>
      <c r="I1" s="2"/>
      <c r="J1" s="2"/>
    </row>
    <row r="2" spans="1:10" x14ac:dyDescent="0.25">
      <c r="A2" s="6" t="s">
        <v>3</v>
      </c>
      <c r="B2" s="6">
        <v>6</v>
      </c>
      <c r="C2" s="6">
        <v>104</v>
      </c>
      <c r="D2" s="1"/>
    </row>
    <row r="3" spans="1:10" x14ac:dyDescent="0.25">
      <c r="A3" s="6" t="s">
        <v>3</v>
      </c>
      <c r="B3" s="6">
        <v>10</v>
      </c>
      <c r="C3" s="6">
        <v>171</v>
      </c>
      <c r="D3" s="1"/>
      <c r="G3" s="2"/>
      <c r="H3" s="2"/>
      <c r="I3" s="2"/>
      <c r="J3" s="2"/>
    </row>
    <row r="4" spans="1:10" x14ac:dyDescent="0.25">
      <c r="A4" s="6" t="s">
        <v>3</v>
      </c>
      <c r="B4" s="6">
        <v>12</v>
      </c>
      <c r="C4" s="6">
        <v>290</v>
      </c>
      <c r="D4" s="1"/>
      <c r="G4" s="2"/>
      <c r="H4" s="2"/>
      <c r="I4" s="2"/>
      <c r="J4" s="2"/>
    </row>
    <row r="5" spans="1:10" x14ac:dyDescent="0.25">
      <c r="A5" s="6" t="s">
        <v>3</v>
      </c>
      <c r="B5" s="6">
        <v>16</v>
      </c>
      <c r="C5" s="6">
        <v>330</v>
      </c>
      <c r="D5" s="1"/>
      <c r="G5" s="2"/>
      <c r="H5" s="2"/>
      <c r="I5" s="2"/>
      <c r="J5" s="2"/>
    </row>
    <row r="6" spans="1:10" x14ac:dyDescent="0.25">
      <c r="A6" s="6" t="s">
        <v>3</v>
      </c>
      <c r="B6" s="6">
        <v>18</v>
      </c>
      <c r="C6" s="6">
        <v>390</v>
      </c>
      <c r="D6" s="1"/>
      <c r="G6" s="2"/>
      <c r="H6" s="2"/>
      <c r="I6" s="2"/>
      <c r="J6" s="2"/>
    </row>
    <row r="7" spans="1:10" x14ac:dyDescent="0.25">
      <c r="A7" s="6" t="s">
        <v>3</v>
      </c>
      <c r="B7" s="6">
        <v>25</v>
      </c>
      <c r="C7" s="6">
        <v>500</v>
      </c>
      <c r="D7" s="1"/>
      <c r="G7" s="2"/>
      <c r="H7" s="2"/>
      <c r="I7" s="2"/>
      <c r="J7" s="2"/>
    </row>
    <row r="8" spans="1:10" x14ac:dyDescent="0.25">
      <c r="A8" s="6" t="s">
        <v>5</v>
      </c>
      <c r="B8" s="6">
        <v>6</v>
      </c>
      <c r="C8" s="6">
        <v>180</v>
      </c>
      <c r="D8" s="1"/>
      <c r="G8" s="2"/>
      <c r="H8" s="2"/>
      <c r="I8" s="3"/>
      <c r="J8" s="3"/>
    </row>
    <row r="9" spans="1:10" x14ac:dyDescent="0.25">
      <c r="A9" s="6" t="s">
        <v>5</v>
      </c>
      <c r="B9" s="6">
        <v>9</v>
      </c>
      <c r="C9" s="6">
        <v>490</v>
      </c>
      <c r="D9" s="1"/>
      <c r="G9" s="2"/>
      <c r="H9" s="2"/>
      <c r="I9" s="2"/>
      <c r="J9" s="2"/>
    </row>
    <row r="10" spans="1:10" x14ac:dyDescent="0.25">
      <c r="A10" s="6" t="s">
        <v>5</v>
      </c>
      <c r="B10" s="6">
        <v>16</v>
      </c>
      <c r="C10" s="6">
        <v>240</v>
      </c>
      <c r="D10" s="1"/>
      <c r="G10" s="2"/>
      <c r="H10" s="2"/>
      <c r="I10" s="2"/>
      <c r="J10" s="2"/>
    </row>
    <row r="11" spans="1:10" x14ac:dyDescent="0.25">
      <c r="A11" s="6" t="s">
        <v>5</v>
      </c>
      <c r="B11" s="6">
        <v>18</v>
      </c>
      <c r="C11" s="6">
        <v>260</v>
      </c>
      <c r="D11" s="1"/>
      <c r="G11" s="2"/>
      <c r="H11" s="2"/>
      <c r="I11" s="2"/>
      <c r="J11" s="2"/>
    </row>
    <row r="12" spans="1:10" x14ac:dyDescent="0.25">
      <c r="A12" s="6" t="s">
        <v>6</v>
      </c>
      <c r="B12" s="6">
        <v>0.6</v>
      </c>
      <c r="C12" s="6">
        <v>430</v>
      </c>
      <c r="D12" s="1"/>
      <c r="E12" t="str">
        <f t="array" ref="E12">IFERROR(INDEX(Материалы,MATCH(0,COUNTIF(E$1:$E11,Материалы),0)),"")</f>
        <v/>
      </c>
      <c r="F12" t="str">
        <f t="array" ref="F12">IFERROR(INDEX(Толщина,MATCH(0,COUNTIF($E$1:F11,Толщина),0)),"")</f>
        <v/>
      </c>
      <c r="G12" s="2"/>
      <c r="H12" s="2"/>
      <c r="I12" s="2"/>
      <c r="J12" s="2"/>
    </row>
    <row r="13" spans="1:10" x14ac:dyDescent="0.25">
      <c r="A13" s="6" t="s">
        <v>7</v>
      </c>
      <c r="B13" s="6">
        <v>0.6</v>
      </c>
      <c r="C13" s="7">
        <v>277</v>
      </c>
      <c r="D13" s="1"/>
      <c r="E13" t="str">
        <f t="array" ref="E13">IFERROR(INDEX(Материалы,MATCH(0,COUNTIF(E$1:$E12,Материалы),0)),"")</f>
        <v/>
      </c>
      <c r="F13" t="str">
        <f t="array" ref="F13">IFERROR(INDEX(Толщина,MATCH(0,COUNTIF($E$1:F12,Толщина),0)),"")</f>
        <v/>
      </c>
      <c r="G13" s="2"/>
      <c r="H13" s="2"/>
      <c r="I13" s="2"/>
      <c r="J13" s="2"/>
    </row>
    <row r="14" spans="1:10" x14ac:dyDescent="0.25">
      <c r="A14" s="6" t="s">
        <v>8</v>
      </c>
      <c r="B14" s="6">
        <v>0.6</v>
      </c>
      <c r="C14" s="6"/>
      <c r="D14" s="1"/>
      <c r="E14" t="str">
        <f t="array" ref="E14">IFERROR(INDEX(Материалы,MATCH(0,COUNTIF(E$1:$E13,Материалы),0)),"")</f>
        <v/>
      </c>
      <c r="F14" t="str">
        <f t="array" ref="F14">IFERROR(INDEX(Толщина,MATCH(0,COUNTIF($E$1:F13,Толщина),0)),"")</f>
        <v/>
      </c>
      <c r="G14" s="2"/>
      <c r="H14" s="2"/>
      <c r="I14" s="2"/>
      <c r="J14" s="2"/>
    </row>
    <row r="15" spans="1:10" x14ac:dyDescent="0.25">
      <c r="A15" s="6" t="s">
        <v>4</v>
      </c>
      <c r="B15" s="6">
        <v>4</v>
      </c>
      <c r="C15" s="6">
        <v>7000</v>
      </c>
      <c r="D15" s="1"/>
      <c r="E15" t="str">
        <f t="array" ref="E15">IFERROR(INDEX(Материалы,MATCH(0,COUNTIF(E$1:$E14,Материалы),0)),"")</f>
        <v/>
      </c>
      <c r="F15" t="str">
        <f t="array" ref="F15">IFERROR(INDEX(Толщина,MATCH(0,COUNTIF($E$1:F14,Толщина),0)),"")</f>
        <v/>
      </c>
      <c r="G15" s="2"/>
      <c r="H15" s="2"/>
      <c r="I15" s="2"/>
      <c r="J15" s="2"/>
    </row>
    <row r="16" spans="1:10" x14ac:dyDescent="0.25">
      <c r="A16" s="6" t="s">
        <v>9</v>
      </c>
      <c r="B16" s="6">
        <v>18</v>
      </c>
      <c r="C16" s="6">
        <v>15000</v>
      </c>
      <c r="D16" s="1"/>
      <c r="E16" t="str">
        <f t="array" ref="E16">IFERROR(INDEX(Материалы,MATCH(0,COUNTIF(E$1:$E15,Материалы),0)),"")</f>
        <v/>
      </c>
      <c r="F16" t="str">
        <f t="array" ref="F16">IFERROR(INDEX(Толщина,MATCH(0,COUNTIF($E$1:F15,Толщина),0)),"")</f>
        <v/>
      </c>
      <c r="G16" s="2"/>
      <c r="H16" s="2"/>
      <c r="I16" s="2"/>
      <c r="J16" s="2"/>
    </row>
    <row r="17" spans="1:10" x14ac:dyDescent="0.25">
      <c r="A17" s="6" t="s">
        <v>10</v>
      </c>
      <c r="B17" s="6">
        <v>0</v>
      </c>
      <c r="C17" s="6">
        <v>0</v>
      </c>
      <c r="D17" s="1"/>
      <c r="E17" t="str">
        <f t="array" ref="E17">IFERROR(INDEX(Материалы,MATCH(0,COUNTIF(E$1:$E16,Материалы),0)),"")</f>
        <v/>
      </c>
      <c r="F17" t="str">
        <f t="array" ref="F17">IFERROR(INDEX(Толщина,MATCH(0,COUNTIF($E$1:F16,Толщина),0)),"")</f>
        <v/>
      </c>
      <c r="G17" s="2"/>
      <c r="H17" s="2"/>
      <c r="I17" s="2"/>
      <c r="J17" s="2"/>
    </row>
    <row r="18" spans="1:10" x14ac:dyDescent="0.25">
      <c r="A18" s="8" t="s">
        <v>11</v>
      </c>
      <c r="B18" s="7">
        <v>25</v>
      </c>
      <c r="C18" s="7">
        <v>308000</v>
      </c>
      <c r="D18" s="1"/>
      <c r="E18" t="str">
        <f t="array" ref="E18">IFERROR(INDEX(Материалы,MATCH(0,COUNTIF(E$1:$E17,Материалы),0)),"")</f>
        <v/>
      </c>
      <c r="F18" t="str">
        <f t="array" ref="F18">IFERROR(INDEX(Толщина,MATCH(0,COUNTIF($E$1:F17,Толщина),0)),"")</f>
        <v/>
      </c>
      <c r="G18" s="2"/>
      <c r="H18" s="2"/>
      <c r="I18" s="2"/>
      <c r="J18" s="2"/>
    </row>
    <row r="19" spans="1:10" x14ac:dyDescent="0.25">
      <c r="A19" s="8" t="s">
        <v>12</v>
      </c>
      <c r="B19" s="7">
        <v>9</v>
      </c>
      <c r="C19" s="7">
        <v>460</v>
      </c>
      <c r="D19" s="1"/>
      <c r="E19" t="str">
        <f t="array" ref="E19">IFERROR(INDEX(Материалы,MATCH(0,COUNTIF(E$1:$E18,Материалы),0)),"")</f>
        <v/>
      </c>
      <c r="F19" t="str">
        <f t="array" ref="F19">IFERROR(INDEX(Толщина,MATCH(0,COUNTIF($E$1:F18,Толщина),0)),"")</f>
        <v/>
      </c>
      <c r="G19" s="2"/>
      <c r="H19" s="2"/>
      <c r="I19" s="2"/>
      <c r="J19" s="2"/>
    </row>
    <row r="20" spans="1:10" x14ac:dyDescent="0.25">
      <c r="A20" s="8" t="s">
        <v>12</v>
      </c>
      <c r="B20" s="7">
        <v>18</v>
      </c>
      <c r="C20" s="7">
        <v>500</v>
      </c>
      <c r="D20" s="1"/>
      <c r="E20" t="str">
        <f t="array" ref="E20">IFERROR(INDEX(Материалы,MATCH(0,COUNTIF(E$1:$E19,Материалы),0)),"")</f>
        <v/>
      </c>
      <c r="F20" t="str">
        <f t="array" ref="F20">IFERROR(INDEX(Толщина,MATCH(0,COUNTIF($E$1:F19,Толщина),0)),"")</f>
        <v/>
      </c>
      <c r="G20" s="2"/>
      <c r="H20" s="2"/>
      <c r="I20" s="2"/>
      <c r="J20" s="2"/>
    </row>
    <row r="21" spans="1:10" x14ac:dyDescent="0.25">
      <c r="A21" s="8" t="s">
        <v>12</v>
      </c>
      <c r="B21" s="7">
        <v>16</v>
      </c>
      <c r="C21" s="7">
        <v>646</v>
      </c>
      <c r="D21" s="1"/>
      <c r="E21" t="str">
        <f t="array" ref="E21">IFERROR(INDEX(Материалы,MATCH(0,COUNTIF(E$1:$E20,Материалы),0)),"")</f>
        <v/>
      </c>
      <c r="F21" t="str">
        <f t="array" ref="F21">IFERROR(INDEX(Толщина,MATCH(0,COUNTIF($E$1:F20,Толщина),0)),"")</f>
        <v/>
      </c>
      <c r="G21" s="2"/>
      <c r="H21" s="2"/>
      <c r="I21" s="2"/>
      <c r="J21" s="2"/>
    </row>
    <row r="22" spans="1:10" x14ac:dyDescent="0.25">
      <c r="A22" s="8" t="s">
        <v>9</v>
      </c>
      <c r="B22" s="7">
        <v>35</v>
      </c>
      <c r="C22" s="7">
        <v>15000</v>
      </c>
      <c r="D22" s="1"/>
      <c r="E22" t="str">
        <f t="array" ref="E22">IFERROR(INDEX(Материалы,MATCH(0,COUNTIF(E$1:$E21,Материалы),0)),"")</f>
        <v/>
      </c>
      <c r="F22" t="str">
        <f t="array" ref="F22">IFERROR(INDEX(Толщина,MATCH(0,COUNTIF($E$1:F21,Толщина),0)),"")</f>
        <v/>
      </c>
      <c r="G22" s="2"/>
      <c r="H22" s="2"/>
      <c r="I22" s="2"/>
      <c r="J22" s="2"/>
    </row>
    <row r="23" spans="1:10" x14ac:dyDescent="0.25">
      <c r="A23" s="8" t="s">
        <v>13</v>
      </c>
      <c r="B23" s="7">
        <v>30</v>
      </c>
      <c r="C23" s="7">
        <v>28000</v>
      </c>
      <c r="D23" s="1"/>
      <c r="E23" t="str">
        <f t="array" ref="E23">IFERROR(INDEX(Материалы,MATCH(0,COUNTIF(E$1:$E22,Материалы),0)),"")</f>
        <v/>
      </c>
      <c r="F23" t="str">
        <f t="array" ref="F23">IFERROR(INDEX(Толщина,MATCH(0,COUNTIF($E$1:F22,Толщина),0)),"")</f>
        <v/>
      </c>
      <c r="G23" s="2"/>
      <c r="H23" s="2"/>
      <c r="I23" s="2"/>
      <c r="J23" s="2"/>
    </row>
    <row r="24" spans="1:10" x14ac:dyDescent="0.25">
      <c r="A24" s="8" t="s">
        <v>13</v>
      </c>
      <c r="B24" s="7">
        <v>25</v>
      </c>
      <c r="C24" s="7">
        <v>28000</v>
      </c>
      <c r="D24" s="1"/>
      <c r="E24" t="str">
        <f t="array" ref="E24">IFERROR(INDEX(Материалы,MATCH(0,COUNTIF(E$1:$E23,Материалы),0)),"")</f>
        <v/>
      </c>
      <c r="F24" t="str">
        <f t="array" ref="F24">IFERROR(INDEX(Толщина,MATCH(0,COUNTIF($E$1:F23,Толщина),0)),"")</f>
        <v/>
      </c>
    </row>
    <row r="25" spans="1:10" x14ac:dyDescent="0.25">
      <c r="A25" s="8" t="s">
        <v>13</v>
      </c>
      <c r="B25" s="7">
        <v>60</v>
      </c>
      <c r="C25" s="7">
        <v>28000</v>
      </c>
      <c r="D25" s="1"/>
      <c r="E25" t="str">
        <f t="array" ref="E25">IFERROR(INDEX(Материалы,MATCH(0,COUNTIF(E$1:$E24,Материалы),0)),"")</f>
        <v/>
      </c>
      <c r="F25" t="str">
        <f t="array" ref="F25">IFERROR(INDEX(Толщина,MATCH(0,COUNTIF($E$1:F24,Толщина),0)),"")</f>
        <v/>
      </c>
    </row>
    <row r="26" spans="1:10" x14ac:dyDescent="0.25">
      <c r="A26" s="8" t="s">
        <v>14</v>
      </c>
      <c r="B26" s="7">
        <v>0.6</v>
      </c>
      <c r="C26" s="7">
        <v>155</v>
      </c>
      <c r="D26" s="1"/>
      <c r="E26" t="str">
        <f t="array" ref="E26">IFERROR(INDEX(Материалы,MATCH(0,COUNTIF(E$1:$E25,Материалы),0)),"")</f>
        <v/>
      </c>
      <c r="F26" t="str">
        <f t="array" ref="F26">IFERROR(INDEX(Толщина,MATCH(0,COUNTIF($E$1:F25,Толщина),0)),"")</f>
        <v/>
      </c>
    </row>
    <row r="27" spans="1:10" x14ac:dyDescent="0.25">
      <c r="A27" s="8" t="s">
        <v>15</v>
      </c>
      <c r="B27" s="7">
        <v>30</v>
      </c>
      <c r="C27" s="7">
        <v>32000</v>
      </c>
      <c r="D27" s="1"/>
      <c r="E27" t="str">
        <f t="array" ref="E27">IFERROR(INDEX(Материалы,MATCH(0,COUNTIF(E$1:$E26,Материалы),0)),"")</f>
        <v/>
      </c>
      <c r="F27" t="str">
        <f t="array" ref="F27">IFERROR(INDEX(Толщина,MATCH(0,COUNTIF($E$1:F26,Толщина),0)),"")</f>
        <v/>
      </c>
    </row>
    <row r="28" spans="1:10" x14ac:dyDescent="0.25">
      <c r="A28" s="8" t="s">
        <v>12</v>
      </c>
      <c r="B28" s="7">
        <v>25</v>
      </c>
      <c r="C28" s="7">
        <v>966</v>
      </c>
      <c r="E28" t="str">
        <f t="array" ref="E28">IFERROR(INDEX(Материалы,MATCH(0,COUNTIF(E$1:$E27,Материалы),0)),"")</f>
        <v/>
      </c>
    </row>
    <row r="29" spans="1:10" x14ac:dyDescent="0.25">
      <c r="A29" s="8" t="s">
        <v>16</v>
      </c>
      <c r="B29" s="7">
        <v>30</v>
      </c>
      <c r="C29" s="7">
        <v>45500</v>
      </c>
      <c r="D29" s="4"/>
      <c r="E29" s="4"/>
      <c r="F29" s="4"/>
      <c r="G29" s="4"/>
    </row>
    <row r="30" spans="1:10" x14ac:dyDescent="0.25">
      <c r="A30" s="8" t="s">
        <v>16</v>
      </c>
      <c r="B30" s="7">
        <v>50</v>
      </c>
      <c r="C30" s="7">
        <v>57000</v>
      </c>
      <c r="D30" s="1"/>
      <c r="E30" s="1"/>
      <c r="F30" s="1"/>
      <c r="G30" s="1"/>
    </row>
    <row r="31" spans="1:10" x14ac:dyDescent="0.25">
      <c r="A31" s="8" t="s">
        <v>16</v>
      </c>
      <c r="B31" s="7">
        <v>60</v>
      </c>
      <c r="C31" s="7">
        <v>45500</v>
      </c>
      <c r="D31" s="1"/>
      <c r="E31" s="1"/>
      <c r="F31" s="1"/>
      <c r="G31" s="1"/>
    </row>
    <row r="32" spans="1:10" x14ac:dyDescent="0.25">
      <c r="A32" s="8" t="s">
        <v>11</v>
      </c>
      <c r="B32" s="7">
        <v>50</v>
      </c>
      <c r="C32" s="7">
        <v>320000</v>
      </c>
      <c r="D32" s="1"/>
      <c r="E32" s="1"/>
      <c r="F32" s="1"/>
      <c r="G32" s="1"/>
    </row>
    <row r="33" spans="1:7" x14ac:dyDescent="0.25">
      <c r="A33" s="6" t="s">
        <v>9</v>
      </c>
      <c r="B33" s="6">
        <v>12</v>
      </c>
      <c r="C33" s="6">
        <v>15000</v>
      </c>
      <c r="D33" s="1"/>
      <c r="E33" s="1"/>
      <c r="F33" s="1"/>
      <c r="G33" s="1"/>
    </row>
    <row r="34" spans="1:7" x14ac:dyDescent="0.25">
      <c r="A34" s="6" t="s">
        <v>9</v>
      </c>
      <c r="B34" s="6">
        <v>16</v>
      </c>
      <c r="C34" s="6">
        <v>15000</v>
      </c>
      <c r="D34" s="1"/>
      <c r="E34" s="1"/>
      <c r="F34" s="1"/>
      <c r="G34" s="1"/>
    </row>
    <row r="35" spans="1:7" x14ac:dyDescent="0.25">
      <c r="A35" s="6" t="s">
        <v>9</v>
      </c>
      <c r="B35" s="6">
        <v>20</v>
      </c>
      <c r="C35" s="7">
        <v>15000</v>
      </c>
    </row>
    <row r="36" spans="1:7" x14ac:dyDescent="0.25">
      <c r="A36" s="6" t="s">
        <v>9</v>
      </c>
      <c r="B36" s="6">
        <v>40</v>
      </c>
      <c r="C36" s="7">
        <v>15000</v>
      </c>
    </row>
    <row r="37" spans="1:7" x14ac:dyDescent="0.25">
      <c r="A37" s="6" t="s">
        <v>12</v>
      </c>
      <c r="B37" s="6">
        <v>12</v>
      </c>
      <c r="C37" s="7">
        <v>492</v>
      </c>
    </row>
    <row r="38" spans="1:7" x14ac:dyDescent="0.25">
      <c r="A38" s="6" t="s">
        <v>12</v>
      </c>
      <c r="B38" s="6">
        <v>19</v>
      </c>
      <c r="C38" s="7">
        <v>734</v>
      </c>
    </row>
    <row r="39" spans="1:7" x14ac:dyDescent="0.25">
      <c r="A39" s="6" t="s">
        <v>17</v>
      </c>
      <c r="B39" s="6">
        <v>5</v>
      </c>
      <c r="C39" s="7">
        <v>1882</v>
      </c>
    </row>
    <row r="40" spans="1:7" x14ac:dyDescent="0.25">
      <c r="A40" s="6" t="s">
        <v>18</v>
      </c>
      <c r="B40" s="6">
        <v>8</v>
      </c>
      <c r="C40" s="7">
        <v>1042</v>
      </c>
    </row>
    <row r="41" spans="1:7" x14ac:dyDescent="0.25">
      <c r="A41" s="7" t="s">
        <v>62</v>
      </c>
      <c r="B41" s="7">
        <v>17</v>
      </c>
      <c r="C41" s="7">
        <v>1350</v>
      </c>
    </row>
    <row r="42" spans="1:7" x14ac:dyDescent="0.25">
      <c r="A42" s="7" t="s">
        <v>83</v>
      </c>
      <c r="B42" s="7">
        <v>17</v>
      </c>
      <c r="C42" s="7">
        <v>2318</v>
      </c>
    </row>
    <row r="43" spans="1:7" x14ac:dyDescent="0.25">
      <c r="A43" s="6" t="s">
        <v>3</v>
      </c>
      <c r="B43" s="6">
        <v>19</v>
      </c>
      <c r="C43" s="6">
        <v>314</v>
      </c>
    </row>
    <row r="44" spans="1:7" x14ac:dyDescent="0.25">
      <c r="A44" s="7" t="s">
        <v>88</v>
      </c>
      <c r="B44" s="7">
        <v>17</v>
      </c>
      <c r="C44" s="23">
        <v>1800</v>
      </c>
    </row>
    <row r="45" spans="1:7" x14ac:dyDescent="0.25">
      <c r="A45" s="7" t="s">
        <v>89</v>
      </c>
      <c r="B45" s="7">
        <v>0.6</v>
      </c>
      <c r="C45" s="7">
        <v>466</v>
      </c>
    </row>
    <row r="46" spans="1:7" x14ac:dyDescent="0.25">
      <c r="A46" s="7" t="s">
        <v>87</v>
      </c>
      <c r="B46" s="7">
        <v>60</v>
      </c>
      <c r="C46" s="7">
        <v>200000</v>
      </c>
    </row>
    <row r="47" spans="1:7" x14ac:dyDescent="0.25">
      <c r="A47" s="7" t="s">
        <v>83</v>
      </c>
      <c r="B47" s="7">
        <v>6</v>
      </c>
      <c r="C47" s="28">
        <v>1982</v>
      </c>
    </row>
    <row r="48" spans="1:7" x14ac:dyDescent="0.25">
      <c r="A48" s="7" t="s">
        <v>83</v>
      </c>
      <c r="B48" s="7">
        <v>26</v>
      </c>
      <c r="C48" s="29">
        <v>2477</v>
      </c>
    </row>
    <row r="49" spans="1:3" x14ac:dyDescent="0.25">
      <c r="A49" s="7" t="s">
        <v>90</v>
      </c>
      <c r="B49" s="7">
        <v>17</v>
      </c>
      <c r="C49" s="7">
        <v>996</v>
      </c>
    </row>
    <row r="50" spans="1:3" x14ac:dyDescent="0.25">
      <c r="A50" s="7" t="s">
        <v>62</v>
      </c>
      <c r="B50" s="7">
        <v>6</v>
      </c>
      <c r="C50" s="27">
        <v>987</v>
      </c>
    </row>
    <row r="51" spans="1:3" x14ac:dyDescent="0.25">
      <c r="A51" s="7" t="s">
        <v>95</v>
      </c>
      <c r="B51" s="27">
        <v>0.6</v>
      </c>
      <c r="C51" s="27">
        <v>385</v>
      </c>
    </row>
    <row r="52" spans="1:3" x14ac:dyDescent="0.25">
      <c r="A52" s="65" t="s">
        <v>4</v>
      </c>
      <c r="B52" s="65">
        <v>6</v>
      </c>
      <c r="C52" s="65">
        <v>7000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D34" sqref="A1:XFD1048576"/>
    </sheetView>
  </sheetViews>
  <sheetFormatPr defaultRowHeight="15" x14ac:dyDescent="0.25"/>
  <cols>
    <col min="1" max="1" width="17.85546875" customWidth="1"/>
    <col min="2" max="2" width="18.5703125" customWidth="1"/>
    <col min="7" max="7" width="23.7109375" customWidth="1"/>
    <col min="8" max="8" width="14.140625" customWidth="1"/>
    <col min="9" max="9" width="24.7109375" customWidth="1"/>
    <col min="10" max="10" width="24.5703125" customWidth="1"/>
  </cols>
  <sheetData>
    <row r="1" spans="1:10" x14ac:dyDescent="0.25">
      <c r="A1" s="6" t="s">
        <v>33</v>
      </c>
      <c r="B1" s="6" t="s">
        <v>32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10" t="s">
        <v>61</v>
      </c>
      <c r="J1" s="11"/>
    </row>
    <row r="2" spans="1:10" x14ac:dyDescent="0.25">
      <c r="A2" s="6"/>
      <c r="B2" s="6" t="s">
        <v>3</v>
      </c>
      <c r="C2" s="6">
        <v>2070</v>
      </c>
      <c r="D2" s="6">
        <v>2800</v>
      </c>
      <c r="E2" s="6">
        <v>16</v>
      </c>
      <c r="F2" s="6">
        <f>ROUND(C2*D2/1000000,1)</f>
        <v>5.8</v>
      </c>
      <c r="G2" s="6">
        <v>330</v>
      </c>
      <c r="H2" s="6">
        <f>F2*G2</f>
        <v>1914</v>
      </c>
      <c r="I2" s="10"/>
      <c r="J2" s="11"/>
    </row>
    <row r="3" spans="1:10" x14ac:dyDescent="0.25">
      <c r="A3" s="6"/>
      <c r="B3" s="6" t="s">
        <v>5</v>
      </c>
      <c r="C3" s="6">
        <v>2070</v>
      </c>
      <c r="D3" s="6">
        <v>2800</v>
      </c>
      <c r="E3" s="6">
        <v>9</v>
      </c>
      <c r="F3" s="6">
        <f>ROUND(C3*D3/1000000,1)</f>
        <v>5.8</v>
      </c>
      <c r="G3" s="6">
        <f>H3/F3</f>
        <v>54.655172413793103</v>
      </c>
      <c r="H3" s="6">
        <v>317</v>
      </c>
      <c r="I3" s="10"/>
      <c r="J3" s="11"/>
    </row>
    <row r="4" spans="1:10" x14ac:dyDescent="0.25">
      <c r="A4" s="6"/>
      <c r="B4" s="6" t="s">
        <v>29</v>
      </c>
      <c r="C4" s="6">
        <v>1030</v>
      </c>
      <c r="D4" s="6">
        <v>2800</v>
      </c>
      <c r="E4" s="6">
        <v>16</v>
      </c>
      <c r="F4" s="6">
        <f>ROUND(C4*D4/1000000,1)</f>
        <v>2.9</v>
      </c>
      <c r="G4" s="6">
        <f>H4/F4</f>
        <v>2983.4482758620688</v>
      </c>
      <c r="H4" s="6">
        <v>8652</v>
      </c>
      <c r="I4" s="10"/>
      <c r="J4" s="11"/>
    </row>
    <row r="5" spans="1:10" x14ac:dyDescent="0.25">
      <c r="A5" s="6"/>
      <c r="B5" s="6" t="s">
        <v>30</v>
      </c>
      <c r="C5" s="6">
        <v>1220</v>
      </c>
      <c r="D5" s="6">
        <v>2440</v>
      </c>
      <c r="E5" s="6">
        <v>8</v>
      </c>
      <c r="F5" s="6">
        <f>ROUND(C5*D5/1000000,1)</f>
        <v>3</v>
      </c>
      <c r="G5" s="6">
        <f>H5/F5</f>
        <v>1041.3333333333333</v>
      </c>
      <c r="H5" s="6">
        <v>3124</v>
      </c>
      <c r="I5" s="10"/>
      <c r="J5" s="11"/>
    </row>
    <row r="6" spans="1:10" x14ac:dyDescent="0.25">
      <c r="B6" s="17" t="s">
        <v>60</v>
      </c>
      <c r="C6" s="17">
        <v>2070</v>
      </c>
      <c r="D6" s="17">
        <v>2800</v>
      </c>
      <c r="E6" s="17">
        <v>17</v>
      </c>
      <c r="F6" s="17">
        <f>ROUND(C6*D6/1000000,1)</f>
        <v>5.8</v>
      </c>
      <c r="G6" s="6">
        <f>H6/F6</f>
        <v>1227.7586206896551</v>
      </c>
      <c r="H6" s="17">
        <v>7121</v>
      </c>
      <c r="I6">
        <v>1350</v>
      </c>
      <c r="J6" s="11"/>
    </row>
    <row r="7" spans="1:10" x14ac:dyDescent="0.25">
      <c r="A7" s="85" t="s">
        <v>31</v>
      </c>
      <c r="B7" s="85"/>
      <c r="C7" s="85"/>
      <c r="D7" s="85"/>
      <c r="E7" s="85"/>
      <c r="F7" s="85"/>
      <c r="G7" s="85"/>
      <c r="H7" s="85"/>
      <c r="I7" s="86"/>
    </row>
    <row r="8" spans="1:10" x14ac:dyDescent="0.25">
      <c r="A8" s="6" t="s">
        <v>34</v>
      </c>
      <c r="B8" s="6"/>
      <c r="C8" s="6" t="s">
        <v>19</v>
      </c>
      <c r="D8" s="6" t="s">
        <v>20</v>
      </c>
      <c r="E8" s="6" t="s">
        <v>25</v>
      </c>
      <c r="F8" s="6" t="s">
        <v>26</v>
      </c>
      <c r="G8" s="6" t="s">
        <v>27</v>
      </c>
      <c r="H8" s="6" t="s">
        <v>24</v>
      </c>
      <c r="I8" s="6" t="s">
        <v>28</v>
      </c>
    </row>
    <row r="9" spans="1:10" x14ac:dyDescent="0.25">
      <c r="A9" s="6"/>
      <c r="B9" s="6" t="s">
        <v>9</v>
      </c>
      <c r="C9" s="6">
        <v>150</v>
      </c>
      <c r="D9" s="6">
        <v>3000</v>
      </c>
      <c r="E9" s="6">
        <v>25</v>
      </c>
      <c r="F9" s="6">
        <f>C9*D9*E9/1000000000</f>
        <v>1.125E-2</v>
      </c>
      <c r="G9" s="6">
        <v>15000</v>
      </c>
      <c r="H9" s="6">
        <f>G9*3/I9</f>
        <v>168.75</v>
      </c>
      <c r="I9" s="6">
        <f>(3000*1000*1000/1000000000)/F9</f>
        <v>266.66666666666669</v>
      </c>
    </row>
    <row r="10" spans="1:10" x14ac:dyDescent="0.25">
      <c r="A10" s="6"/>
      <c r="B10" s="6" t="s">
        <v>11</v>
      </c>
      <c r="C10" s="6">
        <v>150</v>
      </c>
      <c r="D10" s="6">
        <v>3000</v>
      </c>
      <c r="E10" s="6">
        <v>25</v>
      </c>
      <c r="F10" s="6">
        <f>C10*D10*E10/1000000000</f>
        <v>1.125E-2</v>
      </c>
      <c r="G10" s="6">
        <v>308000</v>
      </c>
      <c r="H10" s="6">
        <f>G10*3/I10</f>
        <v>3464.9999999999995</v>
      </c>
      <c r="I10" s="6">
        <f>(3000*1000*1000/1000000000)/F10</f>
        <v>266.66666666666669</v>
      </c>
    </row>
    <row r="11" spans="1:10" x14ac:dyDescent="0.25">
      <c r="C11" s="6">
        <v>300</v>
      </c>
      <c r="D11" s="6">
        <v>3000</v>
      </c>
      <c r="E11" s="6">
        <v>25</v>
      </c>
      <c r="F11" s="6">
        <f>C11*D11*E11/1000000000</f>
        <v>2.2499999999999999E-2</v>
      </c>
    </row>
    <row r="16" spans="1:10" x14ac:dyDescent="0.25">
      <c r="B16" s="9"/>
    </row>
    <row r="20" spans="2:2" x14ac:dyDescent="0.25">
      <c r="B20" s="9"/>
    </row>
    <row r="24" spans="2:2" x14ac:dyDescent="0.25">
      <c r="B24" s="9"/>
    </row>
  </sheetData>
  <mergeCells count="1">
    <mergeCell ref="A7:I7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11" sqref="A1:XFD1048576"/>
    </sheetView>
  </sheetViews>
  <sheetFormatPr defaultRowHeight="15" x14ac:dyDescent="0.25"/>
  <cols>
    <col min="1" max="1" width="13.5703125" customWidth="1"/>
    <col min="2" max="2" width="27.42578125" customWidth="1"/>
    <col min="3" max="3" width="32.28515625" customWidth="1"/>
  </cols>
  <sheetData>
    <row r="1" spans="1:3" x14ac:dyDescent="0.25">
      <c r="A1" s="12" t="s">
        <v>35</v>
      </c>
      <c r="B1" s="12" t="s">
        <v>36</v>
      </c>
      <c r="C1" s="13" t="s">
        <v>37</v>
      </c>
    </row>
    <row r="2" spans="1:3" x14ac:dyDescent="0.25">
      <c r="A2" s="6" t="s">
        <v>38</v>
      </c>
      <c r="B2" s="6">
        <v>0</v>
      </c>
      <c r="C2" s="6">
        <v>0</v>
      </c>
    </row>
    <row r="3" spans="1:3" x14ac:dyDescent="0.25">
      <c r="A3" s="6" t="s">
        <v>39</v>
      </c>
      <c r="B3" s="6">
        <v>1200</v>
      </c>
      <c r="C3" s="6">
        <v>0.25</v>
      </c>
    </row>
    <row r="4" spans="1:3" x14ac:dyDescent="0.25">
      <c r="A4" s="6" t="s">
        <v>40</v>
      </c>
      <c r="B4" s="6">
        <v>900</v>
      </c>
      <c r="C4" s="6">
        <v>0.25</v>
      </c>
    </row>
    <row r="5" spans="1:3" x14ac:dyDescent="0.25">
      <c r="A5" s="6" t="s">
        <v>41</v>
      </c>
      <c r="B5" s="6">
        <v>900</v>
      </c>
      <c r="C5" s="6">
        <v>0.25</v>
      </c>
    </row>
    <row r="6" spans="1:3" x14ac:dyDescent="0.25">
      <c r="A6" s="6" t="s">
        <v>42</v>
      </c>
      <c r="B6" s="6">
        <v>0</v>
      </c>
      <c r="C6" s="6">
        <v>0.25</v>
      </c>
    </row>
    <row r="7" spans="1:3" x14ac:dyDescent="0.25">
      <c r="A7" s="6" t="s">
        <v>43</v>
      </c>
      <c r="B7" s="6">
        <v>0</v>
      </c>
      <c r="C7" s="6">
        <v>0.25</v>
      </c>
    </row>
    <row r="8" spans="1:3" x14ac:dyDescent="0.25">
      <c r="A8" s="6" t="s">
        <v>44</v>
      </c>
      <c r="B8" s="6">
        <v>1200</v>
      </c>
      <c r="C8" s="6">
        <v>0.25</v>
      </c>
    </row>
    <row r="9" spans="1:3" x14ac:dyDescent="0.25">
      <c r="A9" s="7" t="s">
        <v>75</v>
      </c>
      <c r="B9" s="6">
        <v>1200</v>
      </c>
      <c r="C9" s="6">
        <v>0.25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8"/>
  <sheetViews>
    <sheetView topLeftCell="E40" workbookViewId="0">
      <selection activeCell="A62" sqref="A62:T68"/>
    </sheetView>
  </sheetViews>
  <sheetFormatPr defaultRowHeight="15" x14ac:dyDescent="0.25"/>
  <cols>
    <col min="1" max="1" width="25.140625" customWidth="1"/>
    <col min="2" max="2" width="14.42578125" customWidth="1"/>
    <col min="3" max="3" width="10.140625" customWidth="1"/>
    <col min="4" max="4" width="13.28515625" customWidth="1"/>
    <col min="5" max="5" width="18.28515625" customWidth="1"/>
    <col min="6" max="6" width="16.28515625" customWidth="1"/>
    <col min="7" max="7" width="13.85546875" customWidth="1"/>
    <col min="8" max="8" width="17.85546875" customWidth="1"/>
    <col min="9" max="9" width="18.42578125" customWidth="1"/>
    <col min="11" max="11" width="22" customWidth="1"/>
    <col min="12" max="12" width="17" customWidth="1"/>
    <col min="13" max="13" width="20.85546875" customWidth="1"/>
    <col min="14" max="14" width="18" customWidth="1"/>
    <col min="15" max="15" width="16.5703125" customWidth="1"/>
  </cols>
  <sheetData>
    <row r="1" spans="1:24" ht="32.25" customHeight="1" x14ac:dyDescent="0.25">
      <c r="A1" s="14" t="s">
        <v>45</v>
      </c>
      <c r="B1" s="87"/>
      <c r="C1" s="85"/>
      <c r="D1" s="85"/>
      <c r="E1" s="85"/>
      <c r="F1" s="85"/>
      <c r="G1" s="85"/>
      <c r="H1" s="85"/>
      <c r="I1" s="86"/>
      <c r="K1" s="87" t="s">
        <v>54</v>
      </c>
      <c r="L1" s="85"/>
      <c r="M1" s="85"/>
      <c r="N1" s="86"/>
    </row>
    <row r="2" spans="1:24" x14ac:dyDescent="0.25">
      <c r="A2" s="6" t="s">
        <v>20</v>
      </c>
      <c r="B2" s="6" t="s">
        <v>19</v>
      </c>
      <c r="C2" s="6" t="s">
        <v>21</v>
      </c>
      <c r="D2" s="6" t="s">
        <v>22</v>
      </c>
      <c r="E2" s="7" t="s">
        <v>49</v>
      </c>
      <c r="F2" s="6" t="s">
        <v>46</v>
      </c>
      <c r="G2" s="6" t="s">
        <v>35</v>
      </c>
      <c r="H2" s="6" t="s">
        <v>47</v>
      </c>
      <c r="I2" s="7" t="s">
        <v>48</v>
      </c>
      <c r="K2" s="15" t="s">
        <v>50</v>
      </c>
      <c r="L2" s="15" t="s">
        <v>53</v>
      </c>
      <c r="M2" s="15" t="s">
        <v>51</v>
      </c>
      <c r="N2" s="15" t="s">
        <v>52</v>
      </c>
    </row>
    <row r="3" spans="1:24" x14ac:dyDescent="0.25">
      <c r="A3" s="6">
        <v>1000</v>
      </c>
      <c r="B3" s="6">
        <v>500</v>
      </c>
      <c r="C3" s="6">
        <v>16</v>
      </c>
      <c r="D3" s="6">
        <f>A3*B3/1000000</f>
        <v>0.5</v>
      </c>
      <c r="E3" s="6" t="s">
        <v>12</v>
      </c>
      <c r="F3" s="6">
        <f>ROUND(K3+N3/Раскройка!$F$2,0)</f>
        <v>846</v>
      </c>
      <c r="G3" s="6" t="s">
        <v>39</v>
      </c>
      <c r="H3" s="6">
        <v>1</v>
      </c>
      <c r="I3" s="6">
        <f>D3*(0.25*(VLOOKUP(G3,Покрытия!$A$2:$B$8,2,FALSE)*H3)+F3)</f>
        <v>573</v>
      </c>
      <c r="K3" s="6">
        <f t="array" ref="K3">INDEX(Материалы!$C$2:$C$50,MATCH(E3&amp;C3,Материалы!$A$2:$A$50&amp;Материалы!$B$2:$B$50,0))</f>
        <v>646</v>
      </c>
      <c r="L3" s="6">
        <f>FLOOR(Раскройка!$D$2/A3,1)*FLOOR(Раскройка!$C$2/B3,1)</f>
        <v>8</v>
      </c>
      <c r="M3" s="6">
        <f>Раскройка!$F$2-D3*L3</f>
        <v>1.7999999999999998</v>
      </c>
      <c r="N3" s="6">
        <f>K3*M3</f>
        <v>1162.8</v>
      </c>
      <c r="O3" s="9"/>
    </row>
    <row r="5" spans="1:24" ht="37.5" customHeight="1" x14ac:dyDescent="0.25">
      <c r="A5" s="14" t="s">
        <v>55</v>
      </c>
      <c r="B5" s="87"/>
      <c r="C5" s="85"/>
      <c r="D5" s="85"/>
      <c r="E5" s="85"/>
      <c r="F5" s="85"/>
      <c r="G5" s="85"/>
      <c r="H5" s="85"/>
      <c r="I5" s="86"/>
      <c r="K5" s="87" t="s">
        <v>54</v>
      </c>
      <c r="L5" s="85"/>
      <c r="M5" s="85"/>
      <c r="N5" s="86"/>
    </row>
    <row r="6" spans="1:24" x14ac:dyDescent="0.25">
      <c r="A6" s="6" t="s">
        <v>20</v>
      </c>
      <c r="B6" s="6" t="s">
        <v>19</v>
      </c>
      <c r="C6" s="6" t="s">
        <v>21</v>
      </c>
      <c r="D6" s="6" t="s">
        <v>56</v>
      </c>
      <c r="E6" s="7" t="s">
        <v>49</v>
      </c>
      <c r="F6" s="6" t="s">
        <v>46</v>
      </c>
      <c r="G6" s="6" t="s">
        <v>35</v>
      </c>
      <c r="H6" s="6" t="s">
        <v>47</v>
      </c>
      <c r="I6" s="7" t="s">
        <v>48</v>
      </c>
      <c r="K6" s="15" t="s">
        <v>50</v>
      </c>
      <c r="L6" s="15" t="s">
        <v>53</v>
      </c>
      <c r="M6" s="15" t="s">
        <v>51</v>
      </c>
      <c r="N6" s="15" t="s">
        <v>52</v>
      </c>
    </row>
    <row r="7" spans="1:24" x14ac:dyDescent="0.25">
      <c r="A7" s="6">
        <v>1000</v>
      </c>
      <c r="B7" s="6">
        <v>50</v>
      </c>
      <c r="C7" s="6">
        <v>16</v>
      </c>
      <c r="D7" s="6">
        <f>A7*B7*C7/1000000000</f>
        <v>8.0000000000000004E-4</v>
      </c>
      <c r="E7" s="6" t="s">
        <v>9</v>
      </c>
      <c r="F7" s="6">
        <f>ROUND(K7+N7/Раскройка!$F$9,0)</f>
        <v>20400</v>
      </c>
      <c r="G7" s="6" t="s">
        <v>39</v>
      </c>
      <c r="H7" s="6">
        <v>1</v>
      </c>
      <c r="I7" s="6">
        <f>D7*(0.25*(VLOOKUP(G7,Покрытия!$A$2:$B$8,2,FALSE)*H7)+F7)</f>
        <v>16.560000000000002</v>
      </c>
      <c r="K7" s="6">
        <f t="array" ref="K7">INDEX(Материалы!$C$2:$C$50,MATCH(E7&amp;C7,Материалы!$A$2:$A$50&amp;Материалы!$B$2:$B$50,0))</f>
        <v>15000</v>
      </c>
      <c r="L7" s="6">
        <f>FLOOR(Раскройка!$D$9/A7,1)*FLOOR(Раскройка!$C$9/B7,1)</f>
        <v>9</v>
      </c>
      <c r="M7" s="6">
        <f>Раскройка!$F$9-D7*L7</f>
        <v>4.0499999999999989E-3</v>
      </c>
      <c r="N7" s="6">
        <f>K7*M7</f>
        <v>60.749999999999986</v>
      </c>
    </row>
    <row r="8" spans="1:24" ht="32.25" customHeight="1" x14ac:dyDescent="0.25">
      <c r="A8" s="6" t="s">
        <v>63</v>
      </c>
      <c r="B8" s="6" t="s">
        <v>71</v>
      </c>
      <c r="C8" s="6">
        <f>ROUND(SUM(N9:N14),0)</f>
        <v>2758</v>
      </c>
    </row>
    <row r="9" spans="1:24" x14ac:dyDescent="0.25">
      <c r="A9" s="6" t="s">
        <v>65</v>
      </c>
      <c r="B9" s="6">
        <v>1085</v>
      </c>
      <c r="C9" s="6">
        <v>600</v>
      </c>
      <c r="D9" s="6">
        <v>6</v>
      </c>
      <c r="E9" s="6">
        <f t="shared" ref="E9" si="0">B9*C9/1000000</f>
        <v>0.65100000000000002</v>
      </c>
      <c r="F9" s="6" t="s">
        <v>3</v>
      </c>
      <c r="G9" s="6">
        <f>ROUND(P9+S9/Раскройка!$F$2,0)</f>
        <v>138</v>
      </c>
      <c r="H9" s="6" t="s">
        <v>41</v>
      </c>
      <c r="I9" s="6">
        <v>0</v>
      </c>
      <c r="J9" s="6" t="s">
        <v>39</v>
      </c>
      <c r="K9" s="6">
        <v>0</v>
      </c>
      <c r="L9" s="6">
        <f>E9*(0.25*(VLOOKUP(H9,Покрытия!$A$2:$B$8,2,FALSE)*I9+VLOOKUP(J9,Покрытия!$A$2:$B$8,2,FALSE)*K9)+G9)</f>
        <v>89.838000000000008</v>
      </c>
      <c r="M9" s="6">
        <v>2</v>
      </c>
      <c r="N9" s="6">
        <f t="shared" ref="N9:N10" si="1">L9*M9</f>
        <v>179.67600000000002</v>
      </c>
      <c r="O9" s="9"/>
      <c r="P9" s="6">
        <f t="array" ref="P9">INDEX(Материалы!$C$2:$C$50,MATCH(F9&amp;D9,Материалы!$A$2:$A$50&amp;Материалы!$B$2:$B$50,0))</f>
        <v>104</v>
      </c>
      <c r="Q9" s="6">
        <f>FLOOR(Раскройка!$D$2/B9,1)*FLOOR(Раскройка!$C$2/C9,1)</f>
        <v>6</v>
      </c>
      <c r="R9" s="6">
        <f>MAX(Раскройка!$F$2-E9*Q9,0)</f>
        <v>1.8939999999999997</v>
      </c>
      <c r="S9" s="6">
        <f t="shared" ref="S9:S10" si="2">P9*R9</f>
        <v>196.97599999999997</v>
      </c>
      <c r="T9" s="9"/>
      <c r="U9" s="9"/>
      <c r="V9" s="9"/>
      <c r="W9" s="9"/>
      <c r="X9" s="9"/>
    </row>
    <row r="10" spans="1:24" x14ac:dyDescent="0.25">
      <c r="A10" s="6" t="s">
        <v>64</v>
      </c>
      <c r="B10" s="6">
        <v>18</v>
      </c>
      <c r="C10" s="6">
        <v>18</v>
      </c>
      <c r="D10" s="6">
        <v>18</v>
      </c>
      <c r="E10" s="6">
        <f t="shared" ref="E10" si="3">B10*C10*D10/1000000000</f>
        <v>5.8320000000000002E-6</v>
      </c>
      <c r="F10" s="6" t="s">
        <v>9</v>
      </c>
      <c r="G10" s="6">
        <f>ROUND(P10+S10/[1]Раскройка!$F$8,0)</f>
        <v>19673</v>
      </c>
      <c r="H10" s="6" t="s">
        <v>39</v>
      </c>
      <c r="I10" s="6">
        <v>0</v>
      </c>
      <c r="J10" s="6" t="s">
        <v>39</v>
      </c>
      <c r="K10" s="6">
        <v>0</v>
      </c>
      <c r="L10" s="6">
        <f>E10*(0.25*(VLOOKUP(H10,[1]Покрытия!$A$2:$B$8,2,FALSE)*I10+VLOOKUP(J10,[1]Покрытия!$A$2:$B$8,2,FALSE)*K10+G10))</f>
        <v>2.8683234000000002E-2</v>
      </c>
      <c r="M10" s="6">
        <f>B15*C15</f>
        <v>1680</v>
      </c>
      <c r="N10" s="6">
        <f t="shared" si="1"/>
        <v>48.187833120000001</v>
      </c>
      <c r="O10" s="9"/>
      <c r="P10" s="6">
        <f t="array" ref="P10">INDEX([1]Материалы!$C$2:$C$50,MATCH(F10,[1]Материалы!$A$2:$A$50,0))</f>
        <v>15000</v>
      </c>
      <c r="Q10" s="6">
        <f>FLOOR([1]Раскройка!$D$9/B10,1)*FLOOR([1]Раскройка!$C$9/C10,1)</f>
        <v>1328</v>
      </c>
      <c r="R10" s="6">
        <f>MAX([1]Раскройка!$F$9-E10*Q10,0)</f>
        <v>3.5051039999999993E-3</v>
      </c>
      <c r="S10" s="6">
        <f t="shared" si="2"/>
        <v>52.576559999999994</v>
      </c>
      <c r="T10" s="16"/>
      <c r="U10" s="16"/>
      <c r="V10" s="16"/>
      <c r="W10" s="16"/>
      <c r="X10" s="16"/>
    </row>
    <row r="11" spans="1:24" x14ac:dyDescent="0.25">
      <c r="A11" s="6" t="s">
        <v>66</v>
      </c>
      <c r="B11" s="6">
        <f>B9</f>
        <v>1085</v>
      </c>
      <c r="C11" s="6">
        <v>60</v>
      </c>
      <c r="D11" s="6">
        <v>18</v>
      </c>
      <c r="E11" s="6">
        <f t="shared" ref="E11" si="4">B11*C11/1000000</f>
        <v>6.5100000000000005E-2</v>
      </c>
      <c r="F11" s="6" t="s">
        <v>3</v>
      </c>
      <c r="G11" s="6">
        <f>ROUND(P11+S11/Раскройка!$F$2,0)</f>
        <v>482</v>
      </c>
      <c r="H11" s="6" t="s">
        <v>41</v>
      </c>
      <c r="I11" s="6">
        <v>0</v>
      </c>
      <c r="J11" s="6" t="s">
        <v>39</v>
      </c>
      <c r="K11" s="6">
        <v>0</v>
      </c>
      <c r="L11" s="6">
        <f>E11*(0.25*(VLOOKUP(H11,Покрытия!$A$2:$B$8,2,FALSE)*I11+VLOOKUP(J11,Покрытия!$A$2:$B$8,2,FALSE)*K11)+G11)</f>
        <v>31.378200000000003</v>
      </c>
      <c r="M11" s="6">
        <v>2</v>
      </c>
      <c r="N11" s="6">
        <f t="shared" ref="N11" si="5">L11*M11</f>
        <v>62.756400000000006</v>
      </c>
      <c r="O11" s="9"/>
      <c r="P11" s="6">
        <f t="array" ref="P11">INDEX(Материалы!$C$2:$C$50,MATCH(F11&amp;D11,Материалы!$A$2:$A$50&amp;Материалы!$B$2:$B$50,0))</f>
        <v>390</v>
      </c>
      <c r="Q11" s="6">
        <f>FLOOR(Раскройка!$D$2/B11,1)*FLOOR(Раскройка!$C$2/C11,1)</f>
        <v>68</v>
      </c>
      <c r="R11" s="6">
        <f>MAX(Раскройка!$F$2-E11*Q11,0)</f>
        <v>1.3731999999999998</v>
      </c>
      <c r="S11" s="6">
        <f t="shared" ref="S11" si="6">P11*R11</f>
        <v>535.54799999999989</v>
      </c>
      <c r="T11" s="9"/>
      <c r="U11" s="9"/>
      <c r="V11" s="9"/>
      <c r="W11" s="9"/>
    </row>
    <row r="12" spans="1:24" x14ac:dyDescent="0.25">
      <c r="A12" s="6" t="s">
        <v>67</v>
      </c>
      <c r="B12" s="6">
        <v>600</v>
      </c>
      <c r="C12" s="6">
        <v>60</v>
      </c>
      <c r="D12" s="6">
        <v>18</v>
      </c>
      <c r="E12" s="6">
        <f t="shared" ref="E12" si="7">B12*C12/1000000</f>
        <v>3.5999999999999997E-2</v>
      </c>
      <c r="F12" s="6" t="s">
        <v>3</v>
      </c>
      <c r="G12" s="6">
        <f>ROUND(P12+S12/Раскройка!$F$2,0)</f>
        <v>451</v>
      </c>
      <c r="H12" s="6" t="s">
        <v>41</v>
      </c>
      <c r="I12" s="6">
        <v>0</v>
      </c>
      <c r="J12" s="6" t="s">
        <v>39</v>
      </c>
      <c r="K12" s="6">
        <v>0</v>
      </c>
      <c r="L12" s="6">
        <f>E12*(0.25*(VLOOKUP(H12,Покрытия!$A$2:$B$8,2,FALSE)*I12+VLOOKUP(J12,Покрытия!$A$2:$B$8,2,FALSE)*K12)+G12)</f>
        <v>16.235999999999997</v>
      </c>
      <c r="M12" s="6">
        <v>2</v>
      </c>
      <c r="N12" s="6">
        <f t="shared" ref="N12:N13" si="8">L12*M12</f>
        <v>32.471999999999994</v>
      </c>
      <c r="O12" s="9"/>
      <c r="P12" s="6">
        <f t="array" ref="P12">INDEX(Материалы!$C$2:$C$50,MATCH(F12&amp;D12,Материалы!$A$2:$A$50&amp;Материалы!$B$2:$B$50,0))</f>
        <v>390</v>
      </c>
      <c r="Q12" s="6">
        <f>FLOOR(Раскройка!$D$2/B12,1)*FLOOR(Раскройка!$C$2/C12,1)</f>
        <v>136</v>
      </c>
      <c r="R12" s="6">
        <f>MAX(Раскройка!$F$2-E12*Q12,0)</f>
        <v>0.90399999999999991</v>
      </c>
      <c r="S12" s="6">
        <f t="shared" ref="S12:S13" si="9">P12*R12</f>
        <v>352.55999999999995</v>
      </c>
      <c r="T12" s="9"/>
      <c r="U12" s="9"/>
      <c r="V12" s="9"/>
    </row>
    <row r="13" spans="1:24" x14ac:dyDescent="0.25">
      <c r="A13" s="6" t="s">
        <v>68</v>
      </c>
      <c r="B13" s="6">
        <f>B9</f>
        <v>1085</v>
      </c>
      <c r="C13" s="6">
        <v>10</v>
      </c>
      <c r="D13" s="6">
        <v>30</v>
      </c>
      <c r="E13" s="6">
        <f t="shared" ref="E13" si="10">B13*C13*D13/1000000000</f>
        <v>3.255E-4</v>
      </c>
      <c r="F13" s="6" t="s">
        <v>16</v>
      </c>
      <c r="G13" s="6">
        <f>ROUND(P13+S13/[1]Раскройка!$F$8,0)</f>
        <v>51506</v>
      </c>
      <c r="H13" s="6" t="s">
        <v>39</v>
      </c>
      <c r="I13" s="6">
        <v>0</v>
      </c>
      <c r="J13" s="6" t="s">
        <v>39</v>
      </c>
      <c r="K13" s="6">
        <v>0</v>
      </c>
      <c r="L13" s="6">
        <f>E13*(0.25*(VLOOKUP(H13,[1]Покрытия!$A$2:$B$8,2,FALSE)*I13+VLOOKUP(J13,[1]Покрытия!$A$2:$B$8,2,FALSE)*K13+G13))</f>
        <v>4.1913007499999999</v>
      </c>
      <c r="M13" s="6">
        <v>1</v>
      </c>
      <c r="N13" s="6">
        <f t="shared" si="8"/>
        <v>4.1913007499999999</v>
      </c>
      <c r="O13" s="9"/>
      <c r="P13" s="6">
        <f t="array" ref="P13">INDEX([1]Материалы!$C$2:$C$50,MATCH(F13,[1]Материалы!$A$2:$A$50,0))</f>
        <v>45500</v>
      </c>
      <c r="Q13" s="6">
        <f>FLOOR([1]Раскройка!$D$9/B13,1)*FLOOR([1]Раскройка!$C$9/C13,1)</f>
        <v>30</v>
      </c>
      <c r="R13" s="6">
        <f>MAX([1]Раскройка!$F$9-E13*Q13,0)</f>
        <v>1.4850000000000002E-3</v>
      </c>
      <c r="S13" s="6">
        <f t="shared" si="9"/>
        <v>67.56750000000001</v>
      </c>
      <c r="T13" s="16"/>
      <c r="U13" s="16"/>
      <c r="V13" s="16"/>
      <c r="W13" s="16"/>
    </row>
    <row r="14" spans="1:24" x14ac:dyDescent="0.25">
      <c r="A14" s="6" t="s">
        <v>69</v>
      </c>
      <c r="B14" s="6">
        <f>B9</f>
        <v>1085</v>
      </c>
      <c r="C14" s="6">
        <v>600</v>
      </c>
      <c r="D14" s="6">
        <v>0.6</v>
      </c>
      <c r="E14" s="6">
        <f t="shared" ref="E14" si="11">B14*C14/1000000</f>
        <v>0.65100000000000002</v>
      </c>
      <c r="F14" s="6" t="s">
        <v>7</v>
      </c>
      <c r="G14" s="6">
        <f>ROUND(P14+S14/Раскройка!$F$2,0)</f>
        <v>367</v>
      </c>
      <c r="H14" s="6" t="s">
        <v>75</v>
      </c>
      <c r="I14" s="6">
        <v>2</v>
      </c>
      <c r="J14" s="6" t="s">
        <v>44</v>
      </c>
      <c r="K14" s="6">
        <v>3</v>
      </c>
      <c r="L14" s="6">
        <f>E14*(0.25*(VLOOKUP(H14,Покрытия!$A$2:$B$50,2,FALSE)*I14+VLOOKUP(J14,Покрытия!$A$2:$B$50,2,FALSE)*K14)+G14)</f>
        <v>1215.4170000000001</v>
      </c>
      <c r="M14" s="6">
        <v>2</v>
      </c>
      <c r="N14" s="6">
        <f t="shared" ref="N14" si="12">L14*M14</f>
        <v>2430.8340000000003</v>
      </c>
      <c r="O14" s="9"/>
      <c r="P14" s="6">
        <f t="array" ref="P14">INDEX(Материалы!$C$2:$C$50,MATCH(F14&amp;D14,Материалы!$A$2:$A$50&amp;Материалы!$B$2:$B$50,0))</f>
        <v>277</v>
      </c>
      <c r="Q14" s="6">
        <f>FLOOR(Раскройка!$D$2/B14,1)*FLOOR(Раскройка!$C$2/C14,1)</f>
        <v>6</v>
      </c>
      <c r="R14" s="6">
        <f>MAX(Раскройка!$F$2-E14*Q14,0)</f>
        <v>1.8939999999999997</v>
      </c>
      <c r="S14" s="6">
        <f t="shared" ref="S14" si="13">P14*R14</f>
        <v>524.63799999999992</v>
      </c>
    </row>
    <row r="15" spans="1:24" x14ac:dyDescent="0.25">
      <c r="A15" s="7" t="s">
        <v>70</v>
      </c>
      <c r="B15" s="6">
        <f>FLOOR((B9-C12)/B10,1)</f>
        <v>56</v>
      </c>
      <c r="C15" s="6">
        <f>FLOOR((C9-C11)/C10,1)</f>
        <v>30</v>
      </c>
    </row>
    <row r="16" spans="1:24" ht="30.75" customHeight="1" x14ac:dyDescent="0.25">
      <c r="A16" s="7" t="s">
        <v>72</v>
      </c>
      <c r="B16" s="6" t="s">
        <v>74</v>
      </c>
      <c r="C16" s="6">
        <f>ROUND(SUM(N17:N22),0)</f>
        <v>800</v>
      </c>
    </row>
    <row r="17" spans="1:21" x14ac:dyDescent="0.25">
      <c r="A17" s="6" t="s">
        <v>73</v>
      </c>
      <c r="B17" s="6">
        <v>125</v>
      </c>
      <c r="C17" s="6">
        <v>391</v>
      </c>
      <c r="D17" s="6">
        <v>6</v>
      </c>
      <c r="E17" s="6">
        <f t="shared" ref="E17" si="14">B17*C17/1000000</f>
        <v>4.8875000000000002E-2</v>
      </c>
      <c r="F17" s="6" t="s">
        <v>3</v>
      </c>
      <c r="G17" s="6">
        <f>ROUND(P17+S17/Раскройка!$F$2,0)</f>
        <v>112</v>
      </c>
      <c r="H17" s="6" t="s">
        <v>41</v>
      </c>
      <c r="I17" s="6">
        <v>0</v>
      </c>
      <c r="J17" s="6" t="s">
        <v>38</v>
      </c>
      <c r="K17" s="6">
        <v>0</v>
      </c>
      <c r="L17" s="6">
        <f>E17*(0.25*(VLOOKUP(H17,Покрытия!$A$2:$B$8,2,FALSE)*I17+VLOOKUP(J17,Покрытия!$A$2:$B$8,2,FALSE)*K17)+G17)</f>
        <v>5.4740000000000002</v>
      </c>
      <c r="M17" s="6">
        <v>0</v>
      </c>
      <c r="N17" s="6">
        <f t="shared" ref="N17:N19" si="15">L17*M17</f>
        <v>0</v>
      </c>
      <c r="O17" s="9"/>
      <c r="P17" s="6">
        <f t="array" ref="P17">INDEX(Материалы!$C$2:$C$50,MATCH(F17&amp;D17,Материалы!$A$2:$A$50&amp;Материалы!$B$2:$B$50,0))</f>
        <v>104</v>
      </c>
      <c r="Q17" s="6">
        <f>FLOOR(Раскройка!$D$2/B17,1)*FLOOR(Раскройка!$C$2/C17,1)</f>
        <v>110</v>
      </c>
      <c r="R17" s="6">
        <f>MAX(Раскройка!$F$2-E17*Q17,0)</f>
        <v>0.42374999999999918</v>
      </c>
      <c r="S17" s="6">
        <f t="shared" ref="S17:S19" si="16">P17*R17</f>
        <v>44.069999999999915</v>
      </c>
      <c r="T17" s="9"/>
      <c r="U17" s="9"/>
    </row>
    <row r="18" spans="1:21" x14ac:dyDescent="0.25">
      <c r="A18" s="6" t="s">
        <v>73</v>
      </c>
      <c r="B18" s="6">
        <v>125</v>
      </c>
      <c r="C18" s="6">
        <v>391</v>
      </c>
      <c r="D18" s="6">
        <v>20</v>
      </c>
      <c r="E18" s="6">
        <f t="shared" ref="E18" si="17">B18*C18*D18/1000000000</f>
        <v>9.7750000000000007E-4</v>
      </c>
      <c r="F18" s="6" t="s">
        <v>16</v>
      </c>
      <c r="G18" s="6">
        <f>ROUND(P18+S18/Раскройка!$F$11,0)</f>
        <v>63326</v>
      </c>
      <c r="H18" s="6" t="s">
        <v>39</v>
      </c>
      <c r="I18" s="6">
        <v>0</v>
      </c>
      <c r="J18" s="6" t="s">
        <v>38</v>
      </c>
      <c r="K18" s="6">
        <v>0</v>
      </c>
      <c r="L18" s="18">
        <f>E18*(0.25*(VLOOKUP(H18,Покрытия!$A$2:$B$50,2,FALSE)*K18+G18))</f>
        <v>15.475291250000001</v>
      </c>
      <c r="M18" s="6">
        <v>1</v>
      </c>
      <c r="N18" s="6">
        <f t="shared" si="15"/>
        <v>15.475291250000001</v>
      </c>
      <c r="O18" s="9"/>
      <c r="P18" s="6">
        <f t="array" ref="P18">INDEX([1]Материалы!$C$2:$C$50,MATCH(F18,[1]Материалы!$A$2:$A$50,0))</f>
        <v>45500</v>
      </c>
      <c r="Q18" s="6">
        <f>FLOOR(Раскройка!$C$11/B18,1)*FLOOR(Раскройка!$D$11/C18,1)</f>
        <v>14</v>
      </c>
      <c r="R18" s="6">
        <f>MAX(Раскройка!$F$11-E18*Q18,0)</f>
        <v>8.8149999999999982E-3</v>
      </c>
      <c r="S18" s="6">
        <f t="shared" si="16"/>
        <v>401.08249999999992</v>
      </c>
      <c r="T18" s="16"/>
      <c r="U18" s="16"/>
    </row>
    <row r="19" spans="1:21" x14ac:dyDescent="0.25">
      <c r="A19" s="6" t="s">
        <v>69</v>
      </c>
      <c r="B19" s="6">
        <v>125</v>
      </c>
      <c r="C19" s="6">
        <v>391</v>
      </c>
      <c r="D19" s="6">
        <v>0.6</v>
      </c>
      <c r="E19" s="6">
        <f t="shared" ref="E19" si="18">B19*C19/1000000</f>
        <v>4.8875000000000002E-2</v>
      </c>
      <c r="F19" s="6" t="s">
        <v>7</v>
      </c>
      <c r="G19" s="6">
        <f>ROUND(P19+S19/Раскройка!$F$2,0)</f>
        <v>297</v>
      </c>
      <c r="H19" s="6" t="s">
        <v>75</v>
      </c>
      <c r="I19" s="6">
        <v>2</v>
      </c>
      <c r="J19" s="6" t="s">
        <v>44</v>
      </c>
      <c r="K19" s="6">
        <v>3</v>
      </c>
      <c r="L19" s="6">
        <f>E19*(0.25*(VLOOKUP(H19,Покрытия!$A$2:$B$50,2,FALSE)*I19+VLOOKUP(J19,Покрытия!$A$2:$B$50,2,FALSE)*K19)+G19)</f>
        <v>87.828375000000008</v>
      </c>
      <c r="M19" s="6">
        <v>2</v>
      </c>
      <c r="N19" s="6">
        <f t="shared" si="15"/>
        <v>175.65675000000002</v>
      </c>
      <c r="O19" s="9"/>
      <c r="P19" s="6">
        <f t="array" ref="P19">INDEX(Материалы!$C$2:$C$50,MATCH(F19&amp;D19,Материалы!$A$2:$A$50&amp;Материалы!$B$2:$B$50,0))</f>
        <v>277</v>
      </c>
      <c r="Q19" s="6">
        <f>FLOOR(Раскройка!$D$2/B19,1)*FLOOR(Раскройка!$C$2/C19,1)</f>
        <v>110</v>
      </c>
      <c r="R19" s="6">
        <f>MAX(Раскройка!$F$2-E19*Q19,0)</f>
        <v>0.42374999999999918</v>
      </c>
      <c r="S19" s="6">
        <f t="shared" si="16"/>
        <v>117.37874999999977</v>
      </c>
    </row>
    <row r="20" spans="1:21" ht="57" customHeight="1" x14ac:dyDescent="0.25">
      <c r="A20" s="6" t="s">
        <v>76</v>
      </c>
      <c r="B20" s="6" t="s">
        <v>71</v>
      </c>
      <c r="C20" s="6">
        <f>ROUND(SUM(N21:N26),0)</f>
        <v>661</v>
      </c>
    </row>
    <row r="21" spans="1:21" x14ac:dyDescent="0.25">
      <c r="A21" s="6" t="s">
        <v>65</v>
      </c>
      <c r="B21" s="6">
        <v>405</v>
      </c>
      <c r="C21" s="6">
        <v>510</v>
      </c>
      <c r="D21" s="6">
        <v>6</v>
      </c>
      <c r="E21" s="6">
        <f t="shared" ref="E21" si="19">B21*C21/1000000</f>
        <v>0.20655000000000001</v>
      </c>
      <c r="F21" s="6" t="s">
        <v>3</v>
      </c>
      <c r="G21" s="6">
        <f>ROUND(P21+S21/Раскройка!$F$2,0)</f>
        <v>119</v>
      </c>
      <c r="H21" s="6" t="s">
        <v>41</v>
      </c>
      <c r="I21" s="6">
        <v>2</v>
      </c>
      <c r="J21" s="6" t="s">
        <v>39</v>
      </c>
      <c r="K21" s="6">
        <v>3</v>
      </c>
      <c r="L21" s="6">
        <f>E21*(0.25*(VLOOKUP(H21,Покрытия!$A$2:$B$8,2,FALSE)*I21+VLOOKUP(J21,Покрытия!$A$2:$B$8,2,FALSE)*K21)+G21)</f>
        <v>303.42195000000004</v>
      </c>
      <c r="M21" s="6">
        <v>2</v>
      </c>
      <c r="N21" s="6">
        <f t="shared" ref="N21:N26" si="20">L21*M21</f>
        <v>606.84390000000008</v>
      </c>
      <c r="O21" s="9"/>
      <c r="P21" s="6">
        <f t="array" ref="P21">INDEX(Материалы!$C$2:$C$50,MATCH(F21&amp;D21,Материалы!$A$2:$A$50&amp;Материалы!$B$2:$B$50,0))</f>
        <v>104</v>
      </c>
      <c r="Q21" s="6">
        <f>FLOOR(Раскройка!$D$2/B21,1)*FLOOR(Раскройка!$C$2/C21,1)</f>
        <v>24</v>
      </c>
      <c r="R21" s="6">
        <f>MAX(Раскройка!$F$2-E21*Q21,0)</f>
        <v>0.84279999999999955</v>
      </c>
      <c r="S21" s="6">
        <f t="shared" ref="S21:S26" si="21">P21*R21</f>
        <v>87.65119999999996</v>
      </c>
    </row>
    <row r="22" spans="1:21" x14ac:dyDescent="0.25">
      <c r="A22" s="6" t="s">
        <v>64</v>
      </c>
      <c r="B22" s="6">
        <v>18</v>
      </c>
      <c r="C22" s="6">
        <v>18</v>
      </c>
      <c r="D22" s="6">
        <v>18</v>
      </c>
      <c r="E22" s="6">
        <f t="shared" ref="E22" si="22">B22*C22*D22/1000000000</f>
        <v>5.8320000000000002E-6</v>
      </c>
      <c r="F22" s="6" t="s">
        <v>9</v>
      </c>
      <c r="G22" s="6">
        <f>ROUND(P22+S22/[1]Раскройка!$F$8,0)</f>
        <v>19673</v>
      </c>
      <c r="H22" s="6" t="s">
        <v>39</v>
      </c>
      <c r="I22" s="6">
        <v>0</v>
      </c>
      <c r="J22" s="6" t="s">
        <v>39</v>
      </c>
      <c r="K22" s="6">
        <v>0</v>
      </c>
      <c r="L22" s="6">
        <f>E22*(0.25*(VLOOKUP(H22,[1]Покрытия!$A$2:$B$8,2,FALSE)*I22+VLOOKUP(J22,[1]Покрытия!$A$2:$B$8,2,FALSE)*K22+G22))</f>
        <v>2.8683234000000002E-2</v>
      </c>
      <c r="M22" s="6">
        <f>B27*C27</f>
        <v>63</v>
      </c>
      <c r="N22" s="6">
        <f t="shared" si="20"/>
        <v>1.8070437420000001</v>
      </c>
      <c r="O22" s="9"/>
      <c r="P22" s="6">
        <f t="array" ref="P22">INDEX([1]Материалы!$C$2:$C$50,MATCH(F22,[1]Материалы!$A$2:$A$50,0))</f>
        <v>15000</v>
      </c>
      <c r="Q22" s="6">
        <f>FLOOR([1]Раскройка!$D$9/B22,1)*FLOOR([1]Раскройка!$C$9/C22,1)</f>
        <v>1328</v>
      </c>
      <c r="R22" s="6">
        <f>MAX([1]Раскройка!$F$9-E22*Q22,0)</f>
        <v>3.5051039999999993E-3</v>
      </c>
      <c r="S22" s="6">
        <f t="shared" si="21"/>
        <v>52.576559999999994</v>
      </c>
    </row>
    <row r="23" spans="1:21" x14ac:dyDescent="0.25">
      <c r="A23" s="6" t="s">
        <v>66</v>
      </c>
      <c r="B23" s="6">
        <v>510</v>
      </c>
      <c r="C23" s="6">
        <v>50</v>
      </c>
      <c r="D23" s="6">
        <v>10</v>
      </c>
      <c r="E23" s="6">
        <f t="shared" ref="E23:E24" si="23">B23*C23/1000000</f>
        <v>2.5499999999999998E-2</v>
      </c>
      <c r="F23" s="6" t="s">
        <v>3</v>
      </c>
      <c r="G23" s="6">
        <f>ROUND(P23+S23/Раскройка!$F$2,0)</f>
        <v>188</v>
      </c>
      <c r="H23" s="6" t="s">
        <v>41</v>
      </c>
      <c r="I23" s="6">
        <v>0</v>
      </c>
      <c r="J23" s="6" t="s">
        <v>39</v>
      </c>
      <c r="K23" s="6">
        <v>0</v>
      </c>
      <c r="L23" s="6">
        <f>E23*(0.25*(VLOOKUP(H23,Покрытия!$A$2:$B$8,2,FALSE)*I23+VLOOKUP(J23,Покрытия!$A$2:$B$8,2,FALSE)*K23)+G23)</f>
        <v>4.7939999999999996</v>
      </c>
      <c r="M23" s="6">
        <v>6</v>
      </c>
      <c r="N23" s="6">
        <f t="shared" si="20"/>
        <v>28.763999999999996</v>
      </c>
      <c r="O23" s="9"/>
      <c r="P23" s="6">
        <f t="array" ref="P23">INDEX(Материалы!$C$2:$C$50,MATCH(F23&amp;D23,Материалы!$A$2:$A$50&amp;Материалы!$B$2:$B$50,0))</f>
        <v>171</v>
      </c>
      <c r="Q23" s="6">
        <f>FLOOR(Раскройка!$D$2/B23,1)*FLOOR(Раскройка!$C$2/C23,1)</f>
        <v>205</v>
      </c>
      <c r="R23" s="6">
        <f>MAX(Раскройка!$F$2-E23*Q23,0)</f>
        <v>0.57249999999999979</v>
      </c>
      <c r="S23" s="6">
        <f t="shared" si="21"/>
        <v>97.897499999999965</v>
      </c>
    </row>
    <row r="24" spans="1:21" x14ac:dyDescent="0.25">
      <c r="A24" s="6" t="s">
        <v>67</v>
      </c>
      <c r="B24" s="6">
        <v>405</v>
      </c>
      <c r="C24" s="6">
        <v>50</v>
      </c>
      <c r="D24" s="6">
        <v>10</v>
      </c>
      <c r="E24" s="6">
        <f t="shared" si="23"/>
        <v>2.0250000000000001E-2</v>
      </c>
      <c r="F24" s="6" t="s">
        <v>3</v>
      </c>
      <c r="G24" s="6">
        <f>ROUND(P24+S24/Раскройка!$F$2,0)</f>
        <v>195</v>
      </c>
      <c r="H24" s="6" t="s">
        <v>41</v>
      </c>
      <c r="I24" s="6">
        <v>0</v>
      </c>
      <c r="J24" s="6" t="s">
        <v>39</v>
      </c>
      <c r="K24" s="6">
        <v>0</v>
      </c>
      <c r="L24" s="6">
        <f>E24*(0.25*(VLOOKUP(H24,Покрытия!$A$2:$B$8,2,FALSE)*I24+VLOOKUP(J24,Покрытия!$A$2:$B$8,2,FALSE)*K24)+G24)</f>
        <v>3.94875</v>
      </c>
      <c r="M24" s="6">
        <v>6</v>
      </c>
      <c r="N24" s="6">
        <f t="shared" si="20"/>
        <v>23.692499999999999</v>
      </c>
      <c r="O24" s="9"/>
      <c r="P24" s="6">
        <f t="array" ref="P24">INDEX(Материалы!$C$2:$C$50,MATCH(F24&amp;D24,Материалы!$A$2:$A$50&amp;Материалы!$B$2:$B$50,0))</f>
        <v>171</v>
      </c>
      <c r="Q24" s="6">
        <f>FLOOR(Раскройка!$D$2/B24,1)*FLOOR(Раскройка!$C$2/C24,1)</f>
        <v>246</v>
      </c>
      <c r="R24" s="6">
        <f>MAX(Раскройка!$F$2-E24*Q24,0)</f>
        <v>0.81849999999999934</v>
      </c>
      <c r="S24" s="6">
        <f t="shared" si="21"/>
        <v>139.9634999999999</v>
      </c>
    </row>
    <row r="25" spans="1:21" x14ac:dyDescent="0.25">
      <c r="A25" s="6" t="s">
        <v>68</v>
      </c>
      <c r="B25" s="6">
        <f>B21</f>
        <v>405</v>
      </c>
      <c r="C25" s="6">
        <v>10</v>
      </c>
      <c r="D25" s="6">
        <v>30</v>
      </c>
      <c r="E25" s="6">
        <f t="shared" ref="E25" si="24">B25*C25*D25/1000000000</f>
        <v>1.215E-4</v>
      </c>
      <c r="F25" s="6" t="s">
        <v>9</v>
      </c>
      <c r="G25" s="6">
        <f>ROUND(P25+S25/[1]Раскройка!$F$8,0)</f>
        <v>15000</v>
      </c>
      <c r="H25" s="6" t="s">
        <v>39</v>
      </c>
      <c r="I25" s="6">
        <v>0</v>
      </c>
      <c r="J25" s="6" t="s">
        <v>39</v>
      </c>
      <c r="K25" s="6">
        <v>0</v>
      </c>
      <c r="L25" s="6">
        <f>E25*(0.25*(VLOOKUP(H25,[1]Покрытия!$A$2:$B$8,2,FALSE)*I25+VLOOKUP(J25,[1]Покрытия!$A$2:$B$8,2,FALSE)*K25+G25))</f>
        <v>0.455625</v>
      </c>
      <c r="M25" s="6">
        <v>0</v>
      </c>
      <c r="N25" s="6">
        <f t="shared" si="20"/>
        <v>0</v>
      </c>
      <c r="O25" s="9"/>
      <c r="P25" s="6">
        <f t="array" ref="P25">INDEX([1]Материалы!$C$2:$C$50,MATCH(F25,[1]Материалы!$A$2:$A$50,0))</f>
        <v>15000</v>
      </c>
      <c r="Q25" s="6">
        <f>FLOOR([1]Раскройка!$D$9/B25,1)*FLOOR([1]Раскройка!$C$9/C25,1)</f>
        <v>105</v>
      </c>
      <c r="R25" s="6">
        <f>MAX([1]Раскройка!$F$9-E25*Q25,0)</f>
        <v>0</v>
      </c>
      <c r="S25" s="6">
        <f t="shared" si="21"/>
        <v>0</v>
      </c>
    </row>
    <row r="26" spans="1:21" x14ac:dyDescent="0.25">
      <c r="A26" s="6" t="s">
        <v>69</v>
      </c>
      <c r="B26" s="6">
        <f>B21</f>
        <v>405</v>
      </c>
      <c r="C26" s="6">
        <v>630</v>
      </c>
      <c r="D26" s="6">
        <v>0.6</v>
      </c>
      <c r="E26" s="6">
        <f t="shared" ref="E26" si="25">B26*C26/1000000</f>
        <v>0.25514999999999999</v>
      </c>
      <c r="F26" s="6" t="s">
        <v>7</v>
      </c>
      <c r="G26" s="6">
        <f>ROUND(P26+S26/Раскройка!$F$2,0)</f>
        <v>335</v>
      </c>
      <c r="H26" s="6" t="s">
        <v>75</v>
      </c>
      <c r="I26" s="6">
        <v>0</v>
      </c>
      <c r="J26" s="6" t="s">
        <v>44</v>
      </c>
      <c r="K26" s="6">
        <v>0</v>
      </c>
      <c r="L26" s="6">
        <f>E26*(0.25*(VLOOKUP(H26,Покрытия!$A$2:$B$50,2,FALSE)*I26+VLOOKUP(J26,Покрытия!$A$2:$B$50,2,FALSE)*K26)+G26)</f>
        <v>85.475250000000003</v>
      </c>
      <c r="M26" s="6">
        <v>0</v>
      </c>
      <c r="N26" s="6">
        <f t="shared" si="20"/>
        <v>0</v>
      </c>
      <c r="O26" s="9"/>
      <c r="P26" s="6">
        <f t="array" ref="P26">INDEX(Материалы!$C$2:$C$50,MATCH(F26&amp;D26,Материалы!$A$2:$A$50&amp;Материалы!$B$2:$B$50,0))</f>
        <v>277</v>
      </c>
      <c r="Q26" s="6">
        <f>FLOOR(Раскройка!$D$2/B26,1)*FLOOR(Раскройка!$C$2/C26,1)</f>
        <v>18</v>
      </c>
      <c r="R26" s="6">
        <f>MAX(Раскройка!$F$2-E26*Q26,0)</f>
        <v>1.2073</v>
      </c>
      <c r="S26" s="6">
        <f t="shared" si="21"/>
        <v>334.4221</v>
      </c>
    </row>
    <row r="27" spans="1:21" x14ac:dyDescent="0.25">
      <c r="A27" s="7" t="s">
        <v>70</v>
      </c>
      <c r="B27" s="6">
        <f>FLOOR((B23-C22)/C23,1)</f>
        <v>9</v>
      </c>
      <c r="C27" s="6">
        <f>FLOOR((B24-C22)/C24,1)</f>
        <v>7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9"/>
      <c r="P27" s="6"/>
      <c r="Q27" s="6"/>
      <c r="R27" s="6"/>
      <c r="S27" s="6"/>
    </row>
    <row r="28" spans="1:21" x14ac:dyDescent="0.25"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9"/>
      <c r="P28" s="6"/>
      <c r="Q28" s="6"/>
      <c r="R28" s="6"/>
      <c r="S28" s="6"/>
    </row>
    <row r="30" spans="1:21" x14ac:dyDescent="0.25">
      <c r="A30" s="7" t="s">
        <v>72</v>
      </c>
      <c r="B30" s="6" t="s">
        <v>74</v>
      </c>
      <c r="C30" s="6">
        <f>ROUND(SUM(N31:N36),0)</f>
        <v>6087</v>
      </c>
    </row>
    <row r="31" spans="1:21" x14ac:dyDescent="0.25">
      <c r="A31" s="6" t="s">
        <v>73</v>
      </c>
      <c r="B31" s="6">
        <v>2760</v>
      </c>
      <c r="C31" s="6">
        <v>550</v>
      </c>
      <c r="D31" s="6">
        <v>25</v>
      </c>
      <c r="E31" s="6">
        <f t="shared" ref="E31" si="26">B31*C31/1000000</f>
        <v>1.518</v>
      </c>
      <c r="F31" s="6" t="s">
        <v>3</v>
      </c>
      <c r="G31" s="6">
        <f>ROUND(P31+S31/Раскройка!$F$2,0)</f>
        <v>607</v>
      </c>
      <c r="H31" s="6" t="s">
        <v>41</v>
      </c>
      <c r="I31" s="6">
        <v>0</v>
      </c>
      <c r="J31" s="6" t="s">
        <v>38</v>
      </c>
      <c r="K31" s="6">
        <v>0</v>
      </c>
      <c r="L31" s="6">
        <f>E31*(0.25*(VLOOKUP(H31,Покрытия!$A$2:$B$8,2,FALSE)*I31+VLOOKUP(J31,Покрытия!$A$2:$B$8,2,FALSE)*K31)+G31)</f>
        <v>921.42600000000004</v>
      </c>
      <c r="M31" s="6">
        <v>0</v>
      </c>
      <c r="N31" s="6">
        <f t="shared" ref="N31:N33" si="27">L31*M31</f>
        <v>0</v>
      </c>
      <c r="O31" s="9"/>
      <c r="P31" s="6">
        <f t="array" ref="P31">INDEX(Материалы!$C$2:$C$50,MATCH(F31&amp;D31,Материалы!$A$2:$A$50&amp;Материалы!$B$2:$B$50,0))</f>
        <v>500</v>
      </c>
      <c r="Q31" s="6">
        <f>FLOOR(Раскройка!$D$2/B31,1)*FLOOR(Раскройка!$C$2/C31,1)</f>
        <v>3</v>
      </c>
      <c r="R31" s="6">
        <f>MAX(Раскройка!$F$2-E31*Q31,0)</f>
        <v>1.2459999999999996</v>
      </c>
      <c r="S31" s="6">
        <f t="shared" ref="S31:S33" si="28">P31*R31</f>
        <v>622.99999999999977</v>
      </c>
      <c r="T31" s="9"/>
      <c r="U31" s="9"/>
    </row>
    <row r="32" spans="1:21" x14ac:dyDescent="0.25">
      <c r="A32" s="6" t="s">
        <v>73</v>
      </c>
      <c r="B32" s="6">
        <v>2760</v>
      </c>
      <c r="C32" s="6">
        <v>30</v>
      </c>
      <c r="D32" s="6">
        <v>20</v>
      </c>
      <c r="E32" s="6">
        <f t="shared" ref="E32" si="29">B32*C32*D32/1000000000</f>
        <v>1.6559999999999999E-3</v>
      </c>
      <c r="F32" s="6" t="s">
        <v>11</v>
      </c>
      <c r="G32" s="6">
        <f>ROUND(P32+S32/Раскройка!$F$11,0)</f>
        <v>616000</v>
      </c>
      <c r="H32" s="6" t="s">
        <v>39</v>
      </c>
      <c r="I32" s="6">
        <v>0</v>
      </c>
      <c r="J32" s="6" t="s">
        <v>38</v>
      </c>
      <c r="K32" s="6">
        <v>0</v>
      </c>
      <c r="L32" s="19">
        <f>E32*(0.25*(VLOOKUP(H32,Покрытия!$A$2:$B$50,2,FALSE)*K32+G32))</f>
        <v>255.024</v>
      </c>
      <c r="M32" s="6">
        <v>0</v>
      </c>
      <c r="N32" s="6">
        <f t="shared" si="27"/>
        <v>0</v>
      </c>
      <c r="O32" s="9"/>
      <c r="P32" s="6">
        <f t="array" ref="P32">INDEX([1]Материалы!$C$2:$C$50,MATCH(F32,[1]Материалы!$A$2:$A$50,0))</f>
        <v>308000</v>
      </c>
      <c r="Q32" s="6">
        <f>FLOOR(Раскройка!$C$11/B32,1)*FLOOR(Раскройка!$D$11/C32,1)</f>
        <v>0</v>
      </c>
      <c r="R32" s="6">
        <f>MAX(Раскройка!$F$11-E32*Q32,0)</f>
        <v>2.2499999999999999E-2</v>
      </c>
      <c r="S32" s="6">
        <f t="shared" si="28"/>
        <v>6930</v>
      </c>
      <c r="T32" s="16"/>
      <c r="U32" s="16"/>
    </row>
    <row r="33" spans="1:25" x14ac:dyDescent="0.25">
      <c r="A33" s="6" t="s">
        <v>69</v>
      </c>
      <c r="B33" s="6">
        <v>2760</v>
      </c>
      <c r="C33" s="6">
        <v>550</v>
      </c>
      <c r="D33" s="6">
        <v>0.6</v>
      </c>
      <c r="E33" s="6">
        <f t="shared" ref="E33" si="30">B33*C33/1000000</f>
        <v>1.518</v>
      </c>
      <c r="F33" s="6" t="s">
        <v>7</v>
      </c>
      <c r="G33" s="6">
        <f>ROUND(P33+S33/Раскройка!$F$2,0)</f>
        <v>337</v>
      </c>
      <c r="H33" s="6" t="s">
        <v>75</v>
      </c>
      <c r="I33" s="6">
        <v>2</v>
      </c>
      <c r="J33" s="6" t="s">
        <v>44</v>
      </c>
      <c r="K33" s="6">
        <v>3</v>
      </c>
      <c r="L33" s="6">
        <f>E33*(0.25*(VLOOKUP(H33,Покрытия!$A$2:$B$50,2,FALSE)*I33+VLOOKUP(J33,Покрытия!$A$2:$B$50,2,FALSE)*K33)+G33)</f>
        <v>2788.5659999999998</v>
      </c>
      <c r="M33" s="6">
        <v>2</v>
      </c>
      <c r="N33" s="6">
        <f t="shared" si="27"/>
        <v>5577.1319999999996</v>
      </c>
      <c r="O33" s="9"/>
      <c r="P33" s="6">
        <f t="array" ref="P33">INDEX(Материалы!$C$2:$C$50,MATCH(F33&amp;D33,Материалы!$A$2:$A$50&amp;Материалы!$B$2:$B$50,0))</f>
        <v>277</v>
      </c>
      <c r="Q33" s="6">
        <f>FLOOR(Раскройка!$D$2/B33,1)*FLOOR(Раскройка!$C$2/C33,1)</f>
        <v>3</v>
      </c>
      <c r="R33" s="6">
        <f>MAX(Раскройка!$F$2-E33*Q33,0)</f>
        <v>1.2459999999999996</v>
      </c>
      <c r="S33" s="6">
        <f t="shared" si="28"/>
        <v>345.14199999999988</v>
      </c>
    </row>
    <row r="34" spans="1:25" x14ac:dyDescent="0.25">
      <c r="A34" s="6" t="s">
        <v>73</v>
      </c>
      <c r="B34" s="6">
        <v>2760</v>
      </c>
      <c r="C34" s="6">
        <v>60</v>
      </c>
      <c r="D34" s="6">
        <v>20</v>
      </c>
      <c r="E34" s="6">
        <f t="shared" ref="E34" si="31">B34*C34*D34/1000000000</f>
        <v>3.3119999999999998E-3</v>
      </c>
      <c r="F34" s="6" t="s">
        <v>11</v>
      </c>
      <c r="G34" s="6">
        <f>ROUND(P34+S34/Раскройка!$F$11,0)</f>
        <v>616000</v>
      </c>
      <c r="H34" s="6" t="s">
        <v>39</v>
      </c>
      <c r="I34" s="6">
        <v>0</v>
      </c>
      <c r="J34" s="6" t="s">
        <v>38</v>
      </c>
      <c r="K34" s="6">
        <v>0</v>
      </c>
      <c r="L34" s="19">
        <f>E34*(0.25*(VLOOKUP(H34,Покрытия!$A$2:$B$50,2,FALSE)*K34+G34))</f>
        <v>510.048</v>
      </c>
      <c r="M34" s="6">
        <v>1</v>
      </c>
      <c r="N34" s="6">
        <f t="shared" ref="N34" si="32">L34*M34</f>
        <v>510.048</v>
      </c>
      <c r="O34" s="9"/>
      <c r="P34" s="6">
        <f t="array" ref="P34">INDEX([1]Материалы!$C$2:$C$50,MATCH(F34,[1]Материалы!$A$2:$A$50,0))</f>
        <v>308000</v>
      </c>
      <c r="Q34" s="6">
        <f>FLOOR(Раскройка!$C$11/B34,1)*FLOOR(Раскройка!$D$11/C34,1)</f>
        <v>0</v>
      </c>
      <c r="R34" s="6">
        <f>MAX(Раскройка!$F$11-E34*Q34,0)</f>
        <v>2.2499999999999999E-2</v>
      </c>
      <c r="S34" s="6">
        <f t="shared" ref="S34" si="33">P34*R34</f>
        <v>6930</v>
      </c>
      <c r="T34" s="16"/>
      <c r="U34" s="16"/>
    </row>
    <row r="37" spans="1:25" x14ac:dyDescent="0.25">
      <c r="A37" s="7" t="s">
        <v>79</v>
      </c>
      <c r="B37" s="20" t="s">
        <v>80</v>
      </c>
      <c r="C37" s="21">
        <f>O38+O39</f>
        <v>154.520928</v>
      </c>
    </row>
    <row r="38" spans="1:25" x14ac:dyDescent="0.25">
      <c r="A38" s="6" t="s">
        <v>81</v>
      </c>
      <c r="B38" s="6">
        <v>550</v>
      </c>
      <c r="C38" s="6">
        <v>60</v>
      </c>
      <c r="D38" s="6">
        <v>16</v>
      </c>
      <c r="E38" s="6">
        <f t="shared" ref="E38" si="34">B38*C38/1000000</f>
        <v>3.3000000000000002E-2</v>
      </c>
      <c r="F38" s="6">
        <f>B38*C38*D38/1000000000</f>
        <v>5.2800000000000004E-4</v>
      </c>
      <c r="G38" s="6" t="s">
        <v>16</v>
      </c>
      <c r="H38" s="6">
        <f>ROUND(Q38+T38/[1]Раскройка!$F$8,0)</f>
        <v>69645</v>
      </c>
      <c r="I38" s="6" t="s">
        <v>41</v>
      </c>
      <c r="J38" s="6">
        <v>2</v>
      </c>
      <c r="K38" s="6" t="s">
        <v>39</v>
      </c>
      <c r="L38" s="6">
        <v>3</v>
      </c>
      <c r="M38" s="6">
        <f>F38*(0.25*(VLOOKUP(I38,Покрытия!$A$2:$B$50,2,FALSE)*J38 + VLOOKUP(K38,Покрытия!$A$2:$B$50,2,FALSE)*L38 )+H38)</f>
        <v>37.48536</v>
      </c>
      <c r="N38" s="6">
        <v>2</v>
      </c>
      <c r="O38" s="6">
        <f t="shared" ref="O38" si="35">M38*N38</f>
        <v>74.97072</v>
      </c>
      <c r="P38" s="9"/>
      <c r="Q38" s="6">
        <f t="array" ref="Q38">INDEX([1]Материалы!$C$2:$C$50,MATCH(G38,[1]Материалы!$A$2:$A$50,0))</f>
        <v>45500</v>
      </c>
      <c r="R38" s="6">
        <f>FLOOR([1]Раскройка!$D$9/B38,1)*FLOOR([1]Раскройка!$C$9/C38,1)</f>
        <v>10</v>
      </c>
      <c r="S38" s="6">
        <f>MAX([1]Раскройка!$F$9-F38*R38,0)</f>
        <v>5.9699999999999996E-3</v>
      </c>
      <c r="T38" s="6">
        <f t="shared" ref="T38" si="36">Q38*S38</f>
        <v>271.63499999999999</v>
      </c>
      <c r="U38" s="16"/>
      <c r="V38" s="16"/>
      <c r="W38" s="16"/>
      <c r="X38" s="16"/>
      <c r="Y38" s="16"/>
    </row>
    <row r="39" spans="1:25" x14ac:dyDescent="0.25">
      <c r="A39" s="6" t="s">
        <v>82</v>
      </c>
      <c r="B39" s="6">
        <v>600</v>
      </c>
      <c r="C39" s="6">
        <v>60</v>
      </c>
      <c r="D39" s="6">
        <v>16</v>
      </c>
      <c r="E39" s="6">
        <f>B39*C39/1000000</f>
        <v>3.5999999999999997E-2</v>
      </c>
      <c r="F39" s="6">
        <f>B39*C39*D39/1000000000</f>
        <v>5.7600000000000001E-4</v>
      </c>
      <c r="G39" s="6" t="s">
        <v>16</v>
      </c>
      <c r="H39" s="6">
        <f>ROUND(Q39+T39/[1]Раскройка!$F$8,0)</f>
        <v>67704</v>
      </c>
      <c r="I39" s="6" t="s">
        <v>41</v>
      </c>
      <c r="J39" s="6">
        <v>2</v>
      </c>
      <c r="K39" s="6" t="s">
        <v>39</v>
      </c>
      <c r="L39" s="6">
        <v>3</v>
      </c>
      <c r="M39" s="6">
        <f>F39*(0.25*(VLOOKUP(I39,Покрытия!$A$2:$B$50,2,FALSE)*J39 + VLOOKUP(K39,Покрытия!$A$2:$B$50,2,FALSE)*L39 )+H39)</f>
        <v>39.775103999999999</v>
      </c>
      <c r="N39" s="6">
        <v>2</v>
      </c>
      <c r="O39" s="6">
        <f t="shared" ref="O39" si="37">M39*N39</f>
        <v>79.550207999999998</v>
      </c>
      <c r="P39" s="9"/>
      <c r="Q39" s="6">
        <f t="array" ref="Q39">INDEX([1]Материалы!$C$2:$C$50,MATCH(G39,[1]Материалы!$A$2:$A$50,0))</f>
        <v>45500</v>
      </c>
      <c r="R39" s="6">
        <f>FLOOR([1]Раскройка!$D$9/B39,1)*FLOOR([1]Раскройка!$C$9/C39,1)</f>
        <v>10</v>
      </c>
      <c r="S39" s="6">
        <f>MAX([1]Раскройка!$F$9-F39*R39,0)</f>
        <v>5.4899999999999992E-3</v>
      </c>
      <c r="T39" s="6">
        <f t="shared" ref="T39" si="38">Q39*S39</f>
        <v>249.79499999999996</v>
      </c>
      <c r="U39" s="16"/>
      <c r="V39" s="16"/>
      <c r="W39" s="16"/>
    </row>
    <row r="41" spans="1:25" x14ac:dyDescent="0.25">
      <c r="A41" s="6" t="s">
        <v>84</v>
      </c>
      <c r="B41" s="6" t="s">
        <v>71</v>
      </c>
      <c r="C41" s="6">
        <f>ROUND(SUM(N42:N48),0)</f>
        <v>2120</v>
      </c>
    </row>
    <row r="42" spans="1:25" x14ac:dyDescent="0.25">
      <c r="A42" s="6" t="s">
        <v>65</v>
      </c>
      <c r="B42" s="6">
        <v>1080</v>
      </c>
      <c r="C42" s="6">
        <v>380</v>
      </c>
      <c r="D42" s="6">
        <v>12</v>
      </c>
      <c r="E42" s="6">
        <f t="shared" ref="E42" si="39">B42*C42/1000000</f>
        <v>0.41039999999999999</v>
      </c>
      <c r="F42" s="6" t="s">
        <v>3</v>
      </c>
      <c r="G42" s="6">
        <f>ROUND(P42+S42/Раскройка!$F$2,0)</f>
        <v>375</v>
      </c>
      <c r="H42" s="6" t="s">
        <v>41</v>
      </c>
      <c r="I42" s="6">
        <v>0</v>
      </c>
      <c r="J42" s="6" t="s">
        <v>39</v>
      </c>
      <c r="K42" s="6">
        <v>0</v>
      </c>
      <c r="L42" s="6">
        <f>E42*(0.25*(VLOOKUP(H42,Покрытия!$A$2:$B$8,2,FALSE)*I42+VLOOKUP(J42,Покрытия!$A$2:$B$8,2,FALSE)*K42)+G42)</f>
        <v>153.9</v>
      </c>
      <c r="M42" s="6">
        <v>2</v>
      </c>
      <c r="N42" s="6">
        <f t="shared" ref="N42" si="40">L42*M42</f>
        <v>307.8</v>
      </c>
      <c r="O42" s="9"/>
      <c r="P42" s="6">
        <f t="array" ref="P42">INDEX(Материалы!$C$2:$C$50,MATCH(F42&amp;D42,Материалы!$A$2:$A$50&amp;Материалы!$B$2:$B$50,0))</f>
        <v>290</v>
      </c>
      <c r="Q42" s="6">
        <f>FLOOR(Раскройка!$D$2/B42,1)*FLOOR(Раскройка!$C$2/C42,1)</f>
        <v>10</v>
      </c>
      <c r="R42" s="6">
        <f>MAX(Раскройка!$F$2-E42*Q42,0)</f>
        <v>1.6959999999999997</v>
      </c>
      <c r="S42" s="6">
        <f t="shared" ref="S42" si="41">P42*R42</f>
        <v>491.83999999999992</v>
      </c>
    </row>
    <row r="43" spans="1:25" x14ac:dyDescent="0.25">
      <c r="A43" s="6" t="s">
        <v>65</v>
      </c>
      <c r="B43" s="6">
        <v>1080</v>
      </c>
      <c r="C43" s="6">
        <v>380</v>
      </c>
      <c r="D43" s="6">
        <v>6</v>
      </c>
      <c r="E43" s="6">
        <f t="shared" ref="E43" si="42">B43*C43/1000000</f>
        <v>0.41039999999999999</v>
      </c>
      <c r="F43" s="6" t="s">
        <v>3</v>
      </c>
      <c r="G43" s="6">
        <f>ROUND(P43+S43/Раскройка!$F$2,0)</f>
        <v>134</v>
      </c>
      <c r="H43" s="6" t="s">
        <v>75</v>
      </c>
      <c r="I43" s="6">
        <v>0</v>
      </c>
      <c r="J43" s="6" t="s">
        <v>44</v>
      </c>
      <c r="K43" s="6">
        <v>0</v>
      </c>
      <c r="L43" s="6">
        <f>E43*(0.25*(VLOOKUP(H43,Покрытия!$A$2:$B$40,2,FALSE)*I43+VLOOKUP(J43,Покрытия!$A$2:$B$40,2,FALSE)*K43)+G43)</f>
        <v>54.993600000000001</v>
      </c>
      <c r="M43" s="6">
        <v>2</v>
      </c>
      <c r="N43" s="6">
        <f t="shared" ref="N43" si="43">L43*M43</f>
        <v>109.9872</v>
      </c>
      <c r="O43" s="9"/>
      <c r="P43" s="6">
        <f t="array" ref="P43">INDEX(Материалы!$C$2:$C$50,MATCH(F43&amp;D43,Материалы!$A$2:$A$50&amp;Материалы!$B$2:$B$50,0))</f>
        <v>104</v>
      </c>
      <c r="Q43" s="6">
        <f>FLOOR(Раскройка!$D$2/B43,1)*FLOOR(Раскройка!$C$2/C43,1)</f>
        <v>10</v>
      </c>
      <c r="R43" s="6">
        <f>MAX(Раскройка!$F$2-E43*Q43,0)</f>
        <v>1.6959999999999997</v>
      </c>
      <c r="S43" s="6">
        <f t="shared" ref="S43" si="44">P43*R43</f>
        <v>176.38399999999996</v>
      </c>
    </row>
    <row r="44" spans="1:25" x14ac:dyDescent="0.25">
      <c r="A44" s="22" t="s">
        <v>69</v>
      </c>
      <c r="B44" s="22">
        <v>1080</v>
      </c>
      <c r="C44" s="22">
        <v>380</v>
      </c>
      <c r="D44" s="22">
        <v>0.6</v>
      </c>
      <c r="E44" s="22">
        <f t="shared" ref="E44" si="45">B44*C44/1000000</f>
        <v>0.41039999999999999</v>
      </c>
      <c r="F44" s="22" t="s">
        <v>7</v>
      </c>
      <c r="G44" s="22">
        <f>ROUND(P44+S44/Раскройка!$F$2,0)</f>
        <v>358</v>
      </c>
      <c r="H44" s="22" t="s">
        <v>75</v>
      </c>
      <c r="I44" s="22">
        <v>2</v>
      </c>
      <c r="J44" s="22" t="s">
        <v>44</v>
      </c>
      <c r="K44" s="22">
        <v>3</v>
      </c>
      <c r="L44" s="22">
        <f>E44*(0.25*(VLOOKUP(H44,Покрытия!$A$2:$B$40,2,FALSE)*I44+VLOOKUP(J44,Покрытия!$A$2:$B$40,2,FALSE)*K44)+G44)</f>
        <v>762.52319999999997</v>
      </c>
      <c r="M44" s="22">
        <v>2</v>
      </c>
      <c r="N44" s="22">
        <f t="shared" ref="N44" si="46">L44*M44</f>
        <v>1525.0463999999999</v>
      </c>
      <c r="O44" s="9"/>
      <c r="P44" s="22">
        <f t="array" ref="P44">INDEX(Материалы!$C$2:$C$50,MATCH(F44&amp;D44,Материалы!$A$2:$A$50&amp;Материалы!$B$2:$B$50,0))</f>
        <v>277</v>
      </c>
      <c r="Q44" s="22">
        <f>FLOOR(Раскройка!$D$2/B44,1)*FLOOR(Раскройка!$C$2/C44,1)</f>
        <v>10</v>
      </c>
      <c r="R44" s="22">
        <f>MAX(Раскройка!$F$2-E44*Q44,0)</f>
        <v>1.6959999999999997</v>
      </c>
      <c r="S44" s="22">
        <f t="shared" ref="S44" si="47">P44*R44</f>
        <v>469.79199999999992</v>
      </c>
    </row>
    <row r="46" spans="1:25" x14ac:dyDescent="0.25">
      <c r="A46" s="6" t="s">
        <v>85</v>
      </c>
      <c r="B46" s="6" t="s">
        <v>71</v>
      </c>
      <c r="C46" s="6">
        <f>ROUND(SUM(N47:N52),0)</f>
        <v>877</v>
      </c>
    </row>
    <row r="47" spans="1:25" x14ac:dyDescent="0.25">
      <c r="A47" s="6" t="s">
        <v>65</v>
      </c>
      <c r="B47" s="6">
        <v>690</v>
      </c>
      <c r="C47" s="6">
        <v>65</v>
      </c>
      <c r="D47" s="6">
        <v>19</v>
      </c>
      <c r="E47" s="6">
        <f t="shared" ref="E47:E48" si="48">B47*C47/1000000</f>
        <v>4.4850000000000001E-2</v>
      </c>
      <c r="F47" s="6" t="s">
        <v>3</v>
      </c>
      <c r="G47" s="6">
        <f>ROUND(P47+S47/Раскройка!$F$2,0)</f>
        <v>327</v>
      </c>
      <c r="H47" s="6" t="s">
        <v>41</v>
      </c>
      <c r="I47" s="6">
        <v>5</v>
      </c>
      <c r="J47" s="6" t="s">
        <v>39</v>
      </c>
      <c r="K47" s="6">
        <v>0</v>
      </c>
      <c r="L47" s="6">
        <f>E47*(0.25*(VLOOKUP(H47,Покрытия!$A$2:$B$8,2,FALSE)*I47+VLOOKUP(J47,Покрытия!$A$2:$B$8,2,FALSE)*K47)+G47)</f>
        <v>65.122200000000007</v>
      </c>
      <c r="M47" s="6">
        <v>2</v>
      </c>
      <c r="N47" s="6">
        <f t="shared" ref="N47:N48" si="49">L47*M47</f>
        <v>130.24440000000001</v>
      </c>
      <c r="O47" s="9"/>
      <c r="P47" s="6">
        <f t="array" ref="P47">INDEX(Материалы!$C$2:$C$50,MATCH(F47&amp;D47,Материалы!$A$2:$A$50&amp;Материалы!$B$2:$B$50,0))</f>
        <v>314</v>
      </c>
      <c r="Q47" s="6">
        <f>FLOOR(Раскройка!$D$2/B47,1)*FLOOR(Раскройка!$C$2/C47,1)</f>
        <v>124</v>
      </c>
      <c r="R47" s="6">
        <f>MAX(Раскройка!$F$2-E47*Q47,0)</f>
        <v>0.23859999999999992</v>
      </c>
      <c r="S47" s="6">
        <f t="shared" ref="S47:S48" si="50">P47*R47</f>
        <v>74.920399999999972</v>
      </c>
    </row>
    <row r="48" spans="1:25" x14ac:dyDescent="0.25">
      <c r="A48" s="6" t="s">
        <v>65</v>
      </c>
      <c r="B48" s="6">
        <v>250</v>
      </c>
      <c r="C48" s="6">
        <v>65</v>
      </c>
      <c r="D48" s="6">
        <v>19</v>
      </c>
      <c r="E48" s="6">
        <f t="shared" si="48"/>
        <v>1.6250000000000001E-2</v>
      </c>
      <c r="F48" s="6" t="s">
        <v>3</v>
      </c>
      <c r="G48" s="6">
        <f>ROUND(P48+S48/Раскройка!$F$2,0)</f>
        <v>328</v>
      </c>
      <c r="H48" s="6" t="s">
        <v>41</v>
      </c>
      <c r="I48" s="6">
        <v>5</v>
      </c>
      <c r="J48" s="6" t="s">
        <v>39</v>
      </c>
      <c r="K48" s="6">
        <v>0</v>
      </c>
      <c r="L48" s="6">
        <f>E48*(0.25*(VLOOKUP(H48,Покрытия!$A$2:$B$8,2,FALSE)*I48+VLOOKUP(J48,Покрытия!$A$2:$B$8,2,FALSE)*K48)+G48)</f>
        <v>23.611250000000002</v>
      </c>
      <c r="M48" s="6">
        <v>2</v>
      </c>
      <c r="N48" s="6">
        <f t="shared" si="49"/>
        <v>47.222500000000004</v>
      </c>
      <c r="O48" s="9"/>
      <c r="P48" s="6">
        <f t="array" ref="P48">INDEX(Материалы!$C$2:$C$50,MATCH(F48&amp;D48,Материалы!$A$2:$A$50&amp;Материалы!$B$2:$B$50,0))</f>
        <v>314</v>
      </c>
      <c r="Q48" s="6">
        <f>FLOOR(Раскройка!$D$2/B48,1)*FLOOR(Раскройка!$C$2/C48,1)</f>
        <v>341</v>
      </c>
      <c r="R48" s="6">
        <f>MAX(Раскройка!$F$2-E48*Q48,0)</f>
        <v>0.25875000000000004</v>
      </c>
      <c r="S48" s="6">
        <f t="shared" si="50"/>
        <v>81.247500000000016</v>
      </c>
    </row>
    <row r="49" spans="1:20" x14ac:dyDescent="0.25">
      <c r="A49" s="6" t="s">
        <v>65</v>
      </c>
      <c r="B49" s="6">
        <v>690</v>
      </c>
      <c r="C49" s="6">
        <v>250</v>
      </c>
      <c r="D49" s="6">
        <v>6</v>
      </c>
      <c r="E49" s="6">
        <f t="shared" ref="E49" si="51">B49*C49/1000000</f>
        <v>0.17249999999999999</v>
      </c>
      <c r="F49" s="6" t="s">
        <v>3</v>
      </c>
      <c r="G49" s="6">
        <f>ROUND(P49+S49/Раскройка!$F$2,0)</f>
        <v>109</v>
      </c>
      <c r="H49" s="6" t="s">
        <v>41</v>
      </c>
      <c r="I49" s="6">
        <v>5</v>
      </c>
      <c r="J49" s="6" t="s">
        <v>39</v>
      </c>
      <c r="K49" s="6">
        <v>0</v>
      </c>
      <c r="L49" s="6">
        <f>E49*(0.25*(VLOOKUP(H49,Покрытия!$A$2:$B$8,2,FALSE)*I49+VLOOKUP(J49,Покрытия!$A$2:$B$8,2,FALSE)*K49)+G49)</f>
        <v>212.86499999999998</v>
      </c>
      <c r="M49" s="6">
        <v>1</v>
      </c>
      <c r="N49" s="6">
        <f t="shared" ref="N49" si="52">L49*M49</f>
        <v>212.86499999999998</v>
      </c>
      <c r="O49" s="9"/>
      <c r="P49" s="6">
        <f t="array" ref="P49">INDEX(Материалы!$C$2:$C$50,MATCH(F49&amp;D49,Материалы!$A$2:$A$50&amp;Материалы!$B$2:$B$50,0))</f>
        <v>104</v>
      </c>
      <c r="Q49" s="6">
        <f>FLOOR(Раскройка!$D$2/B49,1)*FLOOR(Раскройка!$C$2/C49,1)</f>
        <v>32</v>
      </c>
      <c r="R49" s="6">
        <f>MAX(Раскройка!$F$2-E49*Q49,0)</f>
        <v>0.28000000000000025</v>
      </c>
      <c r="S49" s="6">
        <f t="shared" ref="S49" si="53">P49*R49</f>
        <v>29.120000000000026</v>
      </c>
    </row>
    <row r="51" spans="1:20" x14ac:dyDescent="0.25">
      <c r="A51" s="6" t="s">
        <v>86</v>
      </c>
      <c r="B51" s="6" t="s">
        <v>71</v>
      </c>
      <c r="C51" s="6">
        <f>ROUND(SUM(N52:N57),0)</f>
        <v>2687</v>
      </c>
    </row>
    <row r="52" spans="1:20" x14ac:dyDescent="0.25">
      <c r="A52" s="6" t="s">
        <v>65</v>
      </c>
      <c r="B52" s="6">
        <v>2535</v>
      </c>
      <c r="C52" s="6">
        <v>65</v>
      </c>
      <c r="D52" s="6">
        <v>19</v>
      </c>
      <c r="E52" s="6">
        <f t="shared" ref="E52:E54" si="54">B52*C52/1000000</f>
        <v>0.164775</v>
      </c>
      <c r="F52" s="6" t="s">
        <v>3</v>
      </c>
      <c r="G52" s="6">
        <f>ROUND(P52+S52/Раскройка!$F$2,0)</f>
        <v>351</v>
      </c>
      <c r="H52" s="6" t="s">
        <v>41</v>
      </c>
      <c r="I52" s="6">
        <v>5</v>
      </c>
      <c r="J52" s="6" t="s">
        <v>39</v>
      </c>
      <c r="K52" s="6">
        <v>0</v>
      </c>
      <c r="L52" s="6">
        <f>E52*(0.25*(VLOOKUP(H52,Покрытия!$A$2:$B$8,2,FALSE)*I52+VLOOKUP(J52,Покрытия!$A$2:$B$8,2,FALSE)*K52)+G52)</f>
        <v>243.2079</v>
      </c>
      <c r="M52" s="6">
        <v>2</v>
      </c>
      <c r="N52" s="6">
        <f t="shared" ref="N52:N54" si="55">L52*M52</f>
        <v>486.41579999999999</v>
      </c>
      <c r="O52" s="9"/>
      <c r="P52" s="6">
        <f t="array" ref="P52">INDEX(Материалы!$C$2:$C$50,MATCH(F52&amp;D52,Материалы!$A$2:$A$50&amp;Материалы!$B$2:$B$50,0))</f>
        <v>314</v>
      </c>
      <c r="Q52" s="6">
        <f>FLOOR(Раскройка!$D$2/B52,1)*FLOOR(Раскройка!$C$2/C52,1)</f>
        <v>31</v>
      </c>
      <c r="R52" s="6">
        <f>MAX(Раскройка!$F$2-E52*Q52,0)</f>
        <v>0.69197499999999934</v>
      </c>
      <c r="S52" s="6">
        <f t="shared" ref="S52:S54" si="56">P52*R52</f>
        <v>217.28014999999979</v>
      </c>
    </row>
    <row r="53" spans="1:20" x14ac:dyDescent="0.25">
      <c r="A53" s="6" t="s">
        <v>65</v>
      </c>
      <c r="B53" s="6">
        <v>553</v>
      </c>
      <c r="C53" s="6">
        <v>65</v>
      </c>
      <c r="D53" s="6">
        <v>19</v>
      </c>
      <c r="E53" s="6">
        <f t="shared" si="54"/>
        <v>3.5944999999999998E-2</v>
      </c>
      <c r="F53" s="6" t="s">
        <v>3</v>
      </c>
      <c r="G53" s="6">
        <f>ROUND(P53+S53/Раскройка!$F$2,0)</f>
        <v>326</v>
      </c>
      <c r="H53" s="6" t="s">
        <v>41</v>
      </c>
      <c r="I53" s="6">
        <v>5</v>
      </c>
      <c r="J53" s="6" t="s">
        <v>39</v>
      </c>
      <c r="K53" s="6">
        <v>0</v>
      </c>
      <c r="L53" s="6">
        <f>E53*(0.25*(VLOOKUP(H53,Покрытия!$A$2:$B$8,2,FALSE)*I53+VLOOKUP(J53,Покрытия!$A$2:$B$8,2,FALSE)*K53)+G53)</f>
        <v>52.156194999999997</v>
      </c>
      <c r="M53" s="6">
        <v>2</v>
      </c>
      <c r="N53" s="6">
        <f t="shared" si="55"/>
        <v>104.31238999999999</v>
      </c>
      <c r="O53" s="9"/>
      <c r="P53" s="6">
        <f t="array" ref="P53">INDEX(Материалы!$C$2:$C$50,MATCH(F53&amp;D53,Материалы!$A$2:$A$50&amp;Материалы!$B$2:$B$50,0))</f>
        <v>314</v>
      </c>
      <c r="Q53" s="6">
        <f>FLOOR(Раскройка!$D$2/B53,1)*FLOOR(Раскройка!$C$2/C53,1)</f>
        <v>155</v>
      </c>
      <c r="R53" s="6">
        <f>MAX(Раскройка!$F$2-E53*Q53,0)</f>
        <v>0.22852500000000031</v>
      </c>
      <c r="S53" s="6">
        <f t="shared" si="56"/>
        <v>71.756850000000099</v>
      </c>
    </row>
    <row r="54" spans="1:20" x14ac:dyDescent="0.25">
      <c r="A54" s="6" t="s">
        <v>65</v>
      </c>
      <c r="B54" s="6">
        <v>2535</v>
      </c>
      <c r="C54" s="6">
        <v>553</v>
      </c>
      <c r="D54" s="6">
        <v>12</v>
      </c>
      <c r="E54" s="6">
        <f t="shared" si="54"/>
        <v>1.4018550000000001</v>
      </c>
      <c r="F54" s="6" t="s">
        <v>3</v>
      </c>
      <c r="G54" s="6">
        <f>ROUND(P54+S54/Раскройка!$F$2,0)</f>
        <v>370</v>
      </c>
      <c r="H54" s="6" t="s">
        <v>41</v>
      </c>
      <c r="I54" s="6">
        <v>5</v>
      </c>
      <c r="J54" s="6" t="s">
        <v>39</v>
      </c>
      <c r="K54" s="6">
        <v>0</v>
      </c>
      <c r="L54" s="6">
        <f>E54*(0.25*(VLOOKUP(H54,Покрытия!$A$2:$B$8,2,FALSE)*I54+VLOOKUP(J54,Покрытия!$A$2:$B$8,2,FALSE)*K54)+G54)</f>
        <v>2095.7732249999999</v>
      </c>
      <c r="M54" s="6">
        <v>1</v>
      </c>
      <c r="N54" s="6">
        <f t="shared" si="55"/>
        <v>2095.7732249999999</v>
      </c>
      <c r="O54" s="9"/>
      <c r="P54" s="6">
        <f t="array" ref="P54">INDEX(Материалы!$C$2:$C$50,MATCH(F54&amp;D54,Материалы!$A$2:$A$50&amp;Материалы!$B$2:$B$50,0))</f>
        <v>290</v>
      </c>
      <c r="Q54" s="6">
        <f>FLOOR(Раскройка!$D$2/B54,1)*FLOOR(Раскройка!$C$2/C54,1)</f>
        <v>3</v>
      </c>
      <c r="R54" s="6">
        <f>MAX(Раскройка!$F$2-E54*Q54,0)</f>
        <v>1.5944349999999998</v>
      </c>
      <c r="S54" s="6">
        <f t="shared" si="56"/>
        <v>462.38614999999993</v>
      </c>
    </row>
    <row r="57" spans="1:20" x14ac:dyDescent="0.25">
      <c r="A57" s="24" t="s">
        <v>84</v>
      </c>
      <c r="B57" s="24" t="s">
        <v>71</v>
      </c>
      <c r="C57" s="24">
        <f>ROUND(SUM(N58:N60),0)</f>
        <v>1861</v>
      </c>
    </row>
    <row r="58" spans="1:20" x14ac:dyDescent="0.25">
      <c r="A58" s="24" t="s">
        <v>65</v>
      </c>
      <c r="B58" s="24">
        <v>685</v>
      </c>
      <c r="C58" s="24">
        <v>637</v>
      </c>
      <c r="D58" s="24">
        <v>18</v>
      </c>
      <c r="E58" s="24">
        <f t="shared" ref="E58:E60" si="57">B58*C58/1000000</f>
        <v>0.43634499999999998</v>
      </c>
      <c r="F58" s="24" t="s">
        <v>3</v>
      </c>
      <c r="G58" s="24">
        <f>ROUND(P58+S58/Раскройка!$F$2,0)</f>
        <v>428</v>
      </c>
      <c r="H58" s="24" t="s">
        <v>41</v>
      </c>
      <c r="I58" s="24">
        <v>0</v>
      </c>
      <c r="J58" s="24" t="s">
        <v>39</v>
      </c>
      <c r="K58" s="24">
        <v>0</v>
      </c>
      <c r="L58" s="24">
        <f>E58*(0.25*(VLOOKUP(H58,Покрытия!$A$2:$B$8,2,FALSE)*I58+VLOOKUP(J58,Покрытия!$A$2:$B$8,2,FALSE)*K58)+G58)</f>
        <v>186.75566000000001</v>
      </c>
      <c r="M58" s="24">
        <v>1</v>
      </c>
      <c r="N58" s="24">
        <f t="shared" ref="N58:N60" si="58">L58*M58</f>
        <v>186.75566000000001</v>
      </c>
      <c r="O58" s="9"/>
      <c r="P58" s="24">
        <f t="array" ref="P58">INDEX(Материалы!$C$2:$C$50,MATCH(F58&amp;D58,Материалы!$A$2:$A$50&amp;Материалы!$B$2:$B$50,0))</f>
        <v>390</v>
      </c>
      <c r="Q58" s="24">
        <f>FLOOR(Раскройка!$D$2/B58,1)*FLOOR(Раскройка!$C$2/C58,1)</f>
        <v>12</v>
      </c>
      <c r="R58" s="24">
        <f>MAX(Раскройка!$F$2-E58*Q58,0)</f>
        <v>0.56386000000000003</v>
      </c>
      <c r="S58" s="24">
        <f t="shared" ref="S58:S60" si="59">P58*R58</f>
        <v>219.90540000000001</v>
      </c>
    </row>
    <row r="59" spans="1:20" x14ac:dyDescent="0.25">
      <c r="A59" s="24" t="s">
        <v>65</v>
      </c>
      <c r="B59" s="24">
        <v>685</v>
      </c>
      <c r="C59" s="24">
        <v>637</v>
      </c>
      <c r="D59" s="24">
        <v>6</v>
      </c>
      <c r="E59" s="24">
        <f t="shared" si="57"/>
        <v>0.43634499999999998</v>
      </c>
      <c r="F59" s="24" t="s">
        <v>3</v>
      </c>
      <c r="G59" s="24">
        <f>ROUND(P59+S59/Раскройка!$F$2,0)</f>
        <v>114</v>
      </c>
      <c r="H59" s="24" t="s">
        <v>41</v>
      </c>
      <c r="I59" s="24">
        <v>0</v>
      </c>
      <c r="J59" s="24" t="s">
        <v>39</v>
      </c>
      <c r="K59" s="24">
        <v>0</v>
      </c>
      <c r="L59" s="24">
        <f>E59*(0.25*(VLOOKUP(H59,Покрытия!$A$2:$B$40,2,FALSE)*I59+VLOOKUP(J59,Покрытия!$A$2:$B$40,2,FALSE)*K59)+G59)</f>
        <v>49.74333</v>
      </c>
      <c r="M59" s="24">
        <v>2</v>
      </c>
      <c r="N59" s="24">
        <f t="shared" si="58"/>
        <v>99.486660000000001</v>
      </c>
      <c r="O59" s="9"/>
      <c r="P59" s="24">
        <f t="array" ref="P59">INDEX(Материалы!$C$2:$C$50,MATCH(F59&amp;D59,Материалы!$A$2:$A$50&amp;Материалы!$B$2:$B$50,0))</f>
        <v>104</v>
      </c>
      <c r="Q59" s="24">
        <f>FLOOR(Раскройка!$D$2/B59,1)*FLOOR(Раскройка!$C$2/C59,1)</f>
        <v>12</v>
      </c>
      <c r="R59" s="24">
        <f>MAX(Раскройка!$F$2-E59*Q59,0)</f>
        <v>0.56386000000000003</v>
      </c>
      <c r="S59" s="24">
        <f t="shared" si="59"/>
        <v>58.641440000000003</v>
      </c>
    </row>
    <row r="60" spans="1:20" x14ac:dyDescent="0.25">
      <c r="A60" s="30" t="s">
        <v>69</v>
      </c>
      <c r="B60" s="30">
        <v>685</v>
      </c>
      <c r="C60" s="30">
        <v>637</v>
      </c>
      <c r="D60" s="30">
        <v>0.6</v>
      </c>
      <c r="E60" s="30">
        <f t="shared" si="57"/>
        <v>0.43634499999999998</v>
      </c>
      <c r="F60" s="30" t="s">
        <v>7</v>
      </c>
      <c r="G60" s="30">
        <f>ROUND(P60+S60/Раскройка!$F$2,0)</f>
        <v>304</v>
      </c>
      <c r="H60" s="30" t="s">
        <v>75</v>
      </c>
      <c r="I60" s="30">
        <v>2</v>
      </c>
      <c r="J60" s="30" t="s">
        <v>44</v>
      </c>
      <c r="K60" s="30">
        <v>3</v>
      </c>
      <c r="L60" s="30">
        <f>E60*(0.25*(VLOOKUP(H60,Покрытия!$A$2:$B$40,2,FALSE)*I60+VLOOKUP(J60,Покрытия!$A$2:$B$40,2,FALSE)*K60)+G60)</f>
        <v>787.16638</v>
      </c>
      <c r="M60" s="30">
        <v>2</v>
      </c>
      <c r="N60" s="30">
        <f t="shared" si="58"/>
        <v>1574.33276</v>
      </c>
      <c r="O60" s="9"/>
      <c r="P60" s="30">
        <f t="array" ref="P60">INDEX(Материалы!$C$2:$C$50,MATCH(F60&amp;D60,Материалы!$A$2:$A$50&amp;Материалы!$B$2:$B$50,0))</f>
        <v>277</v>
      </c>
      <c r="Q60" s="30">
        <f>FLOOR(Раскройка!$D$2/B60,1)*FLOOR(Раскройка!$C$2/C60,1)</f>
        <v>12</v>
      </c>
      <c r="R60" s="30">
        <f>MAX(Раскройка!$F$2-E60*Q60,0)</f>
        <v>0.56386000000000003</v>
      </c>
      <c r="S60" s="30">
        <f t="shared" si="59"/>
        <v>156.18922000000001</v>
      </c>
    </row>
    <row r="62" spans="1:20" x14ac:dyDescent="0.25">
      <c r="A62" s="34" t="s">
        <v>32</v>
      </c>
      <c r="B62" s="34" t="s">
        <v>20</v>
      </c>
      <c r="C62" s="34" t="s">
        <v>19</v>
      </c>
      <c r="D62" s="34" t="s">
        <v>21</v>
      </c>
      <c r="E62" s="34" t="s">
        <v>26</v>
      </c>
      <c r="F62" s="7" t="s">
        <v>22</v>
      </c>
      <c r="G62" s="7" t="s">
        <v>49</v>
      </c>
      <c r="H62" s="34" t="s">
        <v>46</v>
      </c>
      <c r="I62" s="34" t="s">
        <v>35</v>
      </c>
      <c r="J62" s="34" t="s">
        <v>47</v>
      </c>
      <c r="K62" s="34" t="s">
        <v>35</v>
      </c>
      <c r="L62" s="34" t="s">
        <v>47</v>
      </c>
      <c r="M62" s="7" t="s">
        <v>48</v>
      </c>
      <c r="N62" s="34" t="s">
        <v>59</v>
      </c>
      <c r="O62" s="34" t="s">
        <v>58</v>
      </c>
    </row>
    <row r="63" spans="1:20" x14ac:dyDescent="0.25">
      <c r="A63" s="7" t="s">
        <v>105</v>
      </c>
      <c r="B63" s="59">
        <f>CEILING(SUM(O64:O68),1)</f>
        <v>2002</v>
      </c>
    </row>
    <row r="64" spans="1:20" x14ac:dyDescent="0.25">
      <c r="A64" s="34" t="s">
        <v>34</v>
      </c>
      <c r="B64" s="34">
        <v>1000</v>
      </c>
      <c r="C64" s="34">
        <v>105</v>
      </c>
      <c r="D64" s="34">
        <v>108</v>
      </c>
      <c r="E64" s="34">
        <f>B64*C64*D64/1000000000</f>
        <v>1.1339999999999999E-2</v>
      </c>
      <c r="F64" s="34">
        <f>B64*C64/1000000</f>
        <v>0.105</v>
      </c>
      <c r="G64" s="34" t="s">
        <v>13</v>
      </c>
      <c r="H64" s="34">
        <f>ROUND(Q64+T64/Раскройка!$F$11,0)</f>
        <v>28000</v>
      </c>
      <c r="I64" s="34" t="s">
        <v>41</v>
      </c>
      <c r="J64" s="34">
        <v>3</v>
      </c>
      <c r="K64" s="34" t="s">
        <v>39</v>
      </c>
      <c r="L64" s="34">
        <v>2</v>
      </c>
      <c r="M64" s="34">
        <f>E64*H64+0.25*((VLOOKUP(I64,[2]Покрытия!$A$2:$B$50,2,FALSE)*J64+VLOOKUP(K64,[2]Покрытия!$A$2:$B$50,2,FALSE)*L64)*F64)</f>
        <v>451.39499999999998</v>
      </c>
      <c r="N64" s="34">
        <v>1</v>
      </c>
      <c r="O64" s="34">
        <f>M64*N64</f>
        <v>451.39499999999998</v>
      </c>
      <c r="Q64" s="34">
        <f t="array" ref="Q64">INDEX(Материалы!$C$2:$C$50,MATCH(G64,Материалы!$A$2:$A$50,0))</f>
        <v>28000</v>
      </c>
      <c r="R64" s="34">
        <f>FLOOR(Раскройка!$C$11/C64,1)*FLOOR(Раскройка!$D$11/B64,1)</f>
        <v>6</v>
      </c>
      <c r="S64" s="34">
        <f>MAX(Раскройка!$F$11-E64*R64,0)</f>
        <v>0</v>
      </c>
      <c r="T64" s="34">
        <f>Q64*S64</f>
        <v>0</v>
      </c>
    </row>
    <row r="65" spans="1:20" x14ac:dyDescent="0.25">
      <c r="A65" s="34" t="s">
        <v>34</v>
      </c>
      <c r="B65" s="34">
        <v>1000</v>
      </c>
      <c r="C65" s="34">
        <v>24</v>
      </c>
      <c r="D65" s="34">
        <v>65</v>
      </c>
      <c r="E65" s="34">
        <f>B65*C65*D65/1000000000</f>
        <v>1.56E-3</v>
      </c>
      <c r="F65" s="34">
        <f>B65*C65/1000000</f>
        <v>2.4E-2</v>
      </c>
      <c r="G65" s="34" t="s">
        <v>13</v>
      </c>
      <c r="H65" s="34">
        <f>ROUND(Q65+T65/Раскройка!$F$11,0)</f>
        <v>28000</v>
      </c>
      <c r="I65" s="34" t="s">
        <v>41</v>
      </c>
      <c r="J65" s="34">
        <v>3</v>
      </c>
      <c r="K65" s="34" t="s">
        <v>39</v>
      </c>
      <c r="L65" s="34">
        <v>2</v>
      </c>
      <c r="M65" s="34">
        <f>E65*H65+0.25*((VLOOKUP(I65,[2]Покрытия!$A$2:$B$50,2,FALSE)*J65+VLOOKUP(K65,[2]Покрытия!$A$2:$B$50,2,FALSE)*L65)*F65)</f>
        <v>74.28</v>
      </c>
      <c r="N65" s="34">
        <v>1</v>
      </c>
      <c r="O65" s="34">
        <f>M65*N65</f>
        <v>74.28</v>
      </c>
      <c r="Q65" s="34">
        <f t="array" ref="Q65">INDEX(Материалы!$C$2:$C$50,MATCH(G65,Материалы!$A$2:$A$50,0))</f>
        <v>28000</v>
      </c>
      <c r="R65" s="34">
        <f>FLOOR(Раскройка!$C$11/C65,1)*FLOOR(Раскройка!$D$11/B65,1)</f>
        <v>36</v>
      </c>
      <c r="S65" s="34">
        <f>MAX(Раскройка!$F$11-E65*R65,0)</f>
        <v>0</v>
      </c>
      <c r="T65" s="34">
        <f>Q65*S65</f>
        <v>0</v>
      </c>
    </row>
    <row r="66" spans="1:20" x14ac:dyDescent="0.25">
      <c r="A66" s="34" t="s">
        <v>57</v>
      </c>
      <c r="B66" s="34">
        <v>1000</v>
      </c>
      <c r="C66" s="34">
        <v>171</v>
      </c>
      <c r="D66" s="34">
        <v>12</v>
      </c>
      <c r="F66" s="34">
        <f>B66*C66/1000000</f>
        <v>0.17100000000000001</v>
      </c>
      <c r="G66" s="7" t="s">
        <v>12</v>
      </c>
      <c r="H66" s="34">
        <f>ROUND(Q66+T66/Раскройка!$F$2,0)</f>
        <v>984</v>
      </c>
      <c r="I66" s="34" t="s">
        <v>41</v>
      </c>
      <c r="J66" s="34">
        <v>3</v>
      </c>
      <c r="K66" s="34" t="s">
        <v>39</v>
      </c>
      <c r="L66" s="34">
        <v>2</v>
      </c>
      <c r="M66" s="34">
        <f>F66*(0.25*(VLOOKUP(I66,[2]Покрытия!$A$2:$B$40,2,FALSE)*J66+VLOOKUP(K66,[2]Покрытия!$A$2:$B$40,2,FALSE)*L66)+H66)</f>
        <v>386.28900000000004</v>
      </c>
      <c r="N66" s="34">
        <v>3</v>
      </c>
      <c r="O66" s="34">
        <f>M66*N66</f>
        <v>1158.8670000000002</v>
      </c>
      <c r="Q66" s="34">
        <f t="array" ref="Q66">INDEX(Материалы!$C$2:$C$50,MATCH(G66&amp;D66,Материалы!$A$2:$A$50&amp;Материалы!$B$2:$B$50,0))</f>
        <v>492</v>
      </c>
      <c r="R66" s="34">
        <f>FLOOR(Раскройка!$D$2/B66,1)*FLOOR(Раскройка!$C$2/C66,1)</f>
        <v>24</v>
      </c>
      <c r="S66" s="34">
        <f>MAX(Раскройка!$F$2-E66*R66,0)</f>
        <v>5.8</v>
      </c>
      <c r="T66" s="34">
        <f>Q66*S66</f>
        <v>2853.6</v>
      </c>
    </row>
    <row r="67" spans="1:20" x14ac:dyDescent="0.25">
      <c r="A67" s="34" t="s">
        <v>81</v>
      </c>
      <c r="B67" s="34">
        <v>1000</v>
      </c>
      <c r="C67" s="34">
        <v>60</v>
      </c>
      <c r="D67" s="34">
        <v>12</v>
      </c>
      <c r="F67" s="34">
        <f>B67*C67/1000000</f>
        <v>0.06</v>
      </c>
      <c r="G67" s="7" t="s">
        <v>12</v>
      </c>
      <c r="H67" s="34">
        <f>ROUND(Q67+T67/Раскройка!$F$2,0)</f>
        <v>984</v>
      </c>
      <c r="I67" s="34" t="s">
        <v>41</v>
      </c>
      <c r="J67" s="34">
        <v>3</v>
      </c>
      <c r="K67" s="34" t="s">
        <v>39</v>
      </c>
      <c r="L67" s="34">
        <v>2</v>
      </c>
      <c r="M67" s="34">
        <f>F67*(0.25*(VLOOKUP(I67,[2]Покрытия!$A$2:$B$40,2,FALSE)*J67+VLOOKUP(K67,[2]Покрытия!$A$2:$B$40,2,FALSE)*L67)+H67)</f>
        <v>135.54</v>
      </c>
      <c r="N67" s="34">
        <v>2</v>
      </c>
      <c r="O67" s="34">
        <f t="shared" ref="O67:O68" si="60">M67*N67</f>
        <v>271.08</v>
      </c>
      <c r="Q67" s="34">
        <f t="array" ref="Q67">INDEX(Материалы!$C$2:$C$50,MATCH(G67&amp;D67,Материалы!$A$2:$A$50&amp;Материалы!$B$2:$B$50,0))</f>
        <v>492</v>
      </c>
      <c r="R67" s="34">
        <f>FLOOR(Раскройка!$D$2/B67,1)*FLOOR(Раскройка!$C$2/C67,1)</f>
        <v>68</v>
      </c>
      <c r="S67" s="34">
        <f>MAX(Раскройка!$F$2-E67*R67,0)</f>
        <v>5.8</v>
      </c>
      <c r="T67" s="34">
        <f>Q67*S67</f>
        <v>2853.6</v>
      </c>
    </row>
    <row r="68" spans="1:20" x14ac:dyDescent="0.25">
      <c r="A68" s="34" t="s">
        <v>82</v>
      </c>
      <c r="B68" s="34">
        <v>171</v>
      </c>
      <c r="C68" s="34">
        <v>60</v>
      </c>
      <c r="D68" s="34">
        <v>12</v>
      </c>
      <c r="F68" s="34">
        <f>B68*C68/1000000</f>
        <v>1.026E-2</v>
      </c>
      <c r="G68" s="7" t="s">
        <v>12</v>
      </c>
      <c r="H68" s="34">
        <f>ROUND(Q68+T68/Раскройка!$F$2,0)</f>
        <v>984</v>
      </c>
      <c r="I68" s="34" t="s">
        <v>41</v>
      </c>
      <c r="J68" s="34">
        <v>3</v>
      </c>
      <c r="K68" s="34" t="s">
        <v>39</v>
      </c>
      <c r="L68" s="34">
        <v>2</v>
      </c>
      <c r="M68" s="34">
        <f>F68*(0.25*(VLOOKUP(I68,[2]Покрытия!$A$2:$B$40,2,FALSE)*J68+VLOOKUP(K68,[2]Покрытия!$A$2:$B$40,2,FALSE)*L68)+H68)</f>
        <v>23.177340000000001</v>
      </c>
      <c r="N68" s="34">
        <v>2</v>
      </c>
      <c r="O68" s="34">
        <f t="shared" si="60"/>
        <v>46.354680000000002</v>
      </c>
      <c r="Q68" s="34">
        <f t="array" ref="Q68">INDEX(Материалы!$C$2:$C$50,MATCH(G68&amp;D68,Материалы!$A$2:$A$50&amp;Материалы!$B$2:$B$50,0))</f>
        <v>492</v>
      </c>
      <c r="R68" s="34">
        <f>FLOOR(Раскройка!$D$2/B68,1)*FLOOR(Раскройка!$C$2/C68,1)</f>
        <v>544</v>
      </c>
      <c r="S68" s="34">
        <f>MAX(Раскройка!$F$2-E68*R68,0)</f>
        <v>5.8</v>
      </c>
      <c r="T68" s="34">
        <f>Q68*S68</f>
        <v>2853.6</v>
      </c>
    </row>
  </sheetData>
  <mergeCells count="4">
    <mergeCell ref="B1:I1"/>
    <mergeCell ref="K1:N1"/>
    <mergeCell ref="B5:I5"/>
    <mergeCell ref="K5:N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03"/>
  <sheetViews>
    <sheetView topLeftCell="B1" workbookViewId="0">
      <selection activeCell="A5" sqref="A5:AC13"/>
    </sheetView>
  </sheetViews>
  <sheetFormatPr defaultRowHeight="15" x14ac:dyDescent="0.25"/>
  <cols>
    <col min="1" max="1" width="31" customWidth="1"/>
    <col min="7" max="7" width="16.7109375" customWidth="1"/>
    <col min="8" max="8" width="16.5703125" customWidth="1"/>
    <col min="10" max="10" width="12.42578125" customWidth="1"/>
    <col min="12" max="12" width="12.28515625" customWidth="1"/>
    <col min="13" max="13" width="14.5703125" customWidth="1"/>
    <col min="14" max="14" width="16" customWidth="1"/>
    <col min="17" max="20" width="9.140625" hidden="1" customWidth="1"/>
  </cols>
  <sheetData>
    <row r="1" spans="1:22" x14ac:dyDescent="0.25">
      <c r="A1" s="33" t="s">
        <v>92</v>
      </c>
      <c r="B1" s="32" t="s">
        <v>91</v>
      </c>
      <c r="C1" s="32" t="s">
        <v>61</v>
      </c>
      <c r="D1" s="32" t="s">
        <v>58</v>
      </c>
    </row>
    <row r="2" spans="1:22" x14ac:dyDescent="0.25">
      <c r="A2" s="35" t="s">
        <v>106</v>
      </c>
      <c r="B2" s="31">
        <v>1</v>
      </c>
      <c r="C2" s="32">
        <f>ROUND(SUM(O6:O103)+SUM(D86,D73,D51,D16),0)</f>
        <v>132524</v>
      </c>
      <c r="D2" s="32">
        <f>C2*B2</f>
        <v>132524</v>
      </c>
    </row>
    <row r="3" spans="1:22" x14ac:dyDescent="0.25">
      <c r="A3" s="36"/>
    </row>
    <row r="5" spans="1:22" x14ac:dyDescent="0.25">
      <c r="A5" s="32" t="s">
        <v>32</v>
      </c>
      <c r="B5" s="32" t="s">
        <v>20</v>
      </c>
      <c r="C5" s="32" t="s">
        <v>19</v>
      </c>
      <c r="D5" s="32" t="s">
        <v>21</v>
      </c>
      <c r="E5" s="32" t="s">
        <v>22</v>
      </c>
      <c r="F5" s="7" t="s">
        <v>26</v>
      </c>
      <c r="G5" s="7" t="s">
        <v>49</v>
      </c>
      <c r="H5" s="32" t="s">
        <v>46</v>
      </c>
      <c r="I5" s="32" t="s">
        <v>35</v>
      </c>
      <c r="J5" s="32" t="s">
        <v>47</v>
      </c>
      <c r="K5" s="32" t="s">
        <v>35</v>
      </c>
      <c r="L5" s="32" t="s">
        <v>47</v>
      </c>
      <c r="M5" s="7" t="s">
        <v>48</v>
      </c>
      <c r="N5" s="32" t="s">
        <v>59</v>
      </c>
      <c r="O5" s="32" t="s">
        <v>58</v>
      </c>
      <c r="P5" s="9"/>
      <c r="Q5" s="7" t="s">
        <v>50</v>
      </c>
      <c r="R5" s="7" t="s">
        <v>53</v>
      </c>
      <c r="S5" s="7" t="s">
        <v>51</v>
      </c>
      <c r="T5" s="7" t="s">
        <v>52</v>
      </c>
      <c r="U5" s="9"/>
      <c r="V5" s="9"/>
    </row>
    <row r="6" spans="1:22" x14ac:dyDescent="0.25">
      <c r="A6" s="34" t="s">
        <v>77</v>
      </c>
      <c r="B6" s="34">
        <v>803</v>
      </c>
      <c r="C6" s="34">
        <v>55</v>
      </c>
      <c r="D6" s="34">
        <v>18</v>
      </c>
      <c r="E6" s="34">
        <f t="shared" ref="E6" si="0">B6*C6/1000000</f>
        <v>4.4165000000000003E-2</v>
      </c>
      <c r="F6" s="20"/>
      <c r="G6" s="7" t="s">
        <v>3</v>
      </c>
      <c r="H6" s="34">
        <f>ROUND(Q6+T6/Раскройка!$F$2,0)</f>
        <v>450</v>
      </c>
      <c r="I6" s="34" t="s">
        <v>75</v>
      </c>
      <c r="J6" s="34">
        <v>0</v>
      </c>
      <c r="K6" s="34" t="s">
        <v>44</v>
      </c>
      <c r="L6" s="34">
        <v>0</v>
      </c>
      <c r="M6" s="34">
        <f>E6*(0.25*(VLOOKUP(I6,Покрытия!$A$2:$B$40,2,FALSE)*J6+VLOOKUP(K6,Покрытия!$A$2:$B$40,2,FALSE)*L6)+H6)</f>
        <v>19.87425</v>
      </c>
      <c r="N6" s="34">
        <v>4</v>
      </c>
      <c r="O6" s="34">
        <f t="shared" ref="O6" si="1">M6*N6</f>
        <v>79.497</v>
      </c>
      <c r="P6" s="9"/>
      <c r="Q6" s="34">
        <f t="array" ref="Q6">INDEX(Материалы!$C$2:$C$50,MATCH(G6&amp;D6,Материалы!$A$2:$A$50&amp;Материалы!$B$2:$B$50,0))</f>
        <v>390</v>
      </c>
      <c r="R6" s="34">
        <f>FLOOR(Раскройка!$D$2/B6,1)*FLOOR(Раскройка!$C$2/C6,1)</f>
        <v>111</v>
      </c>
      <c r="S6" s="34">
        <f>MAX(Раскройка!$F$2-E6*R6,0)</f>
        <v>0.89768499999999918</v>
      </c>
      <c r="T6" s="34">
        <f t="shared" ref="T6" si="2">Q6*S6</f>
        <v>350.09714999999966</v>
      </c>
      <c r="U6" s="9"/>
      <c r="V6" s="9"/>
    </row>
    <row r="7" spans="1:22" x14ac:dyDescent="0.25">
      <c r="A7" s="34" t="s">
        <v>78</v>
      </c>
      <c r="B7" s="34">
        <v>894</v>
      </c>
      <c r="C7" s="34">
        <v>55</v>
      </c>
      <c r="D7" s="34">
        <v>18</v>
      </c>
      <c r="E7" s="34">
        <f t="shared" ref="E7" si="3">B7*C7/1000000</f>
        <v>4.9169999999999998E-2</v>
      </c>
      <c r="F7" s="20"/>
      <c r="G7" s="7" t="s">
        <v>3</v>
      </c>
      <c r="H7" s="34">
        <f>ROUND(Q7+T7/Раскройка!$F$2,0)</f>
        <v>413</v>
      </c>
      <c r="I7" s="34" t="s">
        <v>75</v>
      </c>
      <c r="J7" s="34">
        <v>0</v>
      </c>
      <c r="K7" s="34" t="s">
        <v>44</v>
      </c>
      <c r="L7" s="34">
        <v>0</v>
      </c>
      <c r="M7" s="34">
        <f>E7*(0.25*(VLOOKUP(I7,Покрытия!$A$2:$B$40,2,FALSE)*J7+VLOOKUP(K7,Покрытия!$A$2:$B$40,2,FALSE)*L7)+H7)</f>
        <v>20.307209999999998</v>
      </c>
      <c r="N7" s="34">
        <v>6</v>
      </c>
      <c r="O7" s="34">
        <f t="shared" ref="O7" si="4">M7*N7</f>
        <v>121.84325999999999</v>
      </c>
      <c r="P7" s="9"/>
      <c r="Q7" s="34">
        <f t="array" ref="Q7">INDEX(Материалы!$C$2:$C$50,MATCH(G7&amp;D7,Материалы!$A$2:$A$50&amp;Материалы!$B$2:$B$50,0))</f>
        <v>390</v>
      </c>
      <c r="R7" s="34">
        <f>FLOOR(Раскройка!$D$2/B7,1)*FLOOR(Раскройка!$C$2/C7,1)</f>
        <v>111</v>
      </c>
      <c r="S7" s="34">
        <f>MAX(Раскройка!$F$2-E7*R7,0)</f>
        <v>0.34213000000000005</v>
      </c>
      <c r="T7" s="34">
        <f t="shared" ref="T7" si="5">Q7*S7</f>
        <v>133.43070000000003</v>
      </c>
      <c r="U7" s="9"/>
    </row>
    <row r="8" spans="1:22" x14ac:dyDescent="0.25">
      <c r="A8" s="34" t="s">
        <v>57</v>
      </c>
      <c r="B8" s="34">
        <v>894</v>
      </c>
      <c r="C8" s="34">
        <v>803</v>
      </c>
      <c r="D8" s="34">
        <v>18</v>
      </c>
      <c r="E8" s="34">
        <f t="shared" ref="E8" si="6">B8*C8/1000000</f>
        <v>0.71788200000000002</v>
      </c>
      <c r="F8" s="20"/>
      <c r="G8" s="7" t="s">
        <v>3</v>
      </c>
      <c r="H8" s="34">
        <f>ROUND(Q8+T8/Раскройка!$F$2,0)</f>
        <v>490</v>
      </c>
      <c r="I8" s="34" t="s">
        <v>75</v>
      </c>
      <c r="J8" s="34">
        <v>0</v>
      </c>
      <c r="K8" s="34" t="s">
        <v>44</v>
      </c>
      <c r="L8" s="34">
        <v>0</v>
      </c>
      <c r="M8" s="34">
        <f>E8*(0.25*(VLOOKUP(I8,Покрытия!$A$2:$B$40,2,FALSE)*J8+VLOOKUP(K8,Покрытия!$A$2:$B$40,2,FALSE)*L8)+H8)</f>
        <v>351.76218</v>
      </c>
      <c r="N8" s="34">
        <v>3</v>
      </c>
      <c r="O8" s="34">
        <f t="shared" ref="O8" si="7">M8*N8</f>
        <v>1055.2865400000001</v>
      </c>
      <c r="P8" s="9"/>
      <c r="Q8" s="34">
        <f t="array" ref="Q8">INDEX(Материалы!$C$2:$C$50,MATCH(G8&amp;D8,Материалы!$A$2:$A$50&amp;Материалы!$B$2:$B$50,0))</f>
        <v>390</v>
      </c>
      <c r="R8" s="34">
        <f>FLOOR(Раскройка!$D$2/B8,1)*FLOOR(Раскройка!$C$2/C8,1)</f>
        <v>6</v>
      </c>
      <c r="S8" s="34">
        <f>MAX(Раскройка!$F$2-E8*R8,0)</f>
        <v>1.4927079999999995</v>
      </c>
      <c r="T8" s="34">
        <f t="shared" ref="T8" si="8">Q8*S8</f>
        <v>582.15611999999976</v>
      </c>
      <c r="U8" s="9"/>
      <c r="V8" s="16"/>
    </row>
    <row r="9" spans="1:22" x14ac:dyDescent="0.25">
      <c r="A9" s="34" t="s">
        <v>93</v>
      </c>
      <c r="B9" s="34">
        <v>693</v>
      </c>
      <c r="C9" s="34">
        <v>55</v>
      </c>
      <c r="D9" s="34">
        <v>18</v>
      </c>
      <c r="E9" s="34">
        <f>B9*C9*D9/1000000000</f>
        <v>6.8607E-4</v>
      </c>
      <c r="F9" s="34">
        <f>B9*C9/1000000</f>
        <v>3.8115000000000003E-2</v>
      </c>
      <c r="G9" s="34" t="s">
        <v>11</v>
      </c>
      <c r="H9" s="34">
        <f>ROUND(Q9+T9/Раскройка!$F$11,0)</f>
        <v>428169</v>
      </c>
      <c r="I9" s="34" t="s">
        <v>75</v>
      </c>
      <c r="J9" s="34">
        <v>2</v>
      </c>
      <c r="K9" s="34" t="s">
        <v>44</v>
      </c>
      <c r="L9" s="34">
        <v>3</v>
      </c>
      <c r="M9" s="34">
        <f>E9*H9+0.25*((VLOOKUP(I9,Покрытия!$A$2:$B$50,2,FALSE)*J9+VLOOKUP(K9,Покрытия!$A$2:$B$50,2,FALSE)*L9)*F9)</f>
        <v>350.92640583000002</v>
      </c>
      <c r="N9" s="34">
        <v>6</v>
      </c>
      <c r="O9" s="34">
        <f>M9*N9</f>
        <v>2105.5584349800001</v>
      </c>
      <c r="P9" s="9"/>
      <c r="Q9" s="34">
        <f t="array" ref="Q9">INDEX(Материалы!$C$2:$C$50,MATCH(G9,Материалы!$A$2:$A$50,0))</f>
        <v>308000</v>
      </c>
      <c r="R9" s="34">
        <f>FLOOR(Раскройка!$C$11/C9,1)*FLOOR(Раскройка!$D$11/B9,1)</f>
        <v>20</v>
      </c>
      <c r="S9" s="34">
        <f>MAX(Раскройка!$F$11-E9*R9,0)</f>
        <v>8.7785999999999993E-3</v>
      </c>
      <c r="T9" s="34">
        <f>Q9*S9</f>
        <v>2703.8087999999998</v>
      </c>
      <c r="V9" s="16"/>
    </row>
    <row r="10" spans="1:22" x14ac:dyDescent="0.25">
      <c r="A10" s="34" t="s">
        <v>99</v>
      </c>
      <c r="B10" s="34">
        <v>784</v>
      </c>
      <c r="C10" s="34">
        <v>55</v>
      </c>
      <c r="D10" s="34">
        <v>18</v>
      </c>
      <c r="E10" s="34">
        <f>B10*C10*D10/1000000000</f>
        <v>7.7616000000000002E-4</v>
      </c>
      <c r="F10" s="34">
        <f>B10*C10/1000000</f>
        <v>4.3119999999999999E-2</v>
      </c>
      <c r="G10" s="34" t="s">
        <v>11</v>
      </c>
      <c r="H10" s="34">
        <f>ROUND(Q10+T10/Раскройка!$F$11,0)</f>
        <v>456628</v>
      </c>
      <c r="I10" s="34" t="s">
        <v>75</v>
      </c>
      <c r="J10" s="34">
        <v>2</v>
      </c>
      <c r="K10" s="34" t="s">
        <v>44</v>
      </c>
      <c r="L10" s="34">
        <v>3</v>
      </c>
      <c r="M10" s="34">
        <f>E10*H10+0.25*((VLOOKUP(I10,Покрытия!$A$2:$B$50,2,FALSE)*J10+VLOOKUP(K10,Покрытия!$A$2:$B$50,2,FALSE)*L10)*F10)</f>
        <v>419.09638848000003</v>
      </c>
      <c r="N10" s="34">
        <v>6</v>
      </c>
      <c r="O10" s="34">
        <f>M10*N10</f>
        <v>2514.5783308800001</v>
      </c>
      <c r="P10" s="9"/>
      <c r="Q10" s="34">
        <f t="array" ref="Q10">INDEX(Материалы!$C$2:$C$50,MATCH(G10,Материалы!$A$2:$A$50,0))</f>
        <v>308000</v>
      </c>
      <c r="R10" s="34">
        <f>FLOOR(Раскройка!$C$11/C10,1)*FLOOR(Раскройка!$D$11/B10,1)</f>
        <v>15</v>
      </c>
      <c r="S10" s="34">
        <f>MAX(Раскройка!$F$11-E10*R10,0)</f>
        <v>1.0857599999999999E-2</v>
      </c>
      <c r="T10" s="34">
        <f>Q10*S10</f>
        <v>3344.1407999999997</v>
      </c>
      <c r="V10" s="16"/>
    </row>
    <row r="11" spans="1:22" x14ac:dyDescent="0.25">
      <c r="A11" s="34" t="s">
        <v>94</v>
      </c>
      <c r="B11" s="34">
        <v>894</v>
      </c>
      <c r="C11" s="34">
        <v>803</v>
      </c>
      <c r="D11" s="34">
        <v>0.6</v>
      </c>
      <c r="E11" s="34">
        <f t="shared" ref="E11:E13" si="9">B11*C11/1000000</f>
        <v>0.71788200000000002</v>
      </c>
      <c r="F11" s="20"/>
      <c r="G11" s="7" t="s">
        <v>95</v>
      </c>
      <c r="H11" s="34">
        <f>ROUND(Q11+T11/Раскройка!$F$2,0)</f>
        <v>484</v>
      </c>
      <c r="I11" s="34" t="s">
        <v>75</v>
      </c>
      <c r="J11" s="34">
        <v>2</v>
      </c>
      <c r="K11" s="34" t="s">
        <v>44</v>
      </c>
      <c r="L11" s="34">
        <v>3</v>
      </c>
      <c r="M11" s="34">
        <f>E11*(0.25*(VLOOKUP(I11,Покрытия!$A$2:$B$40,2,FALSE)*J11+VLOOKUP(K11,Покрытия!$A$2:$B$40,2,FALSE)*L11)+H11)</f>
        <v>1424.2778880000001</v>
      </c>
      <c r="N11" s="34">
        <v>6</v>
      </c>
      <c r="O11" s="34">
        <f t="shared" ref="O11:O13" si="10">M11*N11</f>
        <v>8545.6673279999995</v>
      </c>
      <c r="P11" s="9"/>
      <c r="Q11" s="34">
        <f t="array" ref="Q11">INDEX(Материалы!$C$2:$C$100,MATCH(G11&amp;D11,Материалы!$A$2:$A$100&amp;Материалы!$B$2:$B$100,0))</f>
        <v>385</v>
      </c>
      <c r="R11" s="34">
        <f>FLOOR(Раскройка!$D$2/B11,1)*FLOOR(Раскройка!$C$2/C11,1)</f>
        <v>6</v>
      </c>
      <c r="S11" s="34">
        <f>MAX(Раскройка!$F$2-E11*R11,0)</f>
        <v>1.4927079999999995</v>
      </c>
      <c r="T11" s="34">
        <f t="shared" ref="T11:T13" si="11">Q11*S11</f>
        <v>574.69257999999979</v>
      </c>
      <c r="U11" s="26"/>
      <c r="V11" s="26"/>
    </row>
    <row r="12" spans="1:22" x14ac:dyDescent="0.25">
      <c r="A12" s="34" t="s">
        <v>77</v>
      </c>
      <c r="B12" s="34">
        <v>803</v>
      </c>
      <c r="C12" s="34">
        <v>55</v>
      </c>
      <c r="D12" s="34">
        <v>0.6</v>
      </c>
      <c r="E12" s="34">
        <f t="shared" si="9"/>
        <v>4.4165000000000003E-2</v>
      </c>
      <c r="F12" s="20"/>
      <c r="G12" s="7" t="s">
        <v>95</v>
      </c>
      <c r="H12" s="34">
        <f>ROUND(Q12+T12/Раскройка!$F$2,0)</f>
        <v>445</v>
      </c>
      <c r="I12" s="34" t="s">
        <v>75</v>
      </c>
      <c r="J12" s="34">
        <v>2</v>
      </c>
      <c r="K12" s="34" t="s">
        <v>44</v>
      </c>
      <c r="L12" s="34">
        <v>3</v>
      </c>
      <c r="M12" s="34">
        <f>E12*(0.25*(VLOOKUP(I12,Покрытия!$A$2:$B$40,2,FALSE)*J12+VLOOKUP(K12,Покрытия!$A$2:$B$40,2,FALSE)*L12)+H12)</f>
        <v>85.900925000000001</v>
      </c>
      <c r="N12" s="34">
        <v>8</v>
      </c>
      <c r="O12" s="34">
        <f t="shared" si="10"/>
        <v>687.20740000000001</v>
      </c>
      <c r="P12" s="9"/>
      <c r="Q12" s="34">
        <f t="array" ref="Q12">INDEX(Материалы!$C$2:$C$100,MATCH(G12&amp;D12,Материалы!$A$2:$A$100&amp;Материалы!$B$2:$B$100,0))</f>
        <v>385</v>
      </c>
      <c r="R12" s="34">
        <f>FLOOR(Раскройка!$D$2/B12,1)*FLOOR(Раскройка!$C$2/C12,1)</f>
        <v>111</v>
      </c>
      <c r="S12" s="34">
        <f>MAX(Раскройка!$F$2-E12*R12,0)</f>
        <v>0.89768499999999918</v>
      </c>
      <c r="T12" s="34">
        <f t="shared" si="11"/>
        <v>345.60872499999971</v>
      </c>
      <c r="U12" s="26"/>
      <c r="V12" s="26"/>
    </row>
    <row r="13" spans="1:22" x14ac:dyDescent="0.25">
      <c r="A13" s="34" t="s">
        <v>78</v>
      </c>
      <c r="B13" s="34">
        <v>894</v>
      </c>
      <c r="C13" s="34">
        <v>55</v>
      </c>
      <c r="D13" s="34">
        <v>0.6</v>
      </c>
      <c r="E13" s="34">
        <f t="shared" si="9"/>
        <v>4.9169999999999998E-2</v>
      </c>
      <c r="F13" s="20"/>
      <c r="G13" s="7" t="s">
        <v>95</v>
      </c>
      <c r="H13" s="34">
        <f>ROUND(Q13+T13/Раскройка!$F$2,0)</f>
        <v>408</v>
      </c>
      <c r="I13" s="34" t="s">
        <v>75</v>
      </c>
      <c r="J13" s="34">
        <v>2</v>
      </c>
      <c r="K13" s="34" t="s">
        <v>44</v>
      </c>
      <c r="L13" s="34">
        <v>3</v>
      </c>
      <c r="M13" s="34">
        <f>E13*(0.25*(VLOOKUP(I13,Покрытия!$A$2:$B$40,2,FALSE)*J13+VLOOKUP(K13,Покрытия!$A$2:$B$40,2,FALSE)*L13)+H13)</f>
        <v>93.816360000000003</v>
      </c>
      <c r="N13" s="34">
        <v>12</v>
      </c>
      <c r="O13" s="34">
        <f t="shared" si="10"/>
        <v>1125.7963199999999</v>
      </c>
      <c r="P13" s="9"/>
      <c r="Q13" s="34">
        <f t="array" ref="Q13">INDEX(Материалы!$C$2:$C$100,MATCH(G13&amp;D13,Материалы!$A$2:$A$100&amp;Материалы!$B$2:$B$100,0))</f>
        <v>385</v>
      </c>
      <c r="R13" s="34">
        <f>FLOOR(Раскройка!$D$2/B13,1)*FLOOR(Раскройка!$C$2/C13,1)</f>
        <v>111</v>
      </c>
      <c r="S13" s="34">
        <f>MAX(Раскройка!$F$2-E13*R13,0)</f>
        <v>0.34213000000000005</v>
      </c>
      <c r="T13" s="34">
        <f t="shared" si="11"/>
        <v>131.72005000000001</v>
      </c>
      <c r="U13" s="26"/>
      <c r="V13" s="26"/>
    </row>
    <row r="14" spans="1:22" x14ac:dyDescent="0.25">
      <c r="A14" s="34" t="s">
        <v>100</v>
      </c>
      <c r="B14" s="34">
        <v>2902</v>
      </c>
      <c r="C14" s="34">
        <v>40</v>
      </c>
      <c r="D14" s="34">
        <v>32</v>
      </c>
      <c r="E14" s="34">
        <f>B14*C14*D14/1000000000</f>
        <v>3.71456E-3</v>
      </c>
      <c r="F14" s="34">
        <f>B14*C14/1000000</f>
        <v>0.11608</v>
      </c>
      <c r="G14" s="34" t="s">
        <v>11</v>
      </c>
      <c r="H14" s="34">
        <f>ROUND(Q14+T14/Раскройка!$F$11,0)</f>
        <v>308000</v>
      </c>
      <c r="I14" s="34" t="s">
        <v>75</v>
      </c>
      <c r="J14" s="34">
        <v>2</v>
      </c>
      <c r="K14" s="34" t="s">
        <v>44</v>
      </c>
      <c r="L14" s="34">
        <v>3</v>
      </c>
      <c r="M14" s="34">
        <f>E14*H14+0.25*((VLOOKUP(I14,Покрытия!$A$2:$B$50,2,FALSE)*J14+VLOOKUP(K14,Покрытия!$A$2:$B$50,2,FALSE)*L14)*F14)</f>
        <v>1318.2044799999999</v>
      </c>
      <c r="N14" s="34">
        <v>1</v>
      </c>
      <c r="O14" s="34">
        <f>M14*N14</f>
        <v>1318.2044799999999</v>
      </c>
      <c r="P14" s="9"/>
      <c r="Q14" s="34">
        <f t="array" ref="Q14">INDEX(Материалы!$C$2:$C$50,MATCH(G14,Материалы!$A$2:$A$50,0))</f>
        <v>308000</v>
      </c>
      <c r="R14" s="34">
        <f>FLOOR(Раскройка!$C$11/C14,1)*FLOOR(Раскройка!$D$11/B14,1)</f>
        <v>7</v>
      </c>
      <c r="S14" s="34">
        <f>MAX(Раскройка!$F$11-E14*R14,0)</f>
        <v>0</v>
      </c>
      <c r="T14" s="34">
        <f>Q14*S14</f>
        <v>0</v>
      </c>
      <c r="U14" s="26"/>
      <c r="V14" s="26"/>
    </row>
    <row r="15" spans="1:22" x14ac:dyDescent="0.25">
      <c r="A15" s="27"/>
      <c r="B15" s="27" t="s">
        <v>97</v>
      </c>
      <c r="C15" s="34" t="s">
        <v>98</v>
      </c>
      <c r="D15" s="34" t="s">
        <v>58</v>
      </c>
      <c r="E15" s="16"/>
      <c r="F15" s="26"/>
      <c r="G15" s="25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26"/>
      <c r="V15" s="26"/>
    </row>
    <row r="16" spans="1:22" x14ac:dyDescent="0.25">
      <c r="A16" s="34" t="s">
        <v>96</v>
      </c>
      <c r="B16" s="34">
        <f>(894*3+55*4)/1000</f>
        <v>2.9020000000000001</v>
      </c>
      <c r="C16" s="34">
        <v>2789</v>
      </c>
      <c r="D16" s="34">
        <f>B16*C16</f>
        <v>8093.6780000000008</v>
      </c>
      <c r="E16" s="16"/>
      <c r="F16" s="26"/>
      <c r="G16" s="25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26"/>
      <c r="V16" s="26"/>
    </row>
    <row r="17" spans="1:22" x14ac:dyDescent="0.25">
      <c r="A17" s="16"/>
      <c r="B17" s="16"/>
      <c r="C17" s="16"/>
      <c r="D17" s="16"/>
      <c r="E17" s="16"/>
      <c r="F17" s="26"/>
      <c r="G17" s="25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26"/>
      <c r="V17" s="26"/>
    </row>
    <row r="18" spans="1:22" x14ac:dyDescent="0.25">
      <c r="A18" s="16"/>
      <c r="B18" s="16"/>
      <c r="C18" s="16"/>
      <c r="D18" s="16"/>
      <c r="E18" s="16"/>
      <c r="F18" s="26"/>
      <c r="G18" s="25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26"/>
      <c r="V18" s="26"/>
    </row>
    <row r="19" spans="1:22" x14ac:dyDescent="0.25">
      <c r="A19" s="34" t="s">
        <v>77</v>
      </c>
      <c r="B19" s="34">
        <v>803</v>
      </c>
      <c r="C19" s="34">
        <v>65</v>
      </c>
      <c r="D19" s="34">
        <v>18</v>
      </c>
      <c r="E19" s="34">
        <f t="shared" ref="E19" si="12">B19*C19/1000000</f>
        <v>5.2194999999999998E-2</v>
      </c>
      <c r="F19" s="20"/>
      <c r="G19" s="7" t="s">
        <v>3</v>
      </c>
      <c r="H19" s="34">
        <f>ROUND(Q19+T19/Раскройка!$F$2,0)</f>
        <v>454</v>
      </c>
      <c r="I19" s="34" t="s">
        <v>75</v>
      </c>
      <c r="J19" s="34">
        <v>0</v>
      </c>
      <c r="K19" s="34" t="s">
        <v>44</v>
      </c>
      <c r="L19" s="34">
        <v>0</v>
      </c>
      <c r="M19" s="34">
        <f>E19*(0.25*(VLOOKUP(I19,Покрытия!$A$2:$B$40,2,FALSE)*J19+VLOOKUP(K19,Покрытия!$A$2:$B$40,2,FALSE)*L19)+H19)</f>
        <v>23.696529999999999</v>
      </c>
      <c r="N19" s="34">
        <v>7</v>
      </c>
      <c r="O19" s="34">
        <f t="shared" ref="O19" si="13">M19*N19</f>
        <v>165.87571</v>
      </c>
      <c r="P19" s="9"/>
      <c r="Q19" s="34">
        <f t="array" ref="Q19">INDEX(Материалы!$C$2:$C$50,MATCH(G19&amp;D19,Материалы!$A$2:$A$50&amp;Материалы!$B$2:$B$50,0))</f>
        <v>390</v>
      </c>
      <c r="R19" s="34">
        <f>FLOOR(Раскройка!$D$2/B19,1)*FLOOR(Раскройка!$C$2/C19,1)</f>
        <v>93</v>
      </c>
      <c r="S19" s="34">
        <f>MAX(Раскройка!$F$2-E19*R19,0)</f>
        <v>0.9458650000000004</v>
      </c>
      <c r="T19" s="34">
        <f t="shared" ref="T19" si="14">Q19*S19</f>
        <v>368.88735000000014</v>
      </c>
      <c r="U19" s="9"/>
      <c r="V19" s="26"/>
    </row>
    <row r="20" spans="1:22" x14ac:dyDescent="0.25">
      <c r="A20" s="34" t="s">
        <v>77</v>
      </c>
      <c r="B20" s="34">
        <v>803</v>
      </c>
      <c r="C20" s="34">
        <v>255</v>
      </c>
      <c r="D20" s="34">
        <v>18</v>
      </c>
      <c r="E20" s="34">
        <f t="shared" ref="E20" si="15">B20*C20/1000000</f>
        <v>0.204765</v>
      </c>
      <c r="F20" s="20"/>
      <c r="G20" s="7" t="s">
        <v>3</v>
      </c>
      <c r="H20" s="34">
        <f>ROUND(Q20+T20/Раскройка!$F$2,0)</f>
        <v>450</v>
      </c>
      <c r="I20" s="34" t="s">
        <v>75</v>
      </c>
      <c r="J20" s="34">
        <v>0</v>
      </c>
      <c r="K20" s="34" t="s">
        <v>44</v>
      </c>
      <c r="L20" s="34">
        <v>0</v>
      </c>
      <c r="M20" s="34">
        <f>E20*(0.25*(VLOOKUP(I20,Покрытия!$A$2:$B$40,2,FALSE)*J20+VLOOKUP(K20,Покрытия!$A$2:$B$40,2,FALSE)*L20)+H20)</f>
        <v>92.14425</v>
      </c>
      <c r="N20" s="34">
        <v>1</v>
      </c>
      <c r="O20" s="34">
        <f t="shared" ref="O20" si="16">M20*N20</f>
        <v>92.14425</v>
      </c>
      <c r="P20" s="9"/>
      <c r="Q20" s="34">
        <f t="array" ref="Q20">INDEX(Материалы!$C$2:$C$50,MATCH(G20&amp;D20,Материалы!$A$2:$A$50&amp;Материалы!$B$2:$B$50,0))</f>
        <v>390</v>
      </c>
      <c r="R20" s="34">
        <f>FLOOR(Раскройка!$D$2/B20,1)*FLOOR(Раскройка!$C$2/C20,1)</f>
        <v>24</v>
      </c>
      <c r="S20" s="34">
        <f>MAX(Раскройка!$F$2-E20*R20,0)</f>
        <v>0.88563999999999954</v>
      </c>
      <c r="T20" s="34">
        <f t="shared" ref="T20" si="17">Q20*S20</f>
        <v>345.39959999999979</v>
      </c>
      <c r="U20" s="9"/>
      <c r="V20" s="26"/>
    </row>
    <row r="21" spans="1:22" x14ac:dyDescent="0.25">
      <c r="A21" s="34" t="s">
        <v>78</v>
      </c>
      <c r="B21" s="34">
        <v>510</v>
      </c>
      <c r="C21" s="34">
        <v>65</v>
      </c>
      <c r="D21" s="34">
        <v>18</v>
      </c>
      <c r="E21" s="34">
        <f>B21*C21/1000000</f>
        <v>3.3149999999999999E-2</v>
      </c>
      <c r="F21" s="20"/>
      <c r="G21" s="7" t="s">
        <v>3</v>
      </c>
      <c r="H21" s="34">
        <f>ROUND(Q21+T21/Раскройка!$F$2,0)</f>
        <v>434</v>
      </c>
      <c r="I21" s="34" t="s">
        <v>75</v>
      </c>
      <c r="J21" s="34">
        <v>0</v>
      </c>
      <c r="K21" s="34" t="s">
        <v>44</v>
      </c>
      <c r="L21" s="34">
        <v>0</v>
      </c>
      <c r="M21" s="34">
        <f>E21*(0.25*(VLOOKUP(I21,Покрытия!$A$2:$B$40,2,FALSE)*J21+VLOOKUP(K21,Покрытия!$A$2:$B$40,2,FALSE)*L21)+H21)</f>
        <v>14.3871</v>
      </c>
      <c r="N21" s="34">
        <v>2</v>
      </c>
      <c r="O21" s="34">
        <f>M21*N21</f>
        <v>28.7742</v>
      </c>
      <c r="P21" s="9"/>
      <c r="Q21" s="34">
        <f t="array" ref="Q21">INDEX(Материалы!$C$2:$C$50,MATCH(G21&amp;D21,Материалы!$A$2:$A$50&amp;Материалы!$B$2:$B$50,0))</f>
        <v>390</v>
      </c>
      <c r="R21" s="34">
        <f>FLOOR(Раскройка!$D$2/B21,1)*FLOOR(Раскройка!$C$2/C21,1)</f>
        <v>155</v>
      </c>
      <c r="S21" s="34">
        <f>MAX(Раскройка!$F$2-E21*R21,0)</f>
        <v>0.66174999999999962</v>
      </c>
      <c r="T21" s="34">
        <f>Q21*S21</f>
        <v>258.08249999999987</v>
      </c>
      <c r="U21" s="9"/>
      <c r="V21" s="26"/>
    </row>
    <row r="22" spans="1:22" x14ac:dyDescent="0.25">
      <c r="A22" s="34" t="s">
        <v>78</v>
      </c>
      <c r="B22" s="34">
        <v>516</v>
      </c>
      <c r="C22" s="34">
        <v>65</v>
      </c>
      <c r="D22" s="34">
        <v>18</v>
      </c>
      <c r="E22" s="34">
        <f t="shared" ref="E22" si="18">B22*C22/1000000</f>
        <v>3.354E-2</v>
      </c>
      <c r="F22" s="20"/>
      <c r="G22" s="7" t="s">
        <v>3</v>
      </c>
      <c r="H22" s="34">
        <f>ROUND(Q22+T22/Раскройка!$F$2,0)</f>
        <v>430</v>
      </c>
      <c r="I22" s="34" t="s">
        <v>75</v>
      </c>
      <c r="J22" s="34">
        <v>0</v>
      </c>
      <c r="K22" s="34" t="s">
        <v>44</v>
      </c>
      <c r="L22" s="34">
        <v>0</v>
      </c>
      <c r="M22" s="34">
        <f>E22*(0.25*(VLOOKUP(I22,Покрытия!$A$2:$B$40,2,FALSE)*J22+VLOOKUP(K22,Покрытия!$A$2:$B$40,2,FALSE)*L22)+H22)</f>
        <v>14.4222</v>
      </c>
      <c r="N22" s="34">
        <v>4</v>
      </c>
      <c r="O22" s="34">
        <f t="shared" ref="O22" si="19">M22*N22</f>
        <v>57.688800000000001</v>
      </c>
      <c r="P22" s="9"/>
      <c r="Q22" s="34">
        <f t="array" ref="Q22">INDEX(Материалы!$C$2:$C$50,MATCH(G22&amp;D22,Материалы!$A$2:$A$50&amp;Материалы!$B$2:$B$50,0))</f>
        <v>390</v>
      </c>
      <c r="R22" s="34">
        <f>FLOOR(Раскройка!$D$2/B22,1)*FLOOR(Раскройка!$C$2/C22,1)</f>
        <v>155</v>
      </c>
      <c r="S22" s="34">
        <f>MAX(Раскройка!$F$2-E22*R22,0)</f>
        <v>0.60130000000000017</v>
      </c>
      <c r="T22" s="34">
        <f t="shared" ref="T22" si="20">Q22*S22</f>
        <v>234.50700000000006</v>
      </c>
      <c r="U22" s="9"/>
      <c r="V22" s="26"/>
    </row>
    <row r="23" spans="1:22" x14ac:dyDescent="0.25">
      <c r="A23" s="34" t="s">
        <v>78</v>
      </c>
      <c r="B23" s="34">
        <v>778</v>
      </c>
      <c r="C23" s="34">
        <v>65</v>
      </c>
      <c r="D23" s="34">
        <v>18</v>
      </c>
      <c r="E23" s="34">
        <f t="shared" ref="E23" si="21">B23*C23/1000000</f>
        <v>5.0569999999999997E-2</v>
      </c>
      <c r="F23" s="20"/>
      <c r="G23" s="7" t="s">
        <v>3</v>
      </c>
      <c r="H23" s="34">
        <f>ROUND(Q23+T23/Раскройка!$F$2,0)</f>
        <v>464</v>
      </c>
      <c r="I23" s="34" t="s">
        <v>75</v>
      </c>
      <c r="J23" s="34">
        <v>0</v>
      </c>
      <c r="K23" s="34" t="s">
        <v>44</v>
      </c>
      <c r="L23" s="34">
        <v>0</v>
      </c>
      <c r="M23" s="34">
        <f>E23*(0.25*(VLOOKUP(I23,Покрытия!$A$2:$B$40,2,FALSE)*J23+VLOOKUP(K23,Покрытия!$A$2:$B$40,2,FALSE)*L23)+H23)</f>
        <v>23.464479999999998</v>
      </c>
      <c r="N23" s="34">
        <v>2</v>
      </c>
      <c r="O23" s="34">
        <f t="shared" ref="O23" si="22">M23*N23</f>
        <v>46.928959999999996</v>
      </c>
      <c r="P23" s="9"/>
      <c r="Q23" s="34">
        <f t="array" ref="Q23">INDEX(Материалы!$C$2:$C$50,MATCH(G23&amp;D23,Материалы!$A$2:$A$50&amp;Материалы!$B$2:$B$50,0))</f>
        <v>390</v>
      </c>
      <c r="R23" s="34">
        <f>FLOOR(Раскройка!$D$2/B23,1)*FLOOR(Раскройка!$C$2/C23,1)</f>
        <v>93</v>
      </c>
      <c r="S23" s="34">
        <f>MAX(Раскройка!$F$2-E23*R23,0)</f>
        <v>1.0969899999999999</v>
      </c>
      <c r="T23" s="34">
        <f t="shared" ref="T23" si="23">Q23*S23</f>
        <v>427.82609999999994</v>
      </c>
      <c r="V23" s="26"/>
    </row>
    <row r="24" spans="1:22" x14ac:dyDescent="0.25">
      <c r="A24" s="34" t="s">
        <v>78</v>
      </c>
      <c r="B24" s="34">
        <v>515</v>
      </c>
      <c r="C24" s="34">
        <v>65</v>
      </c>
      <c r="D24" s="34">
        <v>18</v>
      </c>
      <c r="E24" s="34">
        <f t="shared" ref="E24" si="24">B24*C24/1000000</f>
        <v>3.3474999999999998E-2</v>
      </c>
      <c r="F24" s="20"/>
      <c r="G24" s="7" t="s">
        <v>3</v>
      </c>
      <c r="H24" s="34">
        <f>ROUND(Q24+T24/Раскройка!$F$2,0)</f>
        <v>431</v>
      </c>
      <c r="I24" s="34" t="s">
        <v>75</v>
      </c>
      <c r="J24" s="34">
        <v>0</v>
      </c>
      <c r="K24" s="34" t="s">
        <v>44</v>
      </c>
      <c r="L24" s="34">
        <v>0</v>
      </c>
      <c r="M24" s="34">
        <f>E24*(0.25*(VLOOKUP(I24,Покрытия!$A$2:$B$40,2,FALSE)*J24+VLOOKUP(K24,Покрытия!$A$2:$B$40,2,FALSE)*L24)+H24)</f>
        <v>14.427724999999999</v>
      </c>
      <c r="N24" s="34">
        <v>2</v>
      </c>
      <c r="O24" s="34">
        <f t="shared" ref="O24" si="25">M24*N24</f>
        <v>28.855449999999998</v>
      </c>
      <c r="P24" s="9"/>
      <c r="Q24" s="34">
        <f t="array" ref="Q24">INDEX(Материалы!$C$2:$C$50,MATCH(G24&amp;D24,Материалы!$A$2:$A$50&amp;Материалы!$B$2:$B$50,0))</f>
        <v>390</v>
      </c>
      <c r="R24" s="34">
        <f>FLOOR(Раскройка!$D$2/B24,1)*FLOOR(Раскройка!$C$2/C24,1)</f>
        <v>155</v>
      </c>
      <c r="S24" s="34">
        <f>MAX(Раскройка!$F$2-E24*R24,0)</f>
        <v>0.61137499999999978</v>
      </c>
      <c r="T24" s="34">
        <f t="shared" ref="T24" si="26">Q24*S24</f>
        <v>238.43624999999992</v>
      </c>
      <c r="V24" s="26"/>
    </row>
    <row r="25" spans="1:22" x14ac:dyDescent="0.25">
      <c r="A25" s="34" t="s">
        <v>78</v>
      </c>
      <c r="B25" s="34">
        <v>597</v>
      </c>
      <c r="C25" s="34">
        <v>65</v>
      </c>
      <c r="D25" s="34">
        <v>18</v>
      </c>
      <c r="E25" s="34">
        <f t="shared" ref="E25" si="27">B25*C25/1000000</f>
        <v>3.8804999999999999E-2</v>
      </c>
      <c r="F25" s="20"/>
      <c r="G25" s="7" t="s">
        <v>3</v>
      </c>
      <c r="H25" s="34">
        <f>ROUND(Q25+T25/Раскройка!$F$2,0)</f>
        <v>456</v>
      </c>
      <c r="I25" s="34" t="s">
        <v>75</v>
      </c>
      <c r="J25" s="34">
        <v>0</v>
      </c>
      <c r="K25" s="34" t="s">
        <v>44</v>
      </c>
      <c r="L25" s="34">
        <v>0</v>
      </c>
      <c r="M25" s="34">
        <f>E25*(0.25*(VLOOKUP(I25,Покрытия!$A$2:$B$40,2,FALSE)*J25+VLOOKUP(K25,Покрытия!$A$2:$B$40,2,FALSE)*L25)+H25)</f>
        <v>17.695080000000001</v>
      </c>
      <c r="N25" s="34">
        <v>2</v>
      </c>
      <c r="O25" s="34">
        <f t="shared" ref="O25" si="28">M25*N25</f>
        <v>35.390160000000002</v>
      </c>
      <c r="P25" s="9"/>
      <c r="Q25" s="34">
        <f t="array" ref="Q25">INDEX(Материалы!$C$2:$C$50,MATCH(G25&amp;D25,Материалы!$A$2:$A$50&amp;Материалы!$B$2:$B$50,0))</f>
        <v>390</v>
      </c>
      <c r="R25" s="34">
        <f>FLOOR(Раскройка!$D$2/B25,1)*FLOOR(Раскройка!$C$2/C25,1)</f>
        <v>124</v>
      </c>
      <c r="S25" s="34">
        <f>MAX(Раскройка!$F$2-E25*R25,0)</f>
        <v>0.98817999999999984</v>
      </c>
      <c r="T25" s="34">
        <f t="shared" ref="T25" si="29">Q25*S25</f>
        <v>385.39019999999994</v>
      </c>
      <c r="U25" s="26"/>
      <c r="V25" s="26"/>
    </row>
    <row r="26" spans="1:22" x14ac:dyDescent="0.25">
      <c r="A26" s="34" t="s">
        <v>57</v>
      </c>
      <c r="B26" s="34">
        <v>510</v>
      </c>
      <c r="C26" s="34">
        <v>376</v>
      </c>
      <c r="D26" s="34">
        <v>18</v>
      </c>
      <c r="E26" s="34">
        <f>B26*C26/1000000</f>
        <v>0.19176000000000001</v>
      </c>
      <c r="F26" s="20"/>
      <c r="G26" s="7" t="s">
        <v>3</v>
      </c>
      <c r="H26" s="34">
        <f>ROUND(Q26+T26/Раскройка!$F$2,0)</f>
        <v>458</v>
      </c>
      <c r="I26" s="34" t="s">
        <v>75</v>
      </c>
      <c r="J26" s="34">
        <v>0</v>
      </c>
      <c r="K26" s="34" t="s">
        <v>44</v>
      </c>
      <c r="L26" s="34">
        <v>0</v>
      </c>
      <c r="M26" s="34">
        <f>E26*(0.25*(VLOOKUP(I26,Покрытия!$A$2:$B$40,2,FALSE)*J26+VLOOKUP(K26,Покрытия!$A$2:$B$40,2,FALSE)*L26)+H26)</f>
        <v>87.826080000000005</v>
      </c>
      <c r="N26" s="34">
        <v>2</v>
      </c>
      <c r="O26" s="34">
        <f t="shared" ref="O26:O49" si="30">M26*N26</f>
        <v>175.65216000000001</v>
      </c>
      <c r="P26" s="9"/>
      <c r="Q26" s="34">
        <f t="array" ref="Q26">INDEX(Материалы!$C$2:$C$50,MATCH(G26&amp;D26,Материалы!$A$2:$A$50&amp;Материалы!$B$2:$B$50,0))</f>
        <v>390</v>
      </c>
      <c r="R26" s="34">
        <f>FLOOR(Раскройка!$D$2/B26,1)*FLOOR(Раскройка!$C$2/C26,1)</f>
        <v>25</v>
      </c>
      <c r="S26" s="34">
        <f>MAX(Раскройка!$F$2-E26*R26,0)</f>
        <v>1.0059999999999993</v>
      </c>
      <c r="T26" s="34">
        <f t="shared" ref="T26:T49" si="31">Q26*S26</f>
        <v>392.33999999999975</v>
      </c>
      <c r="U26" s="16"/>
      <c r="V26" s="26"/>
    </row>
    <row r="27" spans="1:22" x14ac:dyDescent="0.25">
      <c r="A27" s="34" t="s">
        <v>57</v>
      </c>
      <c r="B27" s="34">
        <v>778</v>
      </c>
      <c r="C27" s="34">
        <v>803</v>
      </c>
      <c r="D27" s="34">
        <v>18</v>
      </c>
      <c r="E27" s="34">
        <f>B27*C27/1000000</f>
        <v>0.62473400000000001</v>
      </c>
      <c r="F27" s="20"/>
      <c r="G27" s="7" t="s">
        <v>3</v>
      </c>
      <c r="H27" s="34">
        <f>ROUND(Q27+T27/Раскройка!$F$2,0)</f>
        <v>528</v>
      </c>
      <c r="I27" s="34" t="s">
        <v>75</v>
      </c>
      <c r="J27" s="34">
        <v>0</v>
      </c>
      <c r="K27" s="34" t="s">
        <v>44</v>
      </c>
      <c r="L27" s="34">
        <v>0</v>
      </c>
      <c r="M27" s="34">
        <f>E27*(0.25*(VLOOKUP(I27,Покрытия!$A$2:$B$40,2,FALSE)*J27+VLOOKUP(K27,Покрытия!$A$2:$B$40,2,FALSE)*L27)+H27)</f>
        <v>329.85955200000001</v>
      </c>
      <c r="N27" s="34">
        <v>1</v>
      </c>
      <c r="O27" s="34">
        <f t="shared" si="30"/>
        <v>329.85955200000001</v>
      </c>
      <c r="P27" s="9"/>
      <c r="Q27" s="34">
        <f t="array" ref="Q27">INDEX(Материалы!$C$2:$C$50,MATCH(G27&amp;D27,Материалы!$A$2:$A$50&amp;Материалы!$B$2:$B$50,0))</f>
        <v>390</v>
      </c>
      <c r="R27" s="34">
        <f>FLOOR(Раскройка!$D$2/B27,1)*FLOOR(Раскройка!$C$2/C27,1)</f>
        <v>6</v>
      </c>
      <c r="S27" s="34">
        <f>MAX(Раскройка!$F$2-E27*R27,0)</f>
        <v>2.051596</v>
      </c>
      <c r="T27" s="34">
        <f t="shared" si="31"/>
        <v>800.12243999999998</v>
      </c>
      <c r="U27" s="16"/>
      <c r="V27" s="26"/>
    </row>
    <row r="28" spans="1:22" x14ac:dyDescent="0.25">
      <c r="A28" s="34" t="s">
        <v>57</v>
      </c>
      <c r="B28" s="34">
        <v>516</v>
      </c>
      <c r="C28" s="34">
        <v>803</v>
      </c>
      <c r="D28" s="34">
        <v>18</v>
      </c>
      <c r="E28" s="34">
        <f>B28*C28/1000000</f>
        <v>0.41434799999999999</v>
      </c>
      <c r="F28" s="20"/>
      <c r="G28" s="7" t="s">
        <v>3</v>
      </c>
      <c r="H28" s="34">
        <f>ROUND(Q28+T28/Раскройка!$F$2,0)</f>
        <v>501</v>
      </c>
      <c r="I28" s="34" t="s">
        <v>75</v>
      </c>
      <c r="J28" s="34">
        <v>0</v>
      </c>
      <c r="K28" s="34" t="s">
        <v>44</v>
      </c>
      <c r="L28" s="34">
        <v>0</v>
      </c>
      <c r="M28" s="34">
        <f>E28*(0.25*(VLOOKUP(I28,Покрытия!$A$2:$B$40,2,FALSE)*J28+VLOOKUP(K28,Покрытия!$A$2:$B$40,2,FALSE)*L28)+H28)</f>
        <v>207.588348</v>
      </c>
      <c r="N28" s="34">
        <v>2</v>
      </c>
      <c r="O28" s="34">
        <f t="shared" si="30"/>
        <v>415.17669599999999</v>
      </c>
      <c r="P28" s="9"/>
      <c r="Q28" s="34">
        <f t="array" ref="Q28">INDEX(Материалы!$C$2:$C$50,MATCH(G28&amp;D28,Материалы!$A$2:$A$50&amp;Материалы!$B$2:$B$50,0))</f>
        <v>390</v>
      </c>
      <c r="R28" s="34">
        <f>FLOOR(Раскройка!$D$2/B28,1)*FLOOR(Раскройка!$C$2/C28,1)</f>
        <v>10</v>
      </c>
      <c r="S28" s="34">
        <f>MAX(Раскройка!$F$2-E28*R28,0)</f>
        <v>1.6565199999999995</v>
      </c>
      <c r="T28" s="34">
        <f t="shared" si="31"/>
        <v>646.04279999999983</v>
      </c>
      <c r="U28" s="16"/>
    </row>
    <row r="29" spans="1:22" x14ac:dyDescent="0.25">
      <c r="A29" s="34" t="s">
        <v>57</v>
      </c>
      <c r="B29" s="34">
        <v>597</v>
      </c>
      <c r="C29" s="34">
        <v>803</v>
      </c>
      <c r="D29" s="34">
        <v>18</v>
      </c>
      <c r="E29" s="34">
        <f>B29*C29/1000000</f>
        <v>0.47939100000000001</v>
      </c>
      <c r="F29" s="20"/>
      <c r="G29" s="7" t="s">
        <v>3</v>
      </c>
      <c r="H29" s="34">
        <f>ROUND(Q29+T29/Раскройка!$F$2,0)</f>
        <v>522</v>
      </c>
      <c r="I29" s="34" t="s">
        <v>75</v>
      </c>
      <c r="J29" s="34">
        <v>0</v>
      </c>
      <c r="K29" s="34" t="s">
        <v>44</v>
      </c>
      <c r="L29" s="34">
        <v>0</v>
      </c>
      <c r="M29" s="34">
        <f>E29*(0.25*(VLOOKUP(I29,Покрытия!$A$2:$B$40,2,FALSE)*J29+VLOOKUP(K29,Покрытия!$A$2:$B$40,2,FALSE)*L29)+H29)</f>
        <v>250.24210200000002</v>
      </c>
      <c r="N29" s="34">
        <v>1</v>
      </c>
      <c r="O29" s="34">
        <f t="shared" si="30"/>
        <v>250.24210200000002</v>
      </c>
      <c r="P29" s="9"/>
      <c r="Q29" s="34">
        <f t="array" ref="Q29">INDEX(Материалы!$C$2:$C$50,MATCH(G29&amp;D29,Материалы!$A$2:$A$50&amp;Материалы!$B$2:$B$50,0))</f>
        <v>390</v>
      </c>
      <c r="R29" s="34">
        <f>FLOOR(Раскройка!$D$2/B29,1)*FLOOR(Раскройка!$C$2/C29,1)</f>
        <v>8</v>
      </c>
      <c r="S29" s="34">
        <f>MAX(Раскройка!$F$2-E29*R29,0)</f>
        <v>1.9648719999999997</v>
      </c>
      <c r="T29" s="34">
        <f t="shared" si="31"/>
        <v>766.30007999999987</v>
      </c>
      <c r="U29" s="16"/>
      <c r="V29" s="26"/>
    </row>
    <row r="30" spans="1:22" x14ac:dyDescent="0.25">
      <c r="A30" s="34" t="s">
        <v>93</v>
      </c>
      <c r="B30" s="34">
        <v>376</v>
      </c>
      <c r="C30" s="34">
        <v>55</v>
      </c>
      <c r="D30" s="34">
        <v>18</v>
      </c>
      <c r="E30" s="34">
        <f t="shared" ref="E30:E37" si="32">B30*C30*D30/1000000000</f>
        <v>3.7223999999999997E-4</v>
      </c>
      <c r="F30" s="34">
        <f t="shared" ref="F30:F37" si="33">B30*C30/1000000</f>
        <v>2.068E-2</v>
      </c>
      <c r="G30" s="34" t="s">
        <v>11</v>
      </c>
      <c r="H30" s="34">
        <f>ROUND(Q30+T30/Раскройка!$F$11,0)</f>
        <v>437656</v>
      </c>
      <c r="I30" s="34" t="s">
        <v>75</v>
      </c>
      <c r="J30" s="34">
        <v>2</v>
      </c>
      <c r="K30" s="34" t="s">
        <v>44</v>
      </c>
      <c r="L30" s="34">
        <v>3</v>
      </c>
      <c r="M30" s="34">
        <f>E30*H30+0.25*((VLOOKUP(I30,Покрытия!$A$2:$B$50,2,FALSE)*J30+VLOOKUP(K30,Покрытия!$A$2:$B$50,2,FALSE)*L30)*F30)</f>
        <v>193.93306944</v>
      </c>
      <c r="N30" s="34">
        <v>4</v>
      </c>
      <c r="O30" s="34">
        <f t="shared" si="30"/>
        <v>775.73227775999999</v>
      </c>
      <c r="P30" s="9"/>
      <c r="Q30" s="34">
        <f t="array" ref="Q30">INDEX(Материалы!$C$2:$C$50,MATCH(G30,Материалы!$A$2:$A$50,0))</f>
        <v>308000</v>
      </c>
      <c r="R30" s="34">
        <f>FLOOR(Раскройка!$C$11/C30,1)*FLOOR(Раскройка!$D$11/B30,1)</f>
        <v>35</v>
      </c>
      <c r="S30" s="34">
        <f>MAX(Раскройка!$F$11-E30*R30,0)</f>
        <v>9.4716000000000002E-3</v>
      </c>
      <c r="T30" s="34">
        <f t="shared" si="31"/>
        <v>2917.2528000000002</v>
      </c>
      <c r="U30" s="26"/>
      <c r="V30" s="26"/>
    </row>
    <row r="31" spans="1:22" x14ac:dyDescent="0.25">
      <c r="A31" s="34" t="s">
        <v>99</v>
      </c>
      <c r="B31" s="34">
        <v>510</v>
      </c>
      <c r="C31" s="34">
        <v>55</v>
      </c>
      <c r="D31" s="34">
        <v>18</v>
      </c>
      <c r="E31" s="34">
        <f t="shared" si="32"/>
        <v>5.0489999999999997E-4</v>
      </c>
      <c r="F31" s="34">
        <f t="shared" si="33"/>
        <v>2.8049999999999999E-2</v>
      </c>
      <c r="G31" s="34" t="s">
        <v>11</v>
      </c>
      <c r="H31" s="34">
        <f>ROUND(Q31+T31/Раскройка!$F$11,0)</f>
        <v>443212</v>
      </c>
      <c r="I31" s="34" t="s">
        <v>75</v>
      </c>
      <c r="J31" s="34">
        <v>2</v>
      </c>
      <c r="K31" s="34" t="s">
        <v>44</v>
      </c>
      <c r="L31" s="34">
        <v>3</v>
      </c>
      <c r="M31" s="34">
        <f>E31*H31+0.25*((VLOOKUP(I31,Покрытия!$A$2:$B$50,2,FALSE)*J31+VLOOKUP(K31,Покрытия!$A$2:$B$50,2,FALSE)*L31)*F31)</f>
        <v>265.8527388</v>
      </c>
      <c r="N31" s="34">
        <v>4</v>
      </c>
      <c r="O31" s="34">
        <f t="shared" si="30"/>
        <v>1063.4109552</v>
      </c>
      <c r="P31" s="9"/>
      <c r="Q31" s="34">
        <f t="array" ref="Q31">INDEX(Материалы!$C$2:$C$50,MATCH(G31,Материалы!$A$2:$A$50,0))</f>
        <v>308000</v>
      </c>
      <c r="R31" s="34">
        <f>FLOOR(Раскройка!$C$11/C31,1)*FLOOR(Раскройка!$D$11/B31,1)</f>
        <v>25</v>
      </c>
      <c r="S31" s="34">
        <f>MAX(Раскройка!$F$11-E31*R31,0)</f>
        <v>9.8775000000000009E-3</v>
      </c>
      <c r="T31" s="34">
        <f t="shared" si="31"/>
        <v>3042.2700000000004</v>
      </c>
      <c r="V31" s="16"/>
    </row>
    <row r="32" spans="1:22" x14ac:dyDescent="0.25">
      <c r="A32" s="34" t="s">
        <v>93</v>
      </c>
      <c r="B32" s="34">
        <f>803-65*2</f>
        <v>673</v>
      </c>
      <c r="C32" s="34">
        <v>55</v>
      </c>
      <c r="D32" s="34">
        <v>18</v>
      </c>
      <c r="E32" s="34">
        <f t="shared" si="32"/>
        <v>6.6626999999999995E-4</v>
      </c>
      <c r="F32" s="34">
        <f t="shared" si="33"/>
        <v>3.7014999999999999E-2</v>
      </c>
      <c r="G32" s="34" t="s">
        <v>11</v>
      </c>
      <c r="H32" s="34">
        <f>ROUND(Q32+T32/Раскройка!$F$11,0)</f>
        <v>433590</v>
      </c>
      <c r="I32" s="34" t="s">
        <v>75</v>
      </c>
      <c r="J32" s="34">
        <v>2</v>
      </c>
      <c r="K32" s="34" t="s">
        <v>44</v>
      </c>
      <c r="L32" s="34">
        <v>3</v>
      </c>
      <c r="M32" s="34">
        <f>E32*H32+0.25*((VLOOKUP(I32,Покрытия!$A$2:$B$50,2,FALSE)*J32+VLOOKUP(K32,Покрытия!$A$2:$B$50,2,FALSE)*L32)*F32)</f>
        <v>344.41050929999994</v>
      </c>
      <c r="N32" s="34">
        <v>2</v>
      </c>
      <c r="O32" s="34">
        <f t="shared" si="30"/>
        <v>688.82101859999989</v>
      </c>
      <c r="P32" s="9"/>
      <c r="Q32" s="34">
        <f t="array" ref="Q32">INDEX(Материалы!$C$2:$C$50,MATCH(G32,Материалы!$A$2:$A$50,0))</f>
        <v>308000</v>
      </c>
      <c r="R32" s="34">
        <f>FLOOR(Раскройка!$C$11/C32,1)*FLOOR(Раскройка!$D$11/B32,1)</f>
        <v>20</v>
      </c>
      <c r="S32" s="34">
        <f>MAX(Раскройка!$F$11-E32*R32,0)</f>
        <v>9.1745999999999998E-3</v>
      </c>
      <c r="T32" s="34">
        <f t="shared" si="31"/>
        <v>2825.7768000000001</v>
      </c>
      <c r="U32" s="26"/>
      <c r="V32" s="26"/>
    </row>
    <row r="33" spans="1:22" x14ac:dyDescent="0.25">
      <c r="A33" s="34" t="s">
        <v>99</v>
      </c>
      <c r="B33" s="34">
        <v>778</v>
      </c>
      <c r="C33" s="34">
        <v>55</v>
      </c>
      <c r="D33" s="34">
        <v>18</v>
      </c>
      <c r="E33" s="34">
        <f t="shared" si="32"/>
        <v>7.7021999999999995E-4</v>
      </c>
      <c r="F33" s="34">
        <f t="shared" si="33"/>
        <v>4.2790000000000002E-2</v>
      </c>
      <c r="G33" s="34" t="s">
        <v>11</v>
      </c>
      <c r="H33" s="34">
        <f>ROUND(Q33+T33/Раскройка!$F$11,0)</f>
        <v>457848</v>
      </c>
      <c r="I33" s="34" t="s">
        <v>75</v>
      </c>
      <c r="J33" s="34">
        <v>2</v>
      </c>
      <c r="K33" s="34" t="s">
        <v>44</v>
      </c>
      <c r="L33" s="34">
        <v>3</v>
      </c>
      <c r="M33" s="34">
        <f>E33*H33+0.25*((VLOOKUP(I33,Покрытия!$A$2:$B$50,2,FALSE)*J33+VLOOKUP(K33,Покрытия!$A$2:$B$50,2,FALSE)*L33)*F33)</f>
        <v>416.82868655999999</v>
      </c>
      <c r="N33" s="34">
        <v>2</v>
      </c>
      <c r="O33" s="34">
        <f t="shared" si="30"/>
        <v>833.65737311999999</v>
      </c>
      <c r="P33" s="9"/>
      <c r="Q33" s="34">
        <f t="array" ref="Q33">INDEX(Материалы!$C$2:$C$50,MATCH(G33,Материалы!$A$2:$A$50,0))</f>
        <v>308000</v>
      </c>
      <c r="R33" s="34">
        <f>FLOOR(Раскройка!$C$11/C33,1)*FLOOR(Раскройка!$D$11/B33,1)</f>
        <v>15</v>
      </c>
      <c r="S33" s="34">
        <f>MAX(Раскройка!$F$11-E33*R33,0)</f>
        <v>1.09467E-2</v>
      </c>
      <c r="T33" s="34">
        <f t="shared" si="31"/>
        <v>3371.5835999999999</v>
      </c>
    </row>
    <row r="34" spans="1:22" x14ac:dyDescent="0.25">
      <c r="A34" s="34" t="s">
        <v>93</v>
      </c>
      <c r="B34" s="34">
        <f>803-65*2</f>
        <v>673</v>
      </c>
      <c r="C34" s="34">
        <v>55</v>
      </c>
      <c r="D34" s="34">
        <v>18</v>
      </c>
      <c r="E34" s="34">
        <f t="shared" si="32"/>
        <v>6.6626999999999995E-4</v>
      </c>
      <c r="F34" s="34">
        <f t="shared" si="33"/>
        <v>3.7014999999999999E-2</v>
      </c>
      <c r="G34" s="34" t="s">
        <v>11</v>
      </c>
      <c r="H34" s="34">
        <f>ROUND(Q34+T34/Раскройка!$F$11,0)</f>
        <v>433590</v>
      </c>
      <c r="I34" s="34" t="s">
        <v>75</v>
      </c>
      <c r="J34" s="34">
        <v>2</v>
      </c>
      <c r="K34" s="34" t="s">
        <v>44</v>
      </c>
      <c r="L34" s="34">
        <v>3</v>
      </c>
      <c r="M34" s="34">
        <f>E34*H34+0.25*((VLOOKUP(I34,Покрытия!$A$2:$B$50,2,FALSE)*J34+VLOOKUP(K34,Покрытия!$A$2:$B$50,2,FALSE)*L34)*F34)</f>
        <v>344.41050929999994</v>
      </c>
      <c r="N34" s="34">
        <v>4</v>
      </c>
      <c r="O34" s="34">
        <f t="shared" si="30"/>
        <v>1377.6420371999998</v>
      </c>
      <c r="P34" s="9"/>
      <c r="Q34" s="34">
        <f t="array" ref="Q34">INDEX(Материалы!$C$2:$C$50,MATCH(G34,Материалы!$A$2:$A$50,0))</f>
        <v>308000</v>
      </c>
      <c r="R34" s="34">
        <f>FLOOR(Раскройка!$C$11/C34,1)*FLOOR(Раскройка!$D$11/B34,1)</f>
        <v>20</v>
      </c>
      <c r="S34" s="34">
        <f>MAX(Раскройка!$F$11-E34*R34,0)</f>
        <v>9.1745999999999998E-3</v>
      </c>
      <c r="T34" s="34">
        <f t="shared" si="31"/>
        <v>2825.7768000000001</v>
      </c>
      <c r="U34" s="26"/>
      <c r="V34" s="26"/>
    </row>
    <row r="35" spans="1:22" x14ac:dyDescent="0.25">
      <c r="A35" s="34" t="s">
        <v>99</v>
      </c>
      <c r="B35" s="34">
        <v>516</v>
      </c>
      <c r="C35" s="34">
        <v>55</v>
      </c>
      <c r="D35" s="34">
        <v>18</v>
      </c>
      <c r="E35" s="34">
        <f t="shared" si="32"/>
        <v>5.1084000000000004E-4</v>
      </c>
      <c r="F35" s="34">
        <f t="shared" si="33"/>
        <v>2.8379999999999999E-2</v>
      </c>
      <c r="G35" s="34" t="s">
        <v>11</v>
      </c>
      <c r="H35" s="34">
        <f>ROUND(Q35+T35/Раскройка!$F$11,0)</f>
        <v>441179</v>
      </c>
      <c r="I35" s="34" t="s">
        <v>75</v>
      </c>
      <c r="J35" s="34">
        <v>2</v>
      </c>
      <c r="K35" s="34" t="s">
        <v>44</v>
      </c>
      <c r="L35" s="34">
        <v>3</v>
      </c>
      <c r="M35" s="34">
        <f>E35*H35+0.25*((VLOOKUP(I35,Покрытия!$A$2:$B$50,2,FALSE)*J35+VLOOKUP(K35,Покрытия!$A$2:$B$50,2,FALSE)*L35)*F35)</f>
        <v>267.94188036000003</v>
      </c>
      <c r="N35" s="34">
        <v>4</v>
      </c>
      <c r="O35" s="34">
        <f t="shared" si="30"/>
        <v>1071.7675214400001</v>
      </c>
      <c r="P35" s="9"/>
      <c r="Q35" s="34">
        <f t="array" ref="Q35">INDEX(Материалы!$C$2:$C$50,MATCH(G35,Материалы!$A$2:$A$50,0))</f>
        <v>308000</v>
      </c>
      <c r="R35" s="34">
        <f>FLOOR(Раскройка!$C$11/C35,1)*FLOOR(Раскройка!$D$11/B35,1)</f>
        <v>25</v>
      </c>
      <c r="S35" s="34">
        <f>MAX(Раскройка!$F$11-E35*R35,0)</f>
        <v>9.7289999999999981E-3</v>
      </c>
      <c r="T35" s="34">
        <f t="shared" si="31"/>
        <v>2996.5319999999992</v>
      </c>
      <c r="U35" s="26"/>
      <c r="V35" s="26"/>
    </row>
    <row r="36" spans="1:22" x14ac:dyDescent="0.25">
      <c r="A36" s="34" t="s">
        <v>93</v>
      </c>
      <c r="B36" s="34">
        <f>803-65*2</f>
        <v>673</v>
      </c>
      <c r="C36" s="34">
        <v>55</v>
      </c>
      <c r="D36" s="34">
        <v>18</v>
      </c>
      <c r="E36" s="34">
        <f t="shared" si="32"/>
        <v>6.6626999999999995E-4</v>
      </c>
      <c r="F36" s="34">
        <f t="shared" si="33"/>
        <v>3.7014999999999999E-2</v>
      </c>
      <c r="G36" s="34" t="s">
        <v>11</v>
      </c>
      <c r="H36" s="34">
        <f>ROUND(Q36+T36/Раскройка!$F$11,0)</f>
        <v>433590</v>
      </c>
      <c r="I36" s="34" t="s">
        <v>75</v>
      </c>
      <c r="J36" s="34">
        <v>2</v>
      </c>
      <c r="K36" s="34" t="s">
        <v>44</v>
      </c>
      <c r="L36" s="34">
        <v>3</v>
      </c>
      <c r="M36" s="34">
        <f>E36*H36+0.25*((VLOOKUP(I36,Покрытия!$A$2:$B$50,2,FALSE)*J36+VLOOKUP(K36,Покрытия!$A$2:$B$50,2,FALSE)*L36)*F36)</f>
        <v>344.41050929999994</v>
      </c>
      <c r="N36" s="34">
        <v>4</v>
      </c>
      <c r="O36" s="34">
        <f t="shared" si="30"/>
        <v>1377.6420371999998</v>
      </c>
      <c r="P36" s="9"/>
      <c r="Q36" s="34">
        <f t="array" ref="Q36">INDEX(Материалы!$C$2:$C$50,MATCH(G36,Материалы!$A$2:$A$50,0))</f>
        <v>308000</v>
      </c>
      <c r="R36" s="34">
        <f>FLOOR(Раскройка!$C$11/C36,1)*FLOOR(Раскройка!$D$11/B36,1)</f>
        <v>20</v>
      </c>
      <c r="S36" s="34">
        <f>MAX(Раскройка!$F$11-E36*R36,0)</f>
        <v>9.1745999999999998E-3</v>
      </c>
      <c r="T36" s="34">
        <f t="shared" si="31"/>
        <v>2825.7768000000001</v>
      </c>
      <c r="U36" s="26"/>
      <c r="V36" s="26"/>
    </row>
    <row r="37" spans="1:22" x14ac:dyDescent="0.25">
      <c r="A37" s="34" t="s">
        <v>99</v>
      </c>
      <c r="B37" s="34">
        <v>597</v>
      </c>
      <c r="C37" s="34">
        <v>55</v>
      </c>
      <c r="D37" s="34">
        <v>18</v>
      </c>
      <c r="E37" s="34">
        <f t="shared" si="32"/>
        <v>5.9102999999999998E-4</v>
      </c>
      <c r="F37" s="34">
        <f t="shared" si="33"/>
        <v>3.2835000000000003E-2</v>
      </c>
      <c r="G37" s="34" t="s">
        <v>11</v>
      </c>
      <c r="H37" s="34">
        <f>ROUND(Q37+T37/Раскройка!$F$11,0)</f>
        <v>413736</v>
      </c>
      <c r="I37" s="34" t="s">
        <v>75</v>
      </c>
      <c r="J37" s="34">
        <v>2</v>
      </c>
      <c r="K37" s="34" t="s">
        <v>44</v>
      </c>
      <c r="L37" s="34">
        <v>3</v>
      </c>
      <c r="M37" s="34">
        <f>E37*H37+0.25*((VLOOKUP(I37,Покрытия!$A$2:$B$50,2,FALSE)*J37+VLOOKUP(K37,Покрытия!$A$2:$B$50,2,FALSE)*L37)*F37)</f>
        <v>293.78288808000002</v>
      </c>
      <c r="N37" s="34">
        <v>4</v>
      </c>
      <c r="O37" s="34">
        <f t="shared" si="30"/>
        <v>1175.1315523200001</v>
      </c>
      <c r="P37" s="9"/>
      <c r="Q37" s="34">
        <f t="array" ref="Q37">INDEX(Материалы!$C$2:$C$50,MATCH(G37,Материалы!$A$2:$A$50,0))</f>
        <v>308000</v>
      </c>
      <c r="R37" s="34">
        <f>FLOOR(Раскройка!$C$11/C37,1)*FLOOR(Раскройка!$D$11/B37,1)</f>
        <v>25</v>
      </c>
      <c r="S37" s="34">
        <f>MAX(Раскройка!$F$11-E37*R37,0)</f>
        <v>7.7242500000000002E-3</v>
      </c>
      <c r="T37" s="34">
        <f t="shared" si="31"/>
        <v>2379.069</v>
      </c>
      <c r="U37" s="26"/>
      <c r="V37" s="26"/>
    </row>
    <row r="38" spans="1:22" x14ac:dyDescent="0.25">
      <c r="A38" s="34" t="s">
        <v>94</v>
      </c>
      <c r="B38" s="34">
        <v>510</v>
      </c>
      <c r="C38" s="34">
        <v>376</v>
      </c>
      <c r="D38" s="34">
        <v>0.6</v>
      </c>
      <c r="E38" s="34">
        <f t="shared" ref="E38:E48" si="34">B38*C38/1000000</f>
        <v>0.19176000000000001</v>
      </c>
      <c r="F38" s="20"/>
      <c r="G38" s="7" t="s">
        <v>95</v>
      </c>
      <c r="H38" s="34">
        <f>ROUND(Q38+T38/Раскройка!$F$2,0)</f>
        <v>452</v>
      </c>
      <c r="I38" s="34" t="s">
        <v>75</v>
      </c>
      <c r="J38" s="34">
        <v>2</v>
      </c>
      <c r="K38" s="34" t="s">
        <v>44</v>
      </c>
      <c r="L38" s="34">
        <v>3</v>
      </c>
      <c r="M38" s="34">
        <f>E38*(0.25*(VLOOKUP(I38,Покрытия!$A$2:$B$40,2,FALSE)*J38+VLOOKUP(K38,Покрытия!$A$2:$B$40,2,FALSE)*L38)+H38)</f>
        <v>374.31552000000005</v>
      </c>
      <c r="N38" s="34">
        <v>4</v>
      </c>
      <c r="O38" s="34">
        <f t="shared" si="30"/>
        <v>1497.2620800000002</v>
      </c>
      <c r="P38" s="9"/>
      <c r="Q38" s="34">
        <f t="array" ref="Q38">INDEX(Материалы!$C$2:$C$100,MATCH(G38&amp;D38,Материалы!$A$2:$A$100&amp;Материалы!$B$2:$B$100,0))</f>
        <v>385</v>
      </c>
      <c r="R38" s="34">
        <f>FLOOR(Раскройка!$D$2/B38,1)*FLOOR(Раскройка!$C$2/C38,1)</f>
        <v>25</v>
      </c>
      <c r="S38" s="34">
        <f>MAX(Раскройка!$F$2-E38*R38,0)</f>
        <v>1.0059999999999993</v>
      </c>
      <c r="T38" s="34">
        <f t="shared" si="31"/>
        <v>387.30999999999972</v>
      </c>
      <c r="U38" s="26"/>
    </row>
    <row r="39" spans="1:22" x14ac:dyDescent="0.25">
      <c r="A39" s="34" t="s">
        <v>94</v>
      </c>
      <c r="B39" s="34">
        <v>778</v>
      </c>
      <c r="C39" s="34">
        <v>803</v>
      </c>
      <c r="D39" s="34">
        <v>0.6</v>
      </c>
      <c r="E39" s="34">
        <f t="shared" si="34"/>
        <v>0.62473400000000001</v>
      </c>
      <c r="F39" s="20"/>
      <c r="G39" s="7" t="s">
        <v>95</v>
      </c>
      <c r="H39" s="34">
        <f>ROUND(Q39+T39/Раскройка!$F$2,0)</f>
        <v>521</v>
      </c>
      <c r="I39" s="34" t="s">
        <v>75</v>
      </c>
      <c r="J39" s="34">
        <v>2</v>
      </c>
      <c r="K39" s="34" t="s">
        <v>44</v>
      </c>
      <c r="L39" s="34">
        <v>3</v>
      </c>
      <c r="M39" s="34">
        <f>E39*(0.25*(VLOOKUP(I39,Покрытия!$A$2:$B$40,2,FALSE)*J39+VLOOKUP(K39,Покрытия!$A$2:$B$40,2,FALSE)*L39)+H39)</f>
        <v>1262.5874140000001</v>
      </c>
      <c r="N39" s="34">
        <v>2</v>
      </c>
      <c r="O39" s="34">
        <f t="shared" si="30"/>
        <v>2525.1748280000002</v>
      </c>
      <c r="P39" s="9"/>
      <c r="Q39" s="34">
        <f t="array" ref="Q39">INDEX(Материалы!$C$2:$C$100,MATCH(G39&amp;D39,Материалы!$A$2:$A$100&amp;Материалы!$B$2:$B$100,0))</f>
        <v>385</v>
      </c>
      <c r="R39" s="34">
        <f>FLOOR(Раскройка!$D$2/B39,1)*FLOOR(Раскройка!$C$2/C39,1)</f>
        <v>6</v>
      </c>
      <c r="S39" s="34">
        <f>MAX(Раскройка!$F$2-E39*R39,0)</f>
        <v>2.051596</v>
      </c>
      <c r="T39" s="34">
        <f t="shared" si="31"/>
        <v>789.86446000000001</v>
      </c>
      <c r="U39" s="26"/>
    </row>
    <row r="40" spans="1:22" x14ac:dyDescent="0.25">
      <c r="A40" s="34" t="s">
        <v>94</v>
      </c>
      <c r="B40" s="34">
        <v>516</v>
      </c>
      <c r="C40" s="34">
        <v>803</v>
      </c>
      <c r="D40" s="34">
        <v>0.6</v>
      </c>
      <c r="E40" s="34">
        <f t="shared" si="34"/>
        <v>0.41434799999999999</v>
      </c>
      <c r="F40" s="20"/>
      <c r="G40" s="7" t="s">
        <v>95</v>
      </c>
      <c r="H40" s="34">
        <f>ROUND(Q40+T40/Раскройка!$F$2,0)</f>
        <v>495</v>
      </c>
      <c r="I40" s="34" t="s">
        <v>75</v>
      </c>
      <c r="J40" s="34">
        <v>2</v>
      </c>
      <c r="K40" s="34" t="s">
        <v>44</v>
      </c>
      <c r="L40" s="34">
        <v>3</v>
      </c>
      <c r="M40" s="34">
        <f>E40*(0.25*(VLOOKUP(I40,Покрытия!$A$2:$B$40,2,FALSE)*J40+VLOOKUP(K40,Покрытия!$A$2:$B$40,2,FALSE)*L40)+H40)</f>
        <v>826.62425999999994</v>
      </c>
      <c r="N40" s="34">
        <v>2</v>
      </c>
      <c r="O40" s="34">
        <f t="shared" si="30"/>
        <v>1653.2485199999999</v>
      </c>
      <c r="P40" s="9"/>
      <c r="Q40" s="34">
        <f t="array" ref="Q40">INDEX(Материалы!$C$2:$C$100,MATCH(G40&amp;D40,Материалы!$A$2:$A$100&amp;Материалы!$B$2:$B$100,0))</f>
        <v>385</v>
      </c>
      <c r="R40" s="34">
        <f>FLOOR(Раскройка!$D$2/B40,1)*FLOOR(Раскройка!$C$2/C40,1)</f>
        <v>10</v>
      </c>
      <c r="S40" s="34">
        <f>MAX(Раскройка!$F$2-E40*R40,0)</f>
        <v>1.6565199999999995</v>
      </c>
      <c r="T40" s="34">
        <f t="shared" si="31"/>
        <v>637.76019999999983</v>
      </c>
      <c r="U40" s="26"/>
      <c r="V40" s="26"/>
    </row>
    <row r="41" spans="1:22" x14ac:dyDescent="0.25">
      <c r="A41" s="34" t="s">
        <v>94</v>
      </c>
      <c r="B41" s="34">
        <v>597</v>
      </c>
      <c r="C41" s="34">
        <v>803</v>
      </c>
      <c r="D41" s="34">
        <v>0.6</v>
      </c>
      <c r="E41" s="34">
        <f t="shared" si="34"/>
        <v>0.47939100000000001</v>
      </c>
      <c r="F41" s="20"/>
      <c r="G41" s="7" t="s">
        <v>95</v>
      </c>
      <c r="H41" s="34">
        <f>ROUND(Q41+T41/Раскройка!$F$2,0)</f>
        <v>515</v>
      </c>
      <c r="I41" s="34" t="s">
        <v>75</v>
      </c>
      <c r="J41" s="34">
        <v>2</v>
      </c>
      <c r="K41" s="34" t="s">
        <v>44</v>
      </c>
      <c r="L41" s="34">
        <v>3</v>
      </c>
      <c r="M41" s="34">
        <f>E41*(0.25*(VLOOKUP(I41,Покрытия!$A$2:$B$40,2,FALSE)*J41+VLOOKUP(K41,Покрытия!$A$2:$B$40,2,FALSE)*L41)+H41)</f>
        <v>965.97286500000007</v>
      </c>
      <c r="N41" s="34">
        <v>2</v>
      </c>
      <c r="O41" s="34">
        <f t="shared" si="30"/>
        <v>1931.9457300000001</v>
      </c>
      <c r="P41" s="9"/>
      <c r="Q41" s="34">
        <f t="array" ref="Q41">INDEX(Материалы!$C$2:$C$100,MATCH(G41&amp;D41,Материалы!$A$2:$A$100&amp;Материалы!$B$2:$B$100,0))</f>
        <v>385</v>
      </c>
      <c r="R41" s="34">
        <f>FLOOR(Раскройка!$D$2/B41,1)*FLOOR(Раскройка!$C$2/C41,1)</f>
        <v>8</v>
      </c>
      <c r="S41" s="34">
        <f>MAX(Раскройка!$F$2-E41*R41,0)</f>
        <v>1.9648719999999997</v>
      </c>
      <c r="T41" s="34">
        <f t="shared" si="31"/>
        <v>756.47571999999991</v>
      </c>
      <c r="U41" s="26"/>
      <c r="V41" s="26"/>
    </row>
    <row r="42" spans="1:22" x14ac:dyDescent="0.25">
      <c r="A42" s="34" t="s">
        <v>77</v>
      </c>
      <c r="B42" s="34">
        <v>803</v>
      </c>
      <c r="C42" s="34">
        <v>65</v>
      </c>
      <c r="D42" s="34">
        <v>0.6</v>
      </c>
      <c r="E42" s="34">
        <f t="shared" si="34"/>
        <v>5.2194999999999998E-2</v>
      </c>
      <c r="F42" s="20"/>
      <c r="G42" s="7" t="s">
        <v>95</v>
      </c>
      <c r="H42" s="34">
        <f>ROUND(Q42+T42/Раскройка!$F$2,0)</f>
        <v>448</v>
      </c>
      <c r="I42" s="34" t="s">
        <v>75</v>
      </c>
      <c r="J42" s="34">
        <v>2</v>
      </c>
      <c r="K42" s="34" t="s">
        <v>44</v>
      </c>
      <c r="L42" s="34">
        <v>3</v>
      </c>
      <c r="M42" s="34">
        <f>E42*(0.25*(VLOOKUP(I42,Покрытия!$A$2:$B$40,2,FALSE)*J42+VLOOKUP(K42,Покрытия!$A$2:$B$40,2,FALSE)*L42)+H42)</f>
        <v>101.67586</v>
      </c>
      <c r="N42" s="34">
        <v>14</v>
      </c>
      <c r="O42" s="34">
        <f t="shared" si="30"/>
        <v>1423.4620399999999</v>
      </c>
      <c r="P42" s="9"/>
      <c r="Q42" s="34">
        <f t="array" ref="Q42">INDEX(Материалы!$C$2:$C$100,MATCH(G42&amp;D42,Материалы!$A$2:$A$100&amp;Материалы!$B$2:$B$100,0))</f>
        <v>385</v>
      </c>
      <c r="R42" s="34">
        <f>FLOOR(Раскройка!$D$2/B42,1)*FLOOR(Раскройка!$C$2/C42,1)</f>
        <v>93</v>
      </c>
      <c r="S42" s="34">
        <f>MAX(Раскройка!$F$2-E42*R42,0)</f>
        <v>0.9458650000000004</v>
      </c>
      <c r="T42" s="34">
        <f t="shared" si="31"/>
        <v>364.15802500000018</v>
      </c>
      <c r="U42" s="26"/>
      <c r="V42" s="26"/>
    </row>
    <row r="43" spans="1:22" x14ac:dyDescent="0.25">
      <c r="A43" s="34" t="s">
        <v>77</v>
      </c>
      <c r="B43" s="34">
        <v>803</v>
      </c>
      <c r="C43" s="34">
        <v>255</v>
      </c>
      <c r="D43" s="34">
        <v>0.6</v>
      </c>
      <c r="E43" s="34">
        <f t="shared" si="34"/>
        <v>0.204765</v>
      </c>
      <c r="F43" s="20"/>
      <c r="G43" s="7" t="s">
        <v>95</v>
      </c>
      <c r="H43" s="34">
        <f>ROUND(Q43+T43/Раскройка!$F$2,0)</f>
        <v>444</v>
      </c>
      <c r="I43" s="34" t="s">
        <v>75</v>
      </c>
      <c r="J43" s="34">
        <v>2</v>
      </c>
      <c r="K43" s="34" t="s">
        <v>44</v>
      </c>
      <c r="L43" s="34">
        <v>3</v>
      </c>
      <c r="M43" s="34">
        <f>E43*(0.25*(VLOOKUP(I43,Покрытия!$A$2:$B$40,2,FALSE)*J43+VLOOKUP(K43,Покрытия!$A$2:$B$40,2,FALSE)*L43)+H43)</f>
        <v>398.06315999999998</v>
      </c>
      <c r="N43" s="34">
        <v>2</v>
      </c>
      <c r="O43" s="34">
        <f t="shared" si="30"/>
        <v>796.12631999999996</v>
      </c>
      <c r="P43" s="9"/>
      <c r="Q43" s="34">
        <f t="array" ref="Q43">INDEX(Материалы!$C$2:$C$100,MATCH(G43&amp;D43,Материалы!$A$2:$A$100&amp;Материалы!$B$2:$B$100,0))</f>
        <v>385</v>
      </c>
      <c r="R43" s="34">
        <f>FLOOR(Раскройка!$D$2/B43,1)*FLOOR(Раскройка!$C$2/C43,1)</f>
        <v>24</v>
      </c>
      <c r="S43" s="34">
        <f>MAX(Раскройка!$F$2-E43*R43,0)</f>
        <v>0.88563999999999954</v>
      </c>
      <c r="T43" s="34">
        <f t="shared" si="31"/>
        <v>340.97139999999985</v>
      </c>
      <c r="U43" s="26"/>
      <c r="V43" s="26"/>
    </row>
    <row r="44" spans="1:22" x14ac:dyDescent="0.25">
      <c r="A44" s="34" t="s">
        <v>78</v>
      </c>
      <c r="B44" s="34">
        <v>510</v>
      </c>
      <c r="C44" s="34">
        <v>65</v>
      </c>
      <c r="D44" s="34">
        <v>0.6</v>
      </c>
      <c r="E44" s="34">
        <f t="shared" si="34"/>
        <v>3.3149999999999999E-2</v>
      </c>
      <c r="F44" s="20"/>
      <c r="G44" s="7" t="s">
        <v>95</v>
      </c>
      <c r="H44" s="34">
        <f>ROUND(Q44+T44/Раскройка!$F$2,0)</f>
        <v>429</v>
      </c>
      <c r="I44" s="34" t="s">
        <v>75</v>
      </c>
      <c r="J44" s="34">
        <v>2</v>
      </c>
      <c r="K44" s="34" t="s">
        <v>44</v>
      </c>
      <c r="L44" s="34">
        <v>3</v>
      </c>
      <c r="M44" s="34">
        <f>E44*(0.25*(VLOOKUP(I44,Покрытия!$A$2:$B$40,2,FALSE)*J44+VLOOKUP(K44,Покрытия!$A$2:$B$40,2,FALSE)*L44)+H44)</f>
        <v>63.946349999999995</v>
      </c>
      <c r="N44" s="34">
        <v>4</v>
      </c>
      <c r="O44" s="34">
        <f t="shared" si="30"/>
        <v>255.78539999999998</v>
      </c>
      <c r="P44" s="9"/>
      <c r="Q44" s="34">
        <f t="array" ref="Q44">INDEX(Материалы!$C$2:$C$100,MATCH(G44&amp;D44,Материалы!$A$2:$A$100&amp;Материалы!$B$2:$B$100,0))</f>
        <v>385</v>
      </c>
      <c r="R44" s="34">
        <f>FLOOR(Раскройка!$D$2/B44,1)*FLOOR(Раскройка!$C$2/C44,1)</f>
        <v>155</v>
      </c>
      <c r="S44" s="34">
        <f>MAX(Раскройка!$F$2-E44*R44,0)</f>
        <v>0.66174999999999962</v>
      </c>
      <c r="T44" s="34">
        <f t="shared" si="31"/>
        <v>254.77374999999986</v>
      </c>
      <c r="U44" s="26"/>
      <c r="V44" s="26"/>
    </row>
    <row r="45" spans="1:22" x14ac:dyDescent="0.25">
      <c r="A45" s="34" t="s">
        <v>78</v>
      </c>
      <c r="B45" s="34">
        <v>516</v>
      </c>
      <c r="C45" s="34">
        <v>65</v>
      </c>
      <c r="D45" s="34">
        <v>0.6</v>
      </c>
      <c r="E45" s="34">
        <f t="shared" si="34"/>
        <v>3.354E-2</v>
      </c>
      <c r="F45" s="20"/>
      <c r="G45" s="7" t="s">
        <v>95</v>
      </c>
      <c r="H45" s="34">
        <f>ROUND(Q45+T45/Раскройка!$F$2,0)</f>
        <v>425</v>
      </c>
      <c r="I45" s="34" t="s">
        <v>75</v>
      </c>
      <c r="J45" s="34">
        <v>2</v>
      </c>
      <c r="K45" s="34" t="s">
        <v>44</v>
      </c>
      <c r="L45" s="34">
        <v>3</v>
      </c>
      <c r="M45" s="34">
        <f>E45*(0.25*(VLOOKUP(I45,Покрытия!$A$2:$B$40,2,FALSE)*J45+VLOOKUP(K45,Покрытия!$A$2:$B$40,2,FALSE)*L45)+H45)</f>
        <v>64.564499999999995</v>
      </c>
      <c r="N45" s="34">
        <v>8</v>
      </c>
      <c r="O45" s="34">
        <f t="shared" si="30"/>
        <v>516.51599999999996</v>
      </c>
      <c r="P45" s="9"/>
      <c r="Q45" s="34">
        <f t="array" ref="Q45">INDEX(Материалы!$C$2:$C$100,MATCH(G45&amp;D45,Материалы!$A$2:$A$100&amp;Материалы!$B$2:$B$100,0))</f>
        <v>385</v>
      </c>
      <c r="R45" s="34">
        <f>FLOOR(Раскройка!$D$2/B45,1)*FLOOR(Раскройка!$C$2/C45,1)</f>
        <v>155</v>
      </c>
      <c r="S45" s="34">
        <f>MAX(Раскройка!$F$2-E45*R45,0)</f>
        <v>0.60130000000000017</v>
      </c>
      <c r="T45" s="34">
        <f t="shared" si="31"/>
        <v>231.50050000000007</v>
      </c>
      <c r="U45" s="26"/>
      <c r="V45" s="26"/>
    </row>
    <row r="46" spans="1:22" x14ac:dyDescent="0.25">
      <c r="A46" s="34" t="s">
        <v>78</v>
      </c>
      <c r="B46" s="34">
        <v>778</v>
      </c>
      <c r="C46" s="34">
        <v>65</v>
      </c>
      <c r="D46" s="34">
        <v>0.6</v>
      </c>
      <c r="E46" s="34">
        <f t="shared" si="34"/>
        <v>5.0569999999999997E-2</v>
      </c>
      <c r="F46" s="20"/>
      <c r="G46" s="7" t="s">
        <v>95</v>
      </c>
      <c r="H46" s="34">
        <f>ROUND(Q46+T46/Раскройка!$F$2,0)</f>
        <v>458</v>
      </c>
      <c r="I46" s="34" t="s">
        <v>75</v>
      </c>
      <c r="J46" s="34">
        <v>2</v>
      </c>
      <c r="K46" s="34" t="s">
        <v>44</v>
      </c>
      <c r="L46" s="34">
        <v>3</v>
      </c>
      <c r="M46" s="34">
        <f>E46*(0.25*(VLOOKUP(I46,Покрытия!$A$2:$B$40,2,FALSE)*J46+VLOOKUP(K46,Покрытия!$A$2:$B$40,2,FALSE)*L46)+H46)</f>
        <v>99.016059999999996</v>
      </c>
      <c r="N46" s="34">
        <v>4</v>
      </c>
      <c r="O46" s="34">
        <f t="shared" si="30"/>
        <v>396.06423999999998</v>
      </c>
      <c r="P46" s="9"/>
      <c r="Q46" s="34">
        <f t="array" ref="Q46">INDEX(Материалы!$C$2:$C$100,MATCH(G46&amp;D46,Материалы!$A$2:$A$100&amp;Материалы!$B$2:$B$100,0))</f>
        <v>385</v>
      </c>
      <c r="R46" s="34">
        <f>FLOOR(Раскройка!$D$2/B46,1)*FLOOR(Раскройка!$C$2/C46,1)</f>
        <v>93</v>
      </c>
      <c r="S46" s="34">
        <f>MAX(Раскройка!$F$2-E46*R46,0)</f>
        <v>1.0969899999999999</v>
      </c>
      <c r="T46" s="34">
        <f t="shared" si="31"/>
        <v>422.34114999999997</v>
      </c>
      <c r="V46" s="26"/>
    </row>
    <row r="47" spans="1:22" x14ac:dyDescent="0.25">
      <c r="A47" s="34" t="s">
        <v>78</v>
      </c>
      <c r="B47" s="34">
        <v>515</v>
      </c>
      <c r="C47" s="34">
        <v>65</v>
      </c>
      <c r="D47" s="34">
        <v>0.6</v>
      </c>
      <c r="E47" s="34">
        <f t="shared" si="34"/>
        <v>3.3474999999999998E-2</v>
      </c>
      <c r="F47" s="20"/>
      <c r="G47" s="7" t="s">
        <v>95</v>
      </c>
      <c r="H47" s="34">
        <f>ROUND(Q47+T47/Раскройка!$F$2,0)</f>
        <v>426</v>
      </c>
      <c r="I47" s="34" t="s">
        <v>75</v>
      </c>
      <c r="J47" s="34">
        <v>2</v>
      </c>
      <c r="K47" s="34" t="s">
        <v>44</v>
      </c>
      <c r="L47" s="34">
        <v>3</v>
      </c>
      <c r="M47" s="34">
        <f>E47*(0.25*(VLOOKUP(I47,Покрытия!$A$2:$B$40,2,FALSE)*J47+VLOOKUP(K47,Покрытия!$A$2:$B$40,2,FALSE)*L47)+H47)</f>
        <v>64.472849999999994</v>
      </c>
      <c r="N47" s="34">
        <v>4</v>
      </c>
      <c r="O47" s="34">
        <f t="shared" si="30"/>
        <v>257.89139999999998</v>
      </c>
      <c r="P47" s="9"/>
      <c r="Q47" s="34">
        <f t="array" ref="Q47">INDEX(Материалы!$C$2:$C$100,MATCH(G47&amp;D47,Материалы!$A$2:$A$100&amp;Материалы!$B$2:$B$100,0))</f>
        <v>385</v>
      </c>
      <c r="R47" s="34">
        <f>FLOOR(Раскройка!$D$2/B47,1)*FLOOR(Раскройка!$C$2/C47,1)</f>
        <v>155</v>
      </c>
      <c r="S47" s="34">
        <f>MAX(Раскройка!$F$2-E47*R47,0)</f>
        <v>0.61137499999999978</v>
      </c>
      <c r="T47" s="34">
        <f t="shared" si="31"/>
        <v>235.37937499999992</v>
      </c>
      <c r="U47" s="26"/>
      <c r="V47" s="26"/>
    </row>
    <row r="48" spans="1:22" x14ac:dyDescent="0.25">
      <c r="A48" s="34" t="s">
        <v>78</v>
      </c>
      <c r="B48" s="34">
        <v>597</v>
      </c>
      <c r="C48" s="34">
        <v>65</v>
      </c>
      <c r="D48" s="34">
        <v>0.6</v>
      </c>
      <c r="E48" s="34">
        <f t="shared" si="34"/>
        <v>3.8804999999999999E-2</v>
      </c>
      <c r="F48" s="20"/>
      <c r="G48" s="7" t="s">
        <v>95</v>
      </c>
      <c r="H48" s="34">
        <f>ROUND(Q48+T48/Раскройка!$F$2,0)</f>
        <v>451</v>
      </c>
      <c r="I48" s="34" t="s">
        <v>75</v>
      </c>
      <c r="J48" s="34">
        <v>2</v>
      </c>
      <c r="K48" s="34" t="s">
        <v>44</v>
      </c>
      <c r="L48" s="34">
        <v>3</v>
      </c>
      <c r="M48" s="34">
        <f>E48*(0.25*(VLOOKUP(I48,Покрытия!$A$2:$B$40,2,FALSE)*J48+VLOOKUP(K48,Покрытия!$A$2:$B$40,2,FALSE)*L48)+H48)</f>
        <v>75.708555000000004</v>
      </c>
      <c r="N48" s="34">
        <v>4</v>
      </c>
      <c r="O48" s="34">
        <f t="shared" si="30"/>
        <v>302.83422000000002</v>
      </c>
      <c r="P48" s="9"/>
      <c r="Q48" s="34">
        <f t="array" ref="Q48">INDEX(Материалы!$C$2:$C$100,MATCH(G48&amp;D48,Материалы!$A$2:$A$100&amp;Материалы!$B$2:$B$100,0))</f>
        <v>385</v>
      </c>
      <c r="R48" s="34">
        <f>FLOOR(Раскройка!$D$2/B48,1)*FLOOR(Раскройка!$C$2/C48,1)</f>
        <v>124</v>
      </c>
      <c r="S48" s="34">
        <f>MAX(Раскройка!$F$2-E48*R48,0)</f>
        <v>0.98817999999999984</v>
      </c>
      <c r="T48" s="34">
        <f t="shared" si="31"/>
        <v>380.44929999999994</v>
      </c>
      <c r="U48" s="26"/>
      <c r="V48" s="26"/>
    </row>
    <row r="49" spans="1:22" x14ac:dyDescent="0.25">
      <c r="A49" s="34" t="s">
        <v>100</v>
      </c>
      <c r="B49" s="34">
        <v>4142</v>
      </c>
      <c r="C49" s="34">
        <v>40</v>
      </c>
      <c r="D49" s="34">
        <v>32</v>
      </c>
      <c r="E49" s="34">
        <f>B49*C49*D49/1000000000</f>
        <v>5.30176E-3</v>
      </c>
      <c r="F49" s="34">
        <f>B49*C49/1000000</f>
        <v>0.16567999999999999</v>
      </c>
      <c r="G49" s="34" t="s">
        <v>11</v>
      </c>
      <c r="H49" s="34">
        <f>ROUND(Q49+T49/Раскройка!$F$11,0)</f>
        <v>616000</v>
      </c>
      <c r="I49" s="34" t="s">
        <v>75</v>
      </c>
      <c r="J49" s="34">
        <v>2</v>
      </c>
      <c r="K49" s="34" t="s">
        <v>44</v>
      </c>
      <c r="L49" s="34">
        <v>3</v>
      </c>
      <c r="M49" s="34">
        <f>E49*H49+0.25*((VLOOKUP(I49,Покрытия!$A$2:$B$50,2,FALSE)*J49+VLOOKUP(K49,Покрытия!$A$2:$B$50,2,FALSE)*L49)*F49)</f>
        <v>3514.40416</v>
      </c>
      <c r="N49" s="34">
        <v>1</v>
      </c>
      <c r="O49" s="34">
        <f t="shared" si="30"/>
        <v>3514.40416</v>
      </c>
      <c r="P49" s="9"/>
      <c r="Q49" s="34">
        <f t="array" ref="Q49">INDEX(Материалы!$C$2:$C$50,MATCH(G49,Материалы!$A$2:$A$50,0))</f>
        <v>308000</v>
      </c>
      <c r="R49" s="34">
        <f>FLOOR(Раскройка!$C$11/C49,1)*FLOOR(Раскройка!$D$11/B49,1)</f>
        <v>0</v>
      </c>
      <c r="S49" s="34">
        <f>MAX(Раскройка!$F$11-E49*R49,0)</f>
        <v>2.2499999999999999E-2</v>
      </c>
      <c r="T49" s="34">
        <f t="shared" si="31"/>
        <v>6930</v>
      </c>
      <c r="U49" s="26"/>
      <c r="V49" s="26"/>
    </row>
    <row r="50" spans="1:22" x14ac:dyDescent="0.25">
      <c r="A50" s="27"/>
      <c r="B50" s="27" t="s">
        <v>97</v>
      </c>
      <c r="C50" s="34" t="s">
        <v>98</v>
      </c>
      <c r="D50" s="34" t="s">
        <v>58</v>
      </c>
      <c r="P50" s="16"/>
      <c r="Q50" s="16"/>
      <c r="R50" s="16"/>
      <c r="S50" s="16"/>
      <c r="T50" s="16"/>
      <c r="U50" s="26"/>
      <c r="V50" s="26"/>
    </row>
    <row r="51" spans="1:22" x14ac:dyDescent="0.25">
      <c r="A51" s="34" t="s">
        <v>96</v>
      </c>
      <c r="B51" s="34">
        <f>(1280+778+516+516+597+65*7)/1000</f>
        <v>4.1420000000000003</v>
      </c>
      <c r="C51" s="34">
        <v>2789</v>
      </c>
      <c r="D51" s="34">
        <f>B51*C51</f>
        <v>11552.038</v>
      </c>
      <c r="P51" s="16"/>
      <c r="Q51" s="16"/>
      <c r="R51" s="16"/>
      <c r="S51" s="16"/>
      <c r="T51" s="16"/>
      <c r="U51" s="26"/>
      <c r="V51" s="26"/>
    </row>
    <row r="52" spans="1:22" x14ac:dyDescent="0.25">
      <c r="P52" s="16"/>
      <c r="Q52" s="16"/>
      <c r="R52" s="16"/>
      <c r="S52" s="16"/>
      <c r="T52" s="16"/>
      <c r="U52" s="26"/>
      <c r="V52" s="26"/>
    </row>
    <row r="53" spans="1:22" x14ac:dyDescent="0.25">
      <c r="P53" s="16"/>
      <c r="Q53" s="16"/>
      <c r="R53" s="16"/>
      <c r="S53" s="16"/>
      <c r="T53" s="16"/>
      <c r="U53" s="26"/>
      <c r="V53" s="26"/>
    </row>
    <row r="54" spans="1:22" x14ac:dyDescent="0.25">
      <c r="A54" s="34" t="s">
        <v>77</v>
      </c>
      <c r="B54" s="34">
        <v>803</v>
      </c>
      <c r="C54" s="34">
        <v>65</v>
      </c>
      <c r="D54" s="34">
        <v>18</v>
      </c>
      <c r="E54" s="34">
        <f t="shared" ref="E54" si="35">B54*C54/1000000</f>
        <v>5.2194999999999998E-2</v>
      </c>
      <c r="F54" s="20"/>
      <c r="G54" s="7" t="s">
        <v>3</v>
      </c>
      <c r="H54" s="34">
        <f>ROUND(Q54+T54/Раскройка!$F$2,0)</f>
        <v>454</v>
      </c>
      <c r="I54" s="34" t="s">
        <v>75</v>
      </c>
      <c r="J54" s="34">
        <v>0</v>
      </c>
      <c r="K54" s="34" t="s">
        <v>44</v>
      </c>
      <c r="L54" s="34">
        <v>0</v>
      </c>
      <c r="M54" s="34">
        <f>E54*(0.25*(VLOOKUP(I54,Покрытия!$A$2:$B$40,2,FALSE)*J54+VLOOKUP(K54,Покрытия!$A$2:$B$40,2,FALSE)*L54)+H54)</f>
        <v>23.696529999999999</v>
      </c>
      <c r="N54" s="34">
        <v>6</v>
      </c>
      <c r="O54" s="34">
        <f t="shared" ref="O54" si="36">M54*N54</f>
        <v>142.17918</v>
      </c>
      <c r="P54" s="9"/>
      <c r="Q54" s="34">
        <f t="array" ref="Q54">INDEX(Материалы!$C$2:$C$50,MATCH(G54&amp;D54,Материалы!$A$2:$A$50&amp;Материалы!$B$2:$B$50,0))</f>
        <v>390</v>
      </c>
      <c r="R54" s="34">
        <f>FLOOR(Раскройка!$D$2/B54,1)*FLOOR(Раскройка!$C$2/C54,1)</f>
        <v>93</v>
      </c>
      <c r="S54" s="34">
        <f>MAX(Раскройка!$F$2-E54*R54,0)</f>
        <v>0.9458650000000004</v>
      </c>
      <c r="T54" s="34">
        <f t="shared" ref="T54" si="37">Q54*S54</f>
        <v>368.88735000000014</v>
      </c>
      <c r="U54" s="9"/>
      <c r="V54" s="26"/>
    </row>
    <row r="55" spans="1:22" x14ac:dyDescent="0.25">
      <c r="A55" s="34" t="s">
        <v>77</v>
      </c>
      <c r="B55" s="34">
        <v>803</v>
      </c>
      <c r="C55" s="34">
        <v>97</v>
      </c>
      <c r="D55" s="34">
        <v>18</v>
      </c>
      <c r="E55" s="34">
        <f t="shared" ref="E55" si="38">B55*C55/1000000</f>
        <v>7.7891000000000002E-2</v>
      </c>
      <c r="F55" s="20"/>
      <c r="G55" s="7" t="s">
        <v>3</v>
      </c>
      <c r="H55" s="34">
        <f>ROUND(Q55+T55/Раскройка!$F$2,0)</f>
        <v>450</v>
      </c>
      <c r="I55" s="34" t="s">
        <v>75</v>
      </c>
      <c r="J55" s="34">
        <v>0</v>
      </c>
      <c r="K55" s="34" t="s">
        <v>44</v>
      </c>
      <c r="L55" s="34">
        <v>0</v>
      </c>
      <c r="M55" s="34">
        <f>E55*(0.25*(VLOOKUP(I55,Покрытия!$A$2:$B$40,2,FALSE)*J55+VLOOKUP(K55,Покрытия!$A$2:$B$40,2,FALSE)*L55)+H55)</f>
        <v>35.05095</v>
      </c>
      <c r="N55" s="34">
        <v>1</v>
      </c>
      <c r="O55" s="34">
        <f t="shared" ref="O55" si="39">M55*N55</f>
        <v>35.05095</v>
      </c>
      <c r="P55" s="9"/>
      <c r="Q55" s="34">
        <f t="array" ref="Q55">INDEX(Материалы!$C$2:$C$50,MATCH(G55&amp;D55,Материалы!$A$2:$A$50&amp;Материалы!$B$2:$B$50,0))</f>
        <v>390</v>
      </c>
      <c r="R55" s="34">
        <f>FLOOR(Раскройка!$D$2/B55,1)*FLOOR(Раскройка!$C$2/C55,1)</f>
        <v>63</v>
      </c>
      <c r="S55" s="34">
        <f>MAX(Раскройка!$F$2-E55*R55,0)</f>
        <v>0.89286699999999986</v>
      </c>
      <c r="T55" s="34">
        <f t="shared" ref="T55" si="40">Q55*S55</f>
        <v>348.21812999999992</v>
      </c>
      <c r="U55" s="9"/>
      <c r="V55" s="26"/>
    </row>
    <row r="56" spans="1:22" x14ac:dyDescent="0.25">
      <c r="A56" s="34" t="s">
        <v>77</v>
      </c>
      <c r="B56" s="34">
        <v>803</v>
      </c>
      <c r="C56" s="34">
        <v>167</v>
      </c>
      <c r="D56" s="34">
        <v>18</v>
      </c>
      <c r="E56" s="34">
        <f t="shared" ref="E56" si="41">B56*C56/1000000</f>
        <v>0.134101</v>
      </c>
      <c r="F56" s="20"/>
      <c r="G56" s="7" t="s">
        <v>3</v>
      </c>
      <c r="H56" s="34">
        <f>ROUND(Q56+T56/Раскройка!$F$2,0)</f>
        <v>455</v>
      </c>
      <c r="I56" s="34" t="s">
        <v>75</v>
      </c>
      <c r="J56" s="34">
        <v>0</v>
      </c>
      <c r="K56" s="34" t="s">
        <v>44</v>
      </c>
      <c r="L56" s="34">
        <v>0</v>
      </c>
      <c r="M56" s="34">
        <f>E56*(0.25*(VLOOKUP(I56,Покрытия!$A$2:$B$40,2,FALSE)*J56+VLOOKUP(K56,Покрытия!$A$2:$B$40,2,FALSE)*L56)+H56)</f>
        <v>61.015954999999998</v>
      </c>
      <c r="N56" s="34">
        <v>1</v>
      </c>
      <c r="O56" s="34">
        <f t="shared" ref="O56" si="42">M56*N56</f>
        <v>61.015954999999998</v>
      </c>
      <c r="P56" s="9"/>
      <c r="Q56" s="34">
        <f t="array" ref="Q56">INDEX(Материалы!$C$2:$C$50,MATCH(G56&amp;D56,Материалы!$A$2:$A$50&amp;Материалы!$B$2:$B$50,0))</f>
        <v>390</v>
      </c>
      <c r="R56" s="34">
        <f>FLOOR(Раскройка!$D$2/B56,1)*FLOOR(Раскройка!$C$2/C56,1)</f>
        <v>36</v>
      </c>
      <c r="S56" s="34">
        <f>MAX(Раскройка!$F$2-E56*R56,0)</f>
        <v>0.97236399999999978</v>
      </c>
      <c r="T56" s="34">
        <f t="shared" ref="T56" si="43">Q56*S56</f>
        <v>379.22195999999991</v>
      </c>
      <c r="U56" s="9"/>
      <c r="V56" s="26"/>
    </row>
    <row r="57" spans="1:22" x14ac:dyDescent="0.25">
      <c r="A57" s="34" t="s">
        <v>78</v>
      </c>
      <c r="B57" s="34">
        <v>557</v>
      </c>
      <c r="C57" s="34">
        <v>55</v>
      </c>
      <c r="D57" s="34">
        <v>18</v>
      </c>
      <c r="E57" s="34">
        <f>B57*C57/1000000</f>
        <v>3.0634999999999999E-2</v>
      </c>
      <c r="F57" s="20"/>
      <c r="G57" s="7" t="s">
        <v>3</v>
      </c>
      <c r="H57" s="34">
        <f>ROUND(Q57+T57/Раскройка!$F$2,0)</f>
        <v>399</v>
      </c>
      <c r="I57" s="34" t="s">
        <v>75</v>
      </c>
      <c r="J57" s="34">
        <v>0</v>
      </c>
      <c r="K57" s="34" t="s">
        <v>44</v>
      </c>
      <c r="L57" s="34">
        <v>0</v>
      </c>
      <c r="M57" s="34">
        <f>E57*(0.25*(VLOOKUP(I57,Покрытия!$A$2:$B$40,2,FALSE)*J57+VLOOKUP(K57,Покрытия!$A$2:$B$40,2,FALSE)*L57)+H57)</f>
        <v>12.223364999999999</v>
      </c>
      <c r="N57" s="34">
        <v>6</v>
      </c>
      <c r="O57" s="34">
        <f t="shared" ref="O57:O71" si="44">M57*N57</f>
        <v>73.340189999999993</v>
      </c>
      <c r="P57" s="9"/>
      <c r="Q57" s="34">
        <f t="array" ref="Q57">INDEX(Материалы!$C$2:$C$50,MATCH(G57&amp;D57,Материалы!$A$2:$A$50&amp;Материалы!$B$2:$B$50,0))</f>
        <v>390</v>
      </c>
      <c r="R57" s="34">
        <f>FLOOR(Раскройка!$D$2/B57,1)*FLOOR(Раскройка!$C$2/C57,1)</f>
        <v>185</v>
      </c>
      <c r="S57" s="34">
        <f>MAX(Раскройка!$F$2-E57*R57,0)</f>
        <v>0.13252500000000023</v>
      </c>
      <c r="T57" s="34">
        <f t="shared" ref="T57:T71" si="45">Q57*S57</f>
        <v>51.684750000000086</v>
      </c>
      <c r="U57" s="9"/>
      <c r="V57" s="26"/>
    </row>
    <row r="58" spans="1:22" x14ac:dyDescent="0.25">
      <c r="A58" s="34" t="s">
        <v>78</v>
      </c>
      <c r="B58" s="34">
        <v>901</v>
      </c>
      <c r="C58" s="34">
        <v>55</v>
      </c>
      <c r="D58" s="34">
        <v>18</v>
      </c>
      <c r="E58" s="34">
        <f>B58*C58/1000000</f>
        <v>4.9555000000000002E-2</v>
      </c>
      <c r="F58" s="20"/>
      <c r="G58" s="7" t="s">
        <v>3</v>
      </c>
      <c r="H58" s="34">
        <f>ROUND(Q58+T58/Раскройка!$F$2,0)</f>
        <v>410</v>
      </c>
      <c r="I58" s="34" t="s">
        <v>75</v>
      </c>
      <c r="J58" s="34">
        <v>0</v>
      </c>
      <c r="K58" s="34" t="s">
        <v>44</v>
      </c>
      <c r="L58" s="34">
        <v>0</v>
      </c>
      <c r="M58" s="34">
        <f>E58*(0.25*(VLOOKUP(I58,Покрытия!$A$2:$B$40,2,FALSE)*J58+VLOOKUP(K58,Покрытия!$A$2:$B$40,2,FALSE)*L58)+H58)</f>
        <v>20.317550000000001</v>
      </c>
      <c r="N58" s="34">
        <v>2</v>
      </c>
      <c r="O58" s="34">
        <f t="shared" si="44"/>
        <v>40.635100000000001</v>
      </c>
      <c r="P58" s="9"/>
      <c r="Q58" s="34">
        <f t="array" ref="Q58">INDEX(Материалы!$C$2:$C$50,MATCH(G58&amp;D58,Материалы!$A$2:$A$50&amp;Материалы!$B$2:$B$50,0))</f>
        <v>390</v>
      </c>
      <c r="R58" s="34">
        <f>FLOOR(Раскройка!$D$2/B58,1)*FLOOR(Раскройка!$C$2/C58,1)</f>
        <v>111</v>
      </c>
      <c r="S58" s="34">
        <f>MAX(Раскройка!$F$2-E58*R58,0)</f>
        <v>0.29939499999999963</v>
      </c>
      <c r="T58" s="34">
        <f t="shared" si="45"/>
        <v>116.76404999999986</v>
      </c>
      <c r="U58" s="9"/>
      <c r="V58" s="16"/>
    </row>
    <row r="59" spans="1:22" x14ac:dyDescent="0.25">
      <c r="A59" s="34" t="s">
        <v>57</v>
      </c>
      <c r="B59" s="34">
        <v>803</v>
      </c>
      <c r="C59" s="34">
        <v>557</v>
      </c>
      <c r="D59" s="34">
        <v>18</v>
      </c>
      <c r="E59" s="34">
        <f>B59*C59/1000000</f>
        <v>0.44727099999999997</v>
      </c>
      <c r="F59" s="20"/>
      <c r="G59" s="7" t="s">
        <v>3</v>
      </c>
      <c r="H59" s="34">
        <f>ROUND(Q59+T59/Раскройка!$F$2,0)</f>
        <v>509</v>
      </c>
      <c r="I59" s="34" t="s">
        <v>75</v>
      </c>
      <c r="J59" s="34">
        <v>0</v>
      </c>
      <c r="K59" s="34" t="s">
        <v>44</v>
      </c>
      <c r="L59" s="34">
        <v>0</v>
      </c>
      <c r="M59" s="34">
        <f>E59*(0.25*(VLOOKUP(I59,Покрытия!$A$2:$B$40,2,FALSE)*J59+VLOOKUP(K59,Покрытия!$A$2:$B$40,2,FALSE)*L59)+H59)</f>
        <v>227.66093899999998</v>
      </c>
      <c r="N59" s="34">
        <v>3</v>
      </c>
      <c r="O59" s="34">
        <f t="shared" si="44"/>
        <v>682.98281699999995</v>
      </c>
      <c r="P59" s="9"/>
      <c r="Q59" s="34">
        <f t="array" ref="Q59">INDEX(Материалы!$C$2:$C$50,MATCH(G59&amp;D59,Материалы!$A$2:$A$50&amp;Материалы!$B$2:$B$50,0))</f>
        <v>390</v>
      </c>
      <c r="R59" s="34">
        <f>FLOOR(Раскройка!$D$2/B59,1)*FLOOR(Раскройка!$C$2/C59,1)</f>
        <v>9</v>
      </c>
      <c r="S59" s="34">
        <f>MAX(Раскройка!$F$2-E59*R59,0)</f>
        <v>1.7745610000000003</v>
      </c>
      <c r="T59" s="34">
        <f t="shared" si="45"/>
        <v>692.07879000000014</v>
      </c>
      <c r="U59" s="16"/>
    </row>
    <row r="60" spans="1:22" x14ac:dyDescent="0.25">
      <c r="A60" s="34" t="s">
        <v>57</v>
      </c>
      <c r="B60" s="34">
        <v>803</v>
      </c>
      <c r="C60" s="34">
        <v>901</v>
      </c>
      <c r="D60" s="34">
        <v>18</v>
      </c>
      <c r="E60" s="34">
        <f>B60*C60/1000000</f>
        <v>0.72350300000000001</v>
      </c>
      <c r="F60" s="20"/>
      <c r="G60" s="7" t="s">
        <v>3</v>
      </c>
      <c r="H60" s="34">
        <f>ROUND(Q60+T60/Раскройка!$F$2,0)</f>
        <v>488</v>
      </c>
      <c r="I60" s="34" t="s">
        <v>75</v>
      </c>
      <c r="J60" s="34">
        <v>0</v>
      </c>
      <c r="K60" s="34" t="s">
        <v>44</v>
      </c>
      <c r="L60" s="34">
        <v>0</v>
      </c>
      <c r="M60" s="34">
        <f>E60*(0.25*(VLOOKUP(I60,Покрытия!$A$2:$B$40,2,FALSE)*J60+VLOOKUP(K60,Покрытия!$A$2:$B$40,2,FALSE)*L60)+H60)</f>
        <v>353.06946399999998</v>
      </c>
      <c r="N60" s="34">
        <v>1</v>
      </c>
      <c r="O60" s="34">
        <f t="shared" si="44"/>
        <v>353.06946399999998</v>
      </c>
      <c r="P60" s="9"/>
      <c r="Q60" s="34">
        <f t="array" ref="Q60">INDEX(Материалы!$C$2:$C$50,MATCH(G60&amp;D60,Материалы!$A$2:$A$50&amp;Материалы!$B$2:$B$50,0))</f>
        <v>390</v>
      </c>
      <c r="R60" s="34">
        <f>FLOOR(Раскройка!$D$2/B60,1)*FLOOR(Раскройка!$C$2/C60,1)</f>
        <v>6</v>
      </c>
      <c r="S60" s="34">
        <f>MAX(Раскройка!$F$2-E60*R60,0)</f>
        <v>1.4589819999999998</v>
      </c>
      <c r="T60" s="34">
        <f t="shared" si="45"/>
        <v>569.00297999999987</v>
      </c>
    </row>
    <row r="61" spans="1:22" x14ac:dyDescent="0.25">
      <c r="A61" s="34" t="s">
        <v>93</v>
      </c>
      <c r="B61" s="34">
        <v>803</v>
      </c>
      <c r="C61" s="34">
        <v>55</v>
      </c>
      <c r="D61" s="34">
        <v>18</v>
      </c>
      <c r="E61" s="34">
        <f>B61*C61*D61/1000000000</f>
        <v>7.9496999999999999E-4</v>
      </c>
      <c r="F61" s="34">
        <f>B61*C61/1000000</f>
        <v>4.4165000000000003E-2</v>
      </c>
      <c r="G61" s="34" t="s">
        <v>11</v>
      </c>
      <c r="H61" s="34">
        <f>ROUND(Q61+T61/Раскройка!$F$11,0)</f>
        <v>452766</v>
      </c>
      <c r="I61" s="34" t="s">
        <v>75</v>
      </c>
      <c r="J61" s="34">
        <v>2</v>
      </c>
      <c r="K61" s="34" t="s">
        <v>44</v>
      </c>
      <c r="L61" s="34">
        <v>3</v>
      </c>
      <c r="M61" s="34">
        <f>E61*H61+0.25*((VLOOKUP(I61,Покрытия!$A$2:$B$50,2,FALSE)*J61+VLOOKUP(K61,Покрытия!$A$2:$B$50,2,FALSE)*L61)*F61)</f>
        <v>426.18288702000001</v>
      </c>
      <c r="N61" s="34">
        <v>8</v>
      </c>
      <c r="O61" s="34">
        <f t="shared" si="44"/>
        <v>3409.4630961600001</v>
      </c>
      <c r="P61" s="9"/>
      <c r="Q61" s="34">
        <f t="array" ref="Q61">INDEX(Материалы!$C$2:$C$50,MATCH(G61,Материалы!$A$2:$A$50,0))</f>
        <v>308000</v>
      </c>
      <c r="R61" s="34">
        <f>FLOOR(Раскройка!$C$11/C61,1)*FLOOR(Раскройка!$D$11/B61,1)</f>
        <v>15</v>
      </c>
      <c r="S61" s="34">
        <f>MAX(Раскройка!$F$11-E61*R61,0)</f>
        <v>1.057545E-2</v>
      </c>
      <c r="T61" s="34">
        <f t="shared" si="45"/>
        <v>3257.2386000000001</v>
      </c>
      <c r="U61" s="26"/>
      <c r="V61" s="26"/>
    </row>
    <row r="62" spans="1:22" x14ac:dyDescent="0.25">
      <c r="A62" s="34" t="s">
        <v>99</v>
      </c>
      <c r="B62" s="34">
        <v>557</v>
      </c>
      <c r="C62" s="34">
        <v>55</v>
      </c>
      <c r="D62" s="34">
        <v>18</v>
      </c>
      <c r="E62" s="34">
        <f>B62*C62*D62/1000000000</f>
        <v>5.5143E-4</v>
      </c>
      <c r="F62" s="34">
        <f>B62*C62/1000000</f>
        <v>3.0634999999999999E-2</v>
      </c>
      <c r="G62" s="34" t="s">
        <v>11</v>
      </c>
      <c r="H62" s="34">
        <f>ROUND(Q62+T62/Раскройка!$F$11,0)</f>
        <v>427288</v>
      </c>
      <c r="I62" s="34" t="s">
        <v>75</v>
      </c>
      <c r="J62" s="34">
        <v>2</v>
      </c>
      <c r="K62" s="34" t="s">
        <v>44</v>
      </c>
      <c r="L62" s="34">
        <v>3</v>
      </c>
      <c r="M62" s="34">
        <f>E62*H62+0.25*((VLOOKUP(I62,Покрытия!$A$2:$B$50,2,FALSE)*J62+VLOOKUP(K62,Покрытия!$A$2:$B$50,2,FALSE)*L62)*F62)</f>
        <v>281.57192184000002</v>
      </c>
      <c r="N62" s="34">
        <v>6</v>
      </c>
      <c r="O62" s="34">
        <f t="shared" si="44"/>
        <v>1689.4315310400002</v>
      </c>
      <c r="P62" s="9"/>
      <c r="Q62" s="34">
        <f t="array" ref="Q62">INDEX(Материалы!$C$2:$C$50,MATCH(G62,Материалы!$A$2:$A$50,0))</f>
        <v>308000</v>
      </c>
      <c r="R62" s="34">
        <f>FLOOR(Раскройка!$C$11/C62,1)*FLOOR(Раскройка!$D$11/B62,1)</f>
        <v>25</v>
      </c>
      <c r="S62" s="34">
        <f>MAX(Раскройка!$F$11-E62*R62,0)</f>
        <v>8.7142499999999998E-3</v>
      </c>
      <c r="T62" s="34">
        <f t="shared" si="45"/>
        <v>2683.989</v>
      </c>
      <c r="V62" s="26"/>
    </row>
    <row r="63" spans="1:22" x14ac:dyDescent="0.25">
      <c r="A63" s="34" t="s">
        <v>99</v>
      </c>
      <c r="B63" s="34">
        <v>901</v>
      </c>
      <c r="C63" s="34">
        <v>55</v>
      </c>
      <c r="D63" s="34">
        <v>18</v>
      </c>
      <c r="E63" s="34">
        <f>B63*C63*D63/1000000000</f>
        <v>8.9198999999999995E-4</v>
      </c>
      <c r="F63" s="34">
        <f>B63*C63/1000000</f>
        <v>4.9555000000000002E-2</v>
      </c>
      <c r="G63" s="34" t="s">
        <v>11</v>
      </c>
      <c r="H63" s="34">
        <f>ROUND(Q63+T63/Раскройка!$F$11,0)</f>
        <v>432845</v>
      </c>
      <c r="I63" s="34" t="s">
        <v>75</v>
      </c>
      <c r="J63" s="34">
        <v>2</v>
      </c>
      <c r="K63" s="34" t="s">
        <v>44</v>
      </c>
      <c r="L63" s="34">
        <v>3</v>
      </c>
      <c r="M63" s="34">
        <f>E63*H63+0.25*((VLOOKUP(I63,Покрытия!$A$2:$B$50,2,FALSE)*J63+VLOOKUP(K63,Покрытия!$A$2:$B$50,2,FALSE)*L63)*F63)</f>
        <v>460.42591154999997</v>
      </c>
      <c r="N63" s="34">
        <v>2</v>
      </c>
      <c r="O63" s="34">
        <f t="shared" si="44"/>
        <v>920.85182309999993</v>
      </c>
      <c r="P63" s="9"/>
      <c r="Q63" s="34">
        <f t="array" ref="Q63">INDEX(Материалы!$C$2:$C$50,MATCH(G63,Материалы!$A$2:$A$50,0))</f>
        <v>308000</v>
      </c>
      <c r="R63" s="34">
        <f>FLOOR(Раскройка!$C$11/C63,1)*FLOOR(Раскройка!$D$11/B63,1)</f>
        <v>15</v>
      </c>
      <c r="S63" s="34">
        <f>MAX(Раскройка!$F$11-E63*R63,0)</f>
        <v>9.1201500000000005E-3</v>
      </c>
      <c r="T63" s="34">
        <f t="shared" si="45"/>
        <v>2809.0062000000003</v>
      </c>
      <c r="V63" s="26"/>
    </row>
    <row r="64" spans="1:22" x14ac:dyDescent="0.25">
      <c r="A64" s="34" t="s">
        <v>94</v>
      </c>
      <c r="B64" s="34">
        <v>803</v>
      </c>
      <c r="C64" s="34">
        <v>557</v>
      </c>
      <c r="D64" s="34">
        <v>0.6</v>
      </c>
      <c r="E64" s="34">
        <f t="shared" ref="E64:E70" si="46">B64*C64/1000000</f>
        <v>0.44727099999999997</v>
      </c>
      <c r="F64" s="20"/>
      <c r="G64" s="7" t="s">
        <v>95</v>
      </c>
      <c r="H64" s="34">
        <f>ROUND(Q64+T64/Раскройка!$F$2,0)</f>
        <v>503</v>
      </c>
      <c r="I64" s="34" t="s">
        <v>75</v>
      </c>
      <c r="J64" s="34">
        <v>2</v>
      </c>
      <c r="K64" s="34" t="s">
        <v>44</v>
      </c>
      <c r="L64" s="34">
        <v>3</v>
      </c>
      <c r="M64" s="34">
        <f>E64*(0.25*(VLOOKUP(I64,Покрытия!$A$2:$B$40,2,FALSE)*J64+VLOOKUP(K64,Покрытия!$A$2:$B$40,2,FALSE)*L64)+H64)</f>
        <v>895.88381299999992</v>
      </c>
      <c r="N64" s="34">
        <v>2</v>
      </c>
      <c r="O64" s="34">
        <f t="shared" si="44"/>
        <v>1791.7676259999998</v>
      </c>
      <c r="P64" s="9"/>
      <c r="Q64" s="34">
        <f t="array" ref="Q64">INDEX(Материалы!$C$2:$C$100,MATCH(G64&amp;D64,Материалы!$A$2:$A$100&amp;Материалы!$B$2:$B$100,0))</f>
        <v>385</v>
      </c>
      <c r="R64" s="34">
        <f>FLOOR(Раскройка!$D$2/B64,1)*FLOOR(Раскройка!$C$2/C64,1)</f>
        <v>9</v>
      </c>
      <c r="S64" s="34">
        <f>MAX(Раскройка!$F$2-E64*R64,0)</f>
        <v>1.7745610000000003</v>
      </c>
      <c r="T64" s="34">
        <f t="shared" si="45"/>
        <v>683.20598500000006</v>
      </c>
      <c r="U64" s="26"/>
      <c r="V64" s="26"/>
    </row>
    <row r="65" spans="1:22" x14ac:dyDescent="0.25">
      <c r="A65" s="34" t="s">
        <v>94</v>
      </c>
      <c r="B65" s="34">
        <v>803</v>
      </c>
      <c r="C65" s="34">
        <v>901</v>
      </c>
      <c r="D65" s="34">
        <v>0.6</v>
      </c>
      <c r="E65" s="34">
        <f t="shared" si="46"/>
        <v>0.72350300000000001</v>
      </c>
      <c r="F65" s="20"/>
      <c r="G65" s="7" t="s">
        <v>95</v>
      </c>
      <c r="H65" s="34">
        <f>ROUND(Q65+T65/Раскройка!$F$2,0)</f>
        <v>482</v>
      </c>
      <c r="I65" s="34" t="s">
        <v>75</v>
      </c>
      <c r="J65" s="34">
        <v>2</v>
      </c>
      <c r="K65" s="34" t="s">
        <v>44</v>
      </c>
      <c r="L65" s="34">
        <v>3</v>
      </c>
      <c r="M65" s="34">
        <f>E65*(0.25*(VLOOKUP(I65,Покрытия!$A$2:$B$40,2,FALSE)*J65+VLOOKUP(K65,Покрытия!$A$2:$B$40,2,FALSE)*L65)+H65)</f>
        <v>1433.9829460000001</v>
      </c>
      <c r="N65" s="34">
        <v>2</v>
      </c>
      <c r="O65" s="34">
        <f t="shared" si="44"/>
        <v>2867.9658920000002</v>
      </c>
      <c r="P65" s="9"/>
      <c r="Q65" s="34">
        <f t="array" ref="Q65">INDEX(Материалы!$C$2:$C$100,MATCH(G65&amp;D65,Материалы!$A$2:$A$100&amp;Материалы!$B$2:$B$100,0))</f>
        <v>385</v>
      </c>
      <c r="R65" s="34">
        <f>FLOOR(Раскройка!$D$2/B65,1)*FLOOR(Раскройка!$C$2/C65,1)</f>
        <v>6</v>
      </c>
      <c r="S65" s="34">
        <f>MAX(Раскройка!$F$2-E65*R65,0)</f>
        <v>1.4589819999999998</v>
      </c>
      <c r="T65" s="34">
        <f t="shared" si="45"/>
        <v>561.70806999999991</v>
      </c>
      <c r="U65" s="26"/>
      <c r="V65" s="26"/>
    </row>
    <row r="66" spans="1:22" x14ac:dyDescent="0.25">
      <c r="A66" s="34" t="s">
        <v>77</v>
      </c>
      <c r="B66" s="34">
        <v>803</v>
      </c>
      <c r="C66" s="34">
        <v>65</v>
      </c>
      <c r="D66" s="34">
        <v>0.6</v>
      </c>
      <c r="E66" s="34">
        <f t="shared" si="46"/>
        <v>5.2194999999999998E-2</v>
      </c>
      <c r="F66" s="20"/>
      <c r="G66" s="7" t="s">
        <v>95</v>
      </c>
      <c r="H66" s="34">
        <f>ROUND(Q66+T66/Раскройка!$F$2,0)</f>
        <v>448</v>
      </c>
      <c r="I66" s="34" t="s">
        <v>75</v>
      </c>
      <c r="J66" s="34">
        <v>2</v>
      </c>
      <c r="K66" s="34" t="s">
        <v>44</v>
      </c>
      <c r="L66" s="34">
        <v>3</v>
      </c>
      <c r="M66" s="34">
        <f>E66*(0.25*(VLOOKUP(I66,Покрытия!$A$2:$B$40,2,FALSE)*J66+VLOOKUP(K66,Покрытия!$A$2:$B$40,2,FALSE)*L66)+H66)</f>
        <v>101.67586</v>
      </c>
      <c r="N66" s="34">
        <v>12</v>
      </c>
      <c r="O66" s="34">
        <f t="shared" si="44"/>
        <v>1220.11032</v>
      </c>
      <c r="P66" s="9"/>
      <c r="Q66" s="34">
        <f t="array" ref="Q66">INDEX(Материалы!$C$2:$C$100,MATCH(G66&amp;D66,Материалы!$A$2:$A$100&amp;Материалы!$B$2:$B$100,0))</f>
        <v>385</v>
      </c>
      <c r="R66" s="34">
        <f>FLOOR(Раскройка!$D$2/B66,1)*FLOOR(Раскройка!$C$2/C66,1)</f>
        <v>93</v>
      </c>
      <c r="S66" s="34">
        <f>MAX(Раскройка!$F$2-E66*R66,0)</f>
        <v>0.9458650000000004</v>
      </c>
      <c r="T66" s="34">
        <f t="shared" si="45"/>
        <v>364.15802500000018</v>
      </c>
      <c r="U66" s="26"/>
      <c r="V66" s="26"/>
    </row>
    <row r="67" spans="1:22" x14ac:dyDescent="0.25">
      <c r="A67" s="34" t="s">
        <v>77</v>
      </c>
      <c r="B67" s="34">
        <v>803</v>
      </c>
      <c r="C67" s="34">
        <v>97</v>
      </c>
      <c r="D67" s="34">
        <v>0.6</v>
      </c>
      <c r="E67" s="34">
        <f t="shared" si="46"/>
        <v>7.7891000000000002E-2</v>
      </c>
      <c r="F67" s="20"/>
      <c r="G67" s="7" t="s">
        <v>95</v>
      </c>
      <c r="H67" s="34">
        <f>ROUND(Q67+T67/Раскройка!$F$2,0)</f>
        <v>444</v>
      </c>
      <c r="I67" s="34" t="s">
        <v>75</v>
      </c>
      <c r="J67" s="34">
        <v>2</v>
      </c>
      <c r="K67" s="34" t="s">
        <v>44</v>
      </c>
      <c r="L67" s="34">
        <v>3</v>
      </c>
      <c r="M67" s="34">
        <f>E67*(0.25*(VLOOKUP(I67,Покрытия!$A$2:$B$40,2,FALSE)*J67+VLOOKUP(K67,Покрытия!$A$2:$B$40,2,FALSE)*L67)+H67)</f>
        <v>151.42010400000001</v>
      </c>
      <c r="N67" s="34">
        <v>2</v>
      </c>
      <c r="O67" s="34">
        <f t="shared" si="44"/>
        <v>302.84020800000002</v>
      </c>
      <c r="P67" s="9"/>
      <c r="Q67" s="34">
        <f t="array" ref="Q67">INDEX(Материалы!$C$2:$C$100,MATCH(G67&amp;D67,Материалы!$A$2:$A$100&amp;Материалы!$B$2:$B$100,0))</f>
        <v>385</v>
      </c>
      <c r="R67" s="34">
        <f>FLOOR(Раскройка!$D$2/B67,1)*FLOOR(Раскройка!$C$2/C67,1)</f>
        <v>63</v>
      </c>
      <c r="S67" s="34">
        <f>MAX(Раскройка!$F$2-E67*R67,0)</f>
        <v>0.89286699999999986</v>
      </c>
      <c r="T67" s="34">
        <f t="shared" si="45"/>
        <v>343.75379499999997</v>
      </c>
      <c r="U67" s="26"/>
      <c r="V67" s="26"/>
    </row>
    <row r="68" spans="1:22" x14ac:dyDescent="0.25">
      <c r="A68" s="34" t="s">
        <v>77</v>
      </c>
      <c r="B68" s="34">
        <v>803</v>
      </c>
      <c r="C68" s="34">
        <v>167</v>
      </c>
      <c r="D68" s="34">
        <v>0.6</v>
      </c>
      <c r="E68" s="34">
        <f t="shared" si="46"/>
        <v>0.134101</v>
      </c>
      <c r="F68" s="20"/>
      <c r="G68" s="7" t="s">
        <v>95</v>
      </c>
      <c r="H68" s="34">
        <f>ROUND(Q68+T68/Раскройка!$F$2,0)</f>
        <v>450</v>
      </c>
      <c r="I68" s="34" t="s">
        <v>75</v>
      </c>
      <c r="J68" s="34">
        <v>2</v>
      </c>
      <c r="K68" s="34" t="s">
        <v>44</v>
      </c>
      <c r="L68" s="34">
        <v>3</v>
      </c>
      <c r="M68" s="34">
        <f>E68*(0.25*(VLOOKUP(I68,Покрытия!$A$2:$B$40,2,FALSE)*J68+VLOOKUP(K68,Покрытия!$A$2:$B$40,2,FALSE)*L68)+H68)</f>
        <v>261.49694999999997</v>
      </c>
      <c r="N68" s="34">
        <v>2</v>
      </c>
      <c r="O68" s="34">
        <f t="shared" si="44"/>
        <v>522.99389999999994</v>
      </c>
      <c r="P68" s="9"/>
      <c r="Q68" s="34">
        <f t="array" ref="Q68">INDEX(Материалы!$C$2:$C$100,MATCH(G68&amp;D68,Материалы!$A$2:$A$100&amp;Материалы!$B$2:$B$100,0))</f>
        <v>385</v>
      </c>
      <c r="R68" s="34">
        <f>FLOOR(Раскройка!$D$2/B68,1)*FLOOR(Раскройка!$C$2/C68,1)</f>
        <v>36</v>
      </c>
      <c r="S68" s="34">
        <f>MAX(Раскройка!$F$2-E68*R68,0)</f>
        <v>0.97236399999999978</v>
      </c>
      <c r="T68" s="34">
        <f t="shared" si="45"/>
        <v>374.36013999999994</v>
      </c>
      <c r="U68" s="26"/>
      <c r="V68" s="26"/>
    </row>
    <row r="69" spans="1:22" x14ac:dyDescent="0.25">
      <c r="A69" s="34" t="s">
        <v>78</v>
      </c>
      <c r="B69" s="34">
        <v>557</v>
      </c>
      <c r="C69" s="34">
        <v>55</v>
      </c>
      <c r="D69" s="34">
        <v>0.6</v>
      </c>
      <c r="E69" s="34">
        <f t="shared" si="46"/>
        <v>3.0634999999999999E-2</v>
      </c>
      <c r="F69" s="20"/>
      <c r="G69" s="7" t="s">
        <v>95</v>
      </c>
      <c r="H69" s="34">
        <f>ROUND(Q69+T69/Раскройка!$F$2,0)</f>
        <v>394</v>
      </c>
      <c r="I69" s="34" t="s">
        <v>75</v>
      </c>
      <c r="J69" s="34">
        <v>2</v>
      </c>
      <c r="K69" s="34" t="s">
        <v>44</v>
      </c>
      <c r="L69" s="34">
        <v>3</v>
      </c>
      <c r="M69" s="34">
        <f>E69*(0.25*(VLOOKUP(I69,Покрытия!$A$2:$B$40,2,FALSE)*J69+VLOOKUP(K69,Покрытия!$A$2:$B$40,2,FALSE)*L69)+H69)</f>
        <v>58.022689999999997</v>
      </c>
      <c r="N69" s="34">
        <v>12</v>
      </c>
      <c r="O69" s="34">
        <f t="shared" si="44"/>
        <v>696.27227999999991</v>
      </c>
      <c r="P69" s="9"/>
      <c r="Q69" s="34">
        <f t="array" ref="Q69">INDEX(Материалы!$C$2:$C$100,MATCH(G69&amp;D69,Материалы!$A$2:$A$100&amp;Материалы!$B$2:$B$100,0))</f>
        <v>385</v>
      </c>
      <c r="R69" s="34">
        <f>FLOOR(Раскройка!$D$2/B69,1)*FLOOR(Раскройка!$C$2/C69,1)</f>
        <v>185</v>
      </c>
      <c r="S69" s="34">
        <f>MAX(Раскройка!$F$2-E69*R69,0)</f>
        <v>0.13252500000000023</v>
      </c>
      <c r="T69" s="34">
        <f t="shared" si="45"/>
        <v>51.022125000000088</v>
      </c>
      <c r="U69" s="26"/>
      <c r="V69" s="26"/>
    </row>
    <row r="70" spans="1:22" x14ac:dyDescent="0.25">
      <c r="A70" s="34" t="s">
        <v>78</v>
      </c>
      <c r="B70" s="34">
        <v>901</v>
      </c>
      <c r="C70" s="34">
        <v>55</v>
      </c>
      <c r="D70" s="34">
        <v>0.6</v>
      </c>
      <c r="E70" s="34">
        <f t="shared" si="46"/>
        <v>4.9555000000000002E-2</v>
      </c>
      <c r="F70" s="20"/>
      <c r="G70" s="7" t="s">
        <v>95</v>
      </c>
      <c r="H70" s="34">
        <f>ROUND(Q70+T70/Раскройка!$F$2,0)</f>
        <v>405</v>
      </c>
      <c r="I70" s="34" t="s">
        <v>75</v>
      </c>
      <c r="J70" s="34">
        <v>2</v>
      </c>
      <c r="K70" s="34" t="s">
        <v>44</v>
      </c>
      <c r="L70" s="34">
        <v>3</v>
      </c>
      <c r="M70" s="34">
        <f>E70*(0.25*(VLOOKUP(I70,Покрытия!$A$2:$B$40,2,FALSE)*J70+VLOOKUP(K70,Покрытия!$A$2:$B$40,2,FALSE)*L70)+H70)</f>
        <v>94.402275000000003</v>
      </c>
      <c r="N70" s="34">
        <v>4</v>
      </c>
      <c r="O70" s="34">
        <f t="shared" si="44"/>
        <v>377.60910000000001</v>
      </c>
      <c r="P70" s="9"/>
      <c r="Q70" s="34">
        <f t="array" ref="Q70">INDEX(Материалы!$C$2:$C$100,MATCH(G70&amp;D70,Материалы!$A$2:$A$100&amp;Материалы!$B$2:$B$100,0))</f>
        <v>385</v>
      </c>
      <c r="R70" s="34">
        <f>FLOOR(Раскройка!$D$2/B70,1)*FLOOR(Раскройка!$C$2/C70,1)</f>
        <v>111</v>
      </c>
      <c r="S70" s="34">
        <f>MAX(Раскройка!$F$2-E70*R70,0)</f>
        <v>0.29939499999999963</v>
      </c>
      <c r="T70" s="34">
        <f t="shared" si="45"/>
        <v>115.26707499999986</v>
      </c>
      <c r="U70" s="26"/>
      <c r="V70" s="26"/>
    </row>
    <row r="71" spans="1:22" x14ac:dyDescent="0.25">
      <c r="A71" s="34" t="s">
        <v>100</v>
      </c>
      <c r="B71" s="34">
        <v>3226</v>
      </c>
      <c r="C71" s="34">
        <v>40</v>
      </c>
      <c r="D71" s="34">
        <v>32</v>
      </c>
      <c r="E71" s="34">
        <f>B71*C71*D71/1000000000</f>
        <v>4.1292799999999999E-3</v>
      </c>
      <c r="F71" s="34">
        <f>B71*C71/1000000</f>
        <v>0.12903999999999999</v>
      </c>
      <c r="G71" s="34" t="s">
        <v>11</v>
      </c>
      <c r="H71" s="34">
        <f>ROUND(Q71+T71/Раскройка!$F$11,0)</f>
        <v>616000</v>
      </c>
      <c r="I71" s="34" t="s">
        <v>75</v>
      </c>
      <c r="J71" s="34">
        <v>2</v>
      </c>
      <c r="K71" s="34" t="s">
        <v>44</v>
      </c>
      <c r="L71" s="34">
        <v>3</v>
      </c>
      <c r="M71" s="34">
        <f>E71*H71+0.25*((VLOOKUP(I71,Покрытия!$A$2:$B$50,2,FALSE)*J71+VLOOKUP(K71,Покрытия!$A$2:$B$50,2,FALSE)*L71)*F71)</f>
        <v>2737.1964800000001</v>
      </c>
      <c r="N71" s="34">
        <v>1</v>
      </c>
      <c r="O71" s="34">
        <f t="shared" si="44"/>
        <v>2737.1964800000001</v>
      </c>
      <c r="P71" s="9"/>
      <c r="Q71" s="34">
        <f t="array" ref="Q71">INDEX(Материалы!$C$2:$C$50,MATCH(G71,Материалы!$A$2:$A$50,0))</f>
        <v>308000</v>
      </c>
      <c r="R71" s="34">
        <f>FLOOR(Раскройка!$C$11/C71,1)*FLOOR(Раскройка!$D$11/B71,1)</f>
        <v>0</v>
      </c>
      <c r="S71" s="34">
        <f>MAX(Раскройка!$F$11-E71*R71,0)</f>
        <v>2.2499999999999999E-2</v>
      </c>
      <c r="T71" s="34">
        <f t="shared" si="45"/>
        <v>6930</v>
      </c>
      <c r="U71" s="26"/>
      <c r="V71" s="26"/>
    </row>
    <row r="72" spans="1:22" x14ac:dyDescent="0.25">
      <c r="A72" s="27"/>
      <c r="B72" s="27" t="s">
        <v>97</v>
      </c>
      <c r="C72" s="34" t="s">
        <v>98</v>
      </c>
      <c r="D72" s="34" t="s">
        <v>58</v>
      </c>
      <c r="E72" s="16"/>
      <c r="F72" s="26"/>
      <c r="G72" s="25"/>
      <c r="H72" s="16"/>
      <c r="I72" s="16"/>
      <c r="J72" s="16"/>
      <c r="K72" s="16"/>
      <c r="L72" s="16"/>
      <c r="M72" s="16"/>
      <c r="N72" s="16"/>
      <c r="O72" s="16"/>
      <c r="P72" s="26"/>
      <c r="Q72" s="26"/>
      <c r="R72" s="26"/>
      <c r="S72" s="26"/>
      <c r="T72" s="26"/>
      <c r="U72" s="26"/>
      <c r="V72" s="26"/>
    </row>
    <row r="73" spans="1:22" x14ac:dyDescent="0.25">
      <c r="A73" s="34" t="s">
        <v>96</v>
      </c>
      <c r="B73" s="34">
        <f>(557+65*2+557*2+901+65*4+167+97)/1000</f>
        <v>3.226</v>
      </c>
      <c r="C73" s="34">
        <v>2789</v>
      </c>
      <c r="D73" s="34">
        <f>B73*C73</f>
        <v>8997.3140000000003</v>
      </c>
      <c r="E73" s="16"/>
      <c r="F73" s="26"/>
      <c r="G73" s="25"/>
      <c r="H73" s="16"/>
      <c r="I73" s="16"/>
      <c r="J73" s="16"/>
      <c r="K73" s="16"/>
      <c r="L73" s="16"/>
      <c r="M73" s="16"/>
      <c r="N73" s="16"/>
      <c r="O73" s="16"/>
      <c r="P73" s="26"/>
      <c r="Q73" s="26"/>
      <c r="R73" s="26"/>
      <c r="S73" s="26"/>
      <c r="T73" s="26"/>
      <c r="U73" s="26"/>
      <c r="V73" s="26"/>
    </row>
    <row r="74" spans="1:22" x14ac:dyDescent="0.25">
      <c r="A74" s="16"/>
      <c r="B74" s="16"/>
      <c r="C74" s="16"/>
      <c r="D74" s="16"/>
      <c r="E74" s="16"/>
      <c r="F74" s="26"/>
      <c r="G74" s="25"/>
      <c r="H74" s="16"/>
      <c r="I74" s="16"/>
      <c r="J74" s="16"/>
      <c r="K74" s="16"/>
      <c r="L74" s="16"/>
      <c r="M74" s="16"/>
      <c r="N74" s="16"/>
      <c r="O74" s="16"/>
      <c r="P74" s="26"/>
      <c r="Q74" s="26"/>
      <c r="R74" s="26"/>
      <c r="S74" s="26"/>
      <c r="T74" s="26"/>
      <c r="U74" s="26"/>
      <c r="V74" s="26"/>
    </row>
    <row r="75" spans="1:22" x14ac:dyDescent="0.25">
      <c r="A75" s="16"/>
      <c r="B75" s="16"/>
      <c r="C75" s="16"/>
      <c r="D75" s="16"/>
      <c r="E75" s="16"/>
      <c r="F75" s="26"/>
      <c r="G75" s="25"/>
      <c r="H75" s="16"/>
      <c r="I75" s="16"/>
      <c r="J75" s="16"/>
      <c r="K75" s="16"/>
      <c r="L75" s="16"/>
      <c r="M75" s="16"/>
      <c r="N75" s="16"/>
      <c r="O75" s="16"/>
      <c r="P75" s="26"/>
      <c r="Q75" s="26"/>
      <c r="R75" s="26"/>
      <c r="S75" s="26"/>
      <c r="T75" s="26"/>
      <c r="U75" s="26"/>
      <c r="V75" s="26"/>
    </row>
    <row r="76" spans="1:22" x14ac:dyDescent="0.25">
      <c r="A76" s="34" t="s">
        <v>77</v>
      </c>
      <c r="B76" s="34">
        <v>803</v>
      </c>
      <c r="C76" s="34">
        <v>55</v>
      </c>
      <c r="D76" s="34">
        <v>18</v>
      </c>
      <c r="E76" s="34">
        <f t="shared" ref="E76" si="47">B76*C76/1000000</f>
        <v>4.4165000000000003E-2</v>
      </c>
      <c r="F76" s="20"/>
      <c r="G76" s="7" t="s">
        <v>3</v>
      </c>
      <c r="H76" s="34">
        <f>ROUND(Q76+T76/Раскройка!$F$2,0)</f>
        <v>450</v>
      </c>
      <c r="I76" s="34" t="s">
        <v>75</v>
      </c>
      <c r="J76" s="34">
        <v>0</v>
      </c>
      <c r="K76" s="34" t="s">
        <v>44</v>
      </c>
      <c r="L76" s="34">
        <v>0</v>
      </c>
      <c r="M76" s="34">
        <f>E76*(0.25*(VLOOKUP(I76,Покрытия!$A$2:$B$40,2,FALSE)*J76+VLOOKUP(K76,Покрытия!$A$2:$B$40,2,FALSE)*L76)+H76)</f>
        <v>19.87425</v>
      </c>
      <c r="N76" s="34">
        <v>3</v>
      </c>
      <c r="O76" s="34">
        <f t="shared" ref="O76" si="48">M76*N76</f>
        <v>59.622749999999996</v>
      </c>
      <c r="P76" s="9"/>
      <c r="Q76" s="34">
        <f t="array" ref="Q76">INDEX(Материалы!$C$2:$C$50,MATCH(G76&amp;D76,Материалы!$A$2:$A$50&amp;Материалы!$B$2:$B$50,0))</f>
        <v>390</v>
      </c>
      <c r="R76" s="34">
        <f>FLOOR(Раскройка!$D$2/B76,1)*FLOOR(Раскройка!$C$2/C76,1)</f>
        <v>111</v>
      </c>
      <c r="S76" s="34">
        <f>MAX(Раскройка!$F$2-E76*R76,0)</f>
        <v>0.89768499999999918</v>
      </c>
      <c r="T76" s="34">
        <f t="shared" ref="T76" si="49">Q76*S76</f>
        <v>350.09714999999966</v>
      </c>
      <c r="U76" s="9"/>
      <c r="V76" s="26"/>
    </row>
    <row r="77" spans="1:22" x14ac:dyDescent="0.25">
      <c r="A77" s="34" t="s">
        <v>78</v>
      </c>
      <c r="B77" s="34">
        <v>549</v>
      </c>
      <c r="C77" s="34">
        <v>55</v>
      </c>
      <c r="D77" s="34">
        <v>18</v>
      </c>
      <c r="E77" s="34">
        <f>B77*C77/1000000</f>
        <v>3.0195E-2</v>
      </c>
      <c r="F77" s="20"/>
      <c r="G77" s="7" t="s">
        <v>3</v>
      </c>
      <c r="H77" s="34">
        <f>ROUND(Q77+T77/Раскройка!$F$2,0)</f>
        <v>404</v>
      </c>
      <c r="I77" s="34" t="s">
        <v>75</v>
      </c>
      <c r="J77" s="34">
        <v>0</v>
      </c>
      <c r="K77" s="34" t="s">
        <v>44</v>
      </c>
      <c r="L77" s="34">
        <v>0</v>
      </c>
      <c r="M77" s="34">
        <f>E77*(0.25*(VLOOKUP(I77,Покрытия!$A$2:$B$40,2,FALSE)*J77+VLOOKUP(K77,Покрытия!$A$2:$B$40,2,FALSE)*L77)+H77)</f>
        <v>12.198779999999999</v>
      </c>
      <c r="N77" s="34">
        <v>4</v>
      </c>
      <c r="O77" s="34">
        <f t="shared" ref="O77:O84" si="50">M77*N77</f>
        <v>48.795119999999997</v>
      </c>
      <c r="P77" s="9"/>
      <c r="Q77" s="34">
        <f t="array" ref="Q77">INDEX(Материалы!$C$2:$C$50,MATCH(G77&amp;D77,Материалы!$A$2:$A$50&amp;Материалы!$B$2:$B$50,0))</f>
        <v>390</v>
      </c>
      <c r="R77" s="34">
        <f>FLOOR(Раскройка!$D$2/B77,1)*FLOOR(Раскройка!$C$2/C77,1)</f>
        <v>185</v>
      </c>
      <c r="S77" s="34">
        <f>MAX(Раскройка!$F$2-E77*R77,0)</f>
        <v>0.2139249999999997</v>
      </c>
      <c r="T77" s="34">
        <f t="shared" ref="T77:T84" si="51">Q77*S77</f>
        <v>83.430749999999875</v>
      </c>
      <c r="U77" s="9"/>
      <c r="V77" s="26"/>
    </row>
    <row r="78" spans="1:22" x14ac:dyDescent="0.25">
      <c r="A78" s="34" t="s">
        <v>57</v>
      </c>
      <c r="B78" s="34">
        <v>803</v>
      </c>
      <c r="C78" s="34">
        <v>549</v>
      </c>
      <c r="D78" s="34">
        <v>18</v>
      </c>
      <c r="E78" s="34">
        <f>B78*C78/1000000</f>
        <v>0.44084699999999999</v>
      </c>
      <c r="F78" s="20"/>
      <c r="G78" s="7" t="s">
        <v>3</v>
      </c>
      <c r="H78" s="34">
        <f>ROUND(Q78+T78/Раскройка!$F$2,0)</f>
        <v>513</v>
      </c>
      <c r="I78" s="34" t="s">
        <v>75</v>
      </c>
      <c r="J78" s="34">
        <v>0</v>
      </c>
      <c r="K78" s="34" t="s">
        <v>44</v>
      </c>
      <c r="L78" s="34">
        <v>0</v>
      </c>
      <c r="M78" s="34">
        <f>E78*(0.25*(VLOOKUP(I78,Покрытия!$A$2:$B$40,2,FALSE)*J78+VLOOKUP(K78,Покрытия!$A$2:$B$40,2,FALSE)*L78)+H78)</f>
        <v>226.15451099999999</v>
      </c>
      <c r="N78" s="34">
        <v>2</v>
      </c>
      <c r="O78" s="34">
        <f t="shared" si="50"/>
        <v>452.30902199999997</v>
      </c>
      <c r="P78" s="9"/>
      <c r="Q78" s="34">
        <f t="array" ref="Q78">INDEX(Материалы!$C$2:$C$50,MATCH(G78&amp;D78,Материалы!$A$2:$A$50&amp;Материалы!$B$2:$B$50,0))</f>
        <v>390</v>
      </c>
      <c r="R78" s="34">
        <f>FLOOR(Раскройка!$D$2/B78,1)*FLOOR(Раскройка!$C$2/C78,1)</f>
        <v>9</v>
      </c>
      <c r="S78" s="34">
        <f>MAX(Раскройка!$F$2-E78*R78,0)</f>
        <v>1.8323770000000001</v>
      </c>
      <c r="T78" s="34">
        <f t="shared" si="51"/>
        <v>714.6270300000001</v>
      </c>
      <c r="U78" s="16"/>
    </row>
    <row r="79" spans="1:22" x14ac:dyDescent="0.25">
      <c r="A79" s="34" t="s">
        <v>94</v>
      </c>
      <c r="B79" s="34">
        <v>803</v>
      </c>
      <c r="C79" s="34">
        <v>549</v>
      </c>
      <c r="D79" s="34">
        <v>0.6</v>
      </c>
      <c r="E79" s="34">
        <f>B79*C79/1000000</f>
        <v>0.44084699999999999</v>
      </c>
      <c r="F79" s="20"/>
      <c r="G79" s="7" t="s">
        <v>95</v>
      </c>
      <c r="H79" s="34">
        <f>ROUND(Q79+T79/Раскройка!$F$2,0)</f>
        <v>507</v>
      </c>
      <c r="I79" s="34" t="s">
        <v>75</v>
      </c>
      <c r="J79" s="34">
        <v>2</v>
      </c>
      <c r="K79" s="34" t="s">
        <v>44</v>
      </c>
      <c r="L79" s="34">
        <v>3</v>
      </c>
      <c r="M79" s="34">
        <f>E79*(0.25*(VLOOKUP(I79,Покрытия!$A$2:$B$40,2,FALSE)*J79+VLOOKUP(K79,Покрытия!$A$2:$B$40,2,FALSE)*L79)+H79)</f>
        <v>884.77992899999992</v>
      </c>
      <c r="N79" s="34">
        <v>4</v>
      </c>
      <c r="O79" s="34">
        <f t="shared" si="50"/>
        <v>3539.1197159999997</v>
      </c>
      <c r="P79" s="9"/>
      <c r="Q79" s="34">
        <f t="array" ref="Q79">INDEX(Материалы!$C$2:$C$100,MATCH(G79&amp;D79,Материалы!$A$2:$A$100&amp;Материалы!$B$2:$B$100,0))</f>
        <v>385</v>
      </c>
      <c r="R79" s="34">
        <f>FLOOR(Раскройка!$D$2/B79,1)*FLOOR(Раскройка!$C$2/C79,1)</f>
        <v>9</v>
      </c>
      <c r="S79" s="34">
        <f>MAX(Раскройка!$F$2-E79*R79,0)</f>
        <v>1.8323770000000001</v>
      </c>
      <c r="T79" s="34">
        <f t="shared" si="51"/>
        <v>705.46514500000001</v>
      </c>
      <c r="U79" s="26"/>
      <c r="V79" s="26"/>
    </row>
    <row r="80" spans="1:22" x14ac:dyDescent="0.25">
      <c r="A80" s="34" t="s">
        <v>93</v>
      </c>
      <c r="B80" s="34">
        <v>803</v>
      </c>
      <c r="C80" s="34">
        <v>55</v>
      </c>
      <c r="D80" s="34">
        <v>18</v>
      </c>
      <c r="E80" s="34">
        <f>B80*C80*D80/1000000000</f>
        <v>7.9496999999999999E-4</v>
      </c>
      <c r="F80" s="34">
        <f>B80*C80/1000000</f>
        <v>4.4165000000000003E-2</v>
      </c>
      <c r="G80" s="34" t="s">
        <v>11</v>
      </c>
      <c r="H80" s="34">
        <f>ROUND(Q80+T80/Раскройка!$F$11,0)</f>
        <v>452766</v>
      </c>
      <c r="I80" s="34" t="s">
        <v>75</v>
      </c>
      <c r="J80" s="34">
        <v>2</v>
      </c>
      <c r="K80" s="34" t="s">
        <v>44</v>
      </c>
      <c r="L80" s="34">
        <v>3</v>
      </c>
      <c r="M80" s="34">
        <f>E80*H80+0.25*((VLOOKUP(I80,Покрытия!$A$2:$B$50,2,FALSE)*J80+VLOOKUP(K80,Покрытия!$A$2:$B$50,2,FALSE)*L80)*F80)</f>
        <v>426.18288702000001</v>
      </c>
      <c r="N80" s="34">
        <v>4</v>
      </c>
      <c r="O80" s="34">
        <f t="shared" si="50"/>
        <v>1704.73154808</v>
      </c>
      <c r="P80" s="9"/>
      <c r="Q80" s="34">
        <f t="array" ref="Q80">INDEX(Материалы!$C$2:$C$50,MATCH(G80,Материалы!$A$2:$A$50,0))</f>
        <v>308000</v>
      </c>
      <c r="R80" s="34">
        <f>FLOOR(Раскройка!$C$11/C80,1)*FLOOR(Раскройка!$D$11/B80,1)</f>
        <v>15</v>
      </c>
      <c r="S80" s="34">
        <f>MAX(Раскройка!$F$11-E80*R80,0)</f>
        <v>1.057545E-2</v>
      </c>
      <c r="T80" s="34">
        <f t="shared" si="51"/>
        <v>3257.2386000000001</v>
      </c>
      <c r="U80" s="26"/>
      <c r="V80" s="26"/>
    </row>
    <row r="81" spans="1:22" x14ac:dyDescent="0.25">
      <c r="A81" s="34" t="s">
        <v>99</v>
      </c>
      <c r="B81" s="34">
        <v>549</v>
      </c>
      <c r="C81" s="34">
        <v>55</v>
      </c>
      <c r="D81" s="34">
        <v>18</v>
      </c>
      <c r="E81" s="34">
        <f>B81*C81*D81/1000000000</f>
        <v>5.4350999999999998E-4</v>
      </c>
      <c r="F81" s="34">
        <f>B81*C81/1000000</f>
        <v>3.0195E-2</v>
      </c>
      <c r="G81" s="34" t="s">
        <v>11</v>
      </c>
      <c r="H81" s="34">
        <f>ROUND(Q81+T81/Раскройка!$F$11,0)</f>
        <v>429999</v>
      </c>
      <c r="I81" s="34" t="s">
        <v>75</v>
      </c>
      <c r="J81" s="34">
        <v>2</v>
      </c>
      <c r="K81" s="34" t="s">
        <v>44</v>
      </c>
      <c r="L81" s="34">
        <v>3</v>
      </c>
      <c r="M81" s="34">
        <f>E81*H81+0.25*((VLOOKUP(I81,Покрытия!$A$2:$B$50,2,FALSE)*J81+VLOOKUP(K81,Покрытия!$A$2:$B$50,2,FALSE)*L81)*F81)</f>
        <v>279.00125649</v>
      </c>
      <c r="N81" s="34">
        <v>4</v>
      </c>
      <c r="O81" s="34">
        <f t="shared" si="50"/>
        <v>1116.00502596</v>
      </c>
      <c r="P81" s="9"/>
      <c r="Q81" s="34">
        <f t="array" ref="Q81">INDEX(Материалы!$C$2:$C$50,MATCH(G81,Материалы!$A$2:$A$50,0))</f>
        <v>308000</v>
      </c>
      <c r="R81" s="34">
        <f>FLOOR(Раскройка!$C$11/C81,1)*FLOOR(Раскройка!$D$11/B81,1)</f>
        <v>25</v>
      </c>
      <c r="S81" s="34">
        <f>MAX(Раскройка!$F$11-E81*R81,0)</f>
        <v>8.91225E-3</v>
      </c>
      <c r="T81" s="34">
        <f t="shared" si="51"/>
        <v>2744.973</v>
      </c>
      <c r="V81" s="26"/>
    </row>
    <row r="82" spans="1:22" x14ac:dyDescent="0.25">
      <c r="A82" s="34" t="s">
        <v>77</v>
      </c>
      <c r="B82" s="34">
        <v>803</v>
      </c>
      <c r="C82" s="34">
        <v>55</v>
      </c>
      <c r="D82" s="34">
        <v>0.6</v>
      </c>
      <c r="E82" s="34">
        <f>B82*C82/1000000</f>
        <v>4.4165000000000003E-2</v>
      </c>
      <c r="F82" s="20"/>
      <c r="G82" s="7" t="s">
        <v>95</v>
      </c>
      <c r="H82" s="34">
        <f>ROUND(Q82+T82/Раскройка!$F$2,0)</f>
        <v>445</v>
      </c>
      <c r="I82" s="34" t="s">
        <v>75</v>
      </c>
      <c r="J82" s="34">
        <v>2</v>
      </c>
      <c r="K82" s="34" t="s">
        <v>44</v>
      </c>
      <c r="L82" s="34">
        <v>3</v>
      </c>
      <c r="M82" s="34">
        <f>E82*(0.25*(VLOOKUP(I82,Покрытия!$A$2:$B$40,2,FALSE)*J82+VLOOKUP(K82,Покрытия!$A$2:$B$40,2,FALSE)*L82)+H82)</f>
        <v>85.900925000000001</v>
      </c>
      <c r="N82" s="34">
        <v>6</v>
      </c>
      <c r="O82" s="34">
        <f t="shared" si="50"/>
        <v>515.40554999999995</v>
      </c>
      <c r="P82" s="9"/>
      <c r="Q82" s="34">
        <f t="array" ref="Q82">INDEX(Материалы!$C$2:$C$100,MATCH(G82&amp;D82,Материалы!$A$2:$A$100&amp;Материалы!$B$2:$B$100,0))</f>
        <v>385</v>
      </c>
      <c r="R82" s="34">
        <f>FLOOR(Раскройка!$D$2/B82,1)*FLOOR(Раскройка!$C$2/C82,1)</f>
        <v>111</v>
      </c>
      <c r="S82" s="34">
        <f>MAX(Раскройка!$F$2-E82*R82,0)</f>
        <v>0.89768499999999918</v>
      </c>
      <c r="T82" s="34">
        <f t="shared" si="51"/>
        <v>345.60872499999971</v>
      </c>
      <c r="U82" s="26"/>
    </row>
    <row r="83" spans="1:22" x14ac:dyDescent="0.25">
      <c r="A83" s="34" t="s">
        <v>78</v>
      </c>
      <c r="B83" s="34">
        <v>549</v>
      </c>
      <c r="C83" s="34">
        <v>55</v>
      </c>
      <c r="D83" s="34">
        <v>0.6</v>
      </c>
      <c r="E83" s="34">
        <f>B83*C83/1000000</f>
        <v>3.0195E-2</v>
      </c>
      <c r="F83" s="20"/>
      <c r="G83" s="7" t="s">
        <v>95</v>
      </c>
      <c r="H83" s="34">
        <f>ROUND(Q83+T83/Раскройка!$F$2,0)</f>
        <v>399</v>
      </c>
      <c r="I83" s="34" t="s">
        <v>75</v>
      </c>
      <c r="J83" s="34">
        <v>2</v>
      </c>
      <c r="K83" s="34" t="s">
        <v>44</v>
      </c>
      <c r="L83" s="34">
        <v>3</v>
      </c>
      <c r="M83" s="34">
        <f>E83*(0.25*(VLOOKUP(I83,Покрытия!$A$2:$B$40,2,FALSE)*J83+VLOOKUP(K83,Покрытия!$A$2:$B$40,2,FALSE)*L83)+H83)</f>
        <v>57.340305000000001</v>
      </c>
      <c r="N83" s="34">
        <v>8</v>
      </c>
      <c r="O83" s="34">
        <f t="shared" si="50"/>
        <v>458.72244000000001</v>
      </c>
      <c r="P83" s="9"/>
      <c r="Q83" s="34">
        <f t="array" ref="Q83">INDEX(Материалы!$C$2:$C$100,MATCH(G83&amp;D83,Материалы!$A$2:$A$100&amp;Материалы!$B$2:$B$100,0))</f>
        <v>385</v>
      </c>
      <c r="R83" s="34">
        <f>FLOOR(Раскройка!$D$2/B83,1)*FLOOR(Раскройка!$C$2/C83,1)</f>
        <v>185</v>
      </c>
      <c r="S83" s="34">
        <f>MAX(Раскройка!$F$2-E83*R83,0)</f>
        <v>0.2139249999999997</v>
      </c>
      <c r="T83" s="34">
        <f t="shared" si="51"/>
        <v>82.361124999999888</v>
      </c>
      <c r="U83" s="26"/>
      <c r="V83" s="26"/>
    </row>
    <row r="84" spans="1:22" x14ac:dyDescent="0.25">
      <c r="A84" s="34" t="s">
        <v>100</v>
      </c>
      <c r="B84" s="34">
        <v>1263</v>
      </c>
      <c r="C84" s="34">
        <v>40</v>
      </c>
      <c r="D84" s="34">
        <v>32</v>
      </c>
      <c r="E84" s="34">
        <f>B84*C84*D84/1000000000</f>
        <v>1.6166399999999999E-3</v>
      </c>
      <c r="F84" s="34">
        <f>B84*C84/1000000</f>
        <v>5.0520000000000002E-2</v>
      </c>
      <c r="G84" s="34" t="s">
        <v>11</v>
      </c>
      <c r="H84" s="34">
        <f>ROUND(Q84+T84/Раскройка!$F$11,0)</f>
        <v>308000</v>
      </c>
      <c r="I84" s="34" t="s">
        <v>75</v>
      </c>
      <c r="J84" s="34">
        <v>2</v>
      </c>
      <c r="K84" s="34" t="s">
        <v>44</v>
      </c>
      <c r="L84" s="34">
        <v>3</v>
      </c>
      <c r="M84" s="34">
        <f>E84*H84+0.25*((VLOOKUP(I84,Покрытия!$A$2:$B$50,2,FALSE)*J84+VLOOKUP(K84,Покрытия!$A$2:$B$50,2,FALSE)*L84)*F84)</f>
        <v>573.70511999999997</v>
      </c>
      <c r="N84" s="34">
        <v>1</v>
      </c>
      <c r="O84" s="34">
        <f t="shared" si="50"/>
        <v>573.70511999999997</v>
      </c>
      <c r="P84" s="9"/>
      <c r="Q84" s="34">
        <f t="array" ref="Q84">INDEX(Материалы!$C$2:$C$50,MATCH(G84,Материалы!$A$2:$A$50,0))</f>
        <v>308000</v>
      </c>
      <c r="R84" s="34">
        <f>FLOOR(Раскройка!$C$11/C84,1)*FLOOR(Раскройка!$D$11/B84,1)</f>
        <v>14</v>
      </c>
      <c r="S84" s="34">
        <f>MAX(Раскройка!$F$11-E84*R84,0)</f>
        <v>0</v>
      </c>
      <c r="T84" s="34">
        <f t="shared" si="51"/>
        <v>0</v>
      </c>
      <c r="U84" s="26"/>
    </row>
    <row r="85" spans="1:22" x14ac:dyDescent="0.25">
      <c r="A85" s="27"/>
      <c r="B85" s="27" t="s">
        <v>97</v>
      </c>
      <c r="C85" s="34" t="s">
        <v>98</v>
      </c>
      <c r="D85" s="34" t="s">
        <v>58</v>
      </c>
    </row>
    <row r="86" spans="1:22" x14ac:dyDescent="0.25">
      <c r="A86" s="34" t="s">
        <v>96</v>
      </c>
      <c r="B86" s="34">
        <f>(549*2+55*3)/1000</f>
        <v>1.2629999999999999</v>
      </c>
      <c r="C86" s="34">
        <v>2789</v>
      </c>
      <c r="D86" s="34">
        <f>B86*C86</f>
        <v>3522.5069999999996</v>
      </c>
    </row>
    <row r="89" spans="1:22" x14ac:dyDescent="0.25">
      <c r="A89" s="34" t="s">
        <v>101</v>
      </c>
      <c r="B89" s="34">
        <v>2613</v>
      </c>
      <c r="C89" s="34">
        <v>190</v>
      </c>
      <c r="D89" s="34">
        <v>18</v>
      </c>
      <c r="E89" s="34">
        <f t="shared" ref="E89" si="52">B89*C89/1000000</f>
        <v>0.49647000000000002</v>
      </c>
      <c r="F89" s="20"/>
      <c r="G89" s="7" t="s">
        <v>3</v>
      </c>
      <c r="H89" s="34">
        <f>ROUND(Q89+T89/Раскройка!$F$2,0)</f>
        <v>446</v>
      </c>
      <c r="I89" s="34" t="s">
        <v>75</v>
      </c>
      <c r="J89" s="34">
        <v>0</v>
      </c>
      <c r="K89" s="34" t="s">
        <v>44</v>
      </c>
      <c r="L89" s="34">
        <v>0</v>
      </c>
      <c r="M89" s="34">
        <f>E89*(0.25*(VLOOKUP(I89,Покрытия!$A$2:$B$40,2,FALSE)*J89+VLOOKUP(K89,Покрытия!$A$2:$B$40,2,FALSE)*L89)+H89)</f>
        <v>221.42562000000001</v>
      </c>
      <c r="N89" s="34">
        <v>2</v>
      </c>
      <c r="O89" s="34">
        <f t="shared" ref="O89" si="53">M89*N89</f>
        <v>442.85124000000002</v>
      </c>
      <c r="P89" s="9"/>
      <c r="Q89" s="34">
        <f t="array" ref="Q89">INDEX(Материалы!$C$2:$C$50,MATCH(G89&amp;D89,Материалы!$A$2:$A$50&amp;Материалы!$B$2:$B$50,0))</f>
        <v>390</v>
      </c>
      <c r="R89" s="34">
        <f>FLOOR(Раскройка!$D$2/B89,1)*FLOOR(Раскройка!$C$2/C89,1)</f>
        <v>10</v>
      </c>
      <c r="S89" s="34">
        <f>MAX(Раскройка!$F$2-E89*R89,0)</f>
        <v>0.83529999999999927</v>
      </c>
      <c r="T89" s="34">
        <f t="shared" ref="T89" si="54">Q89*S89</f>
        <v>325.76699999999971</v>
      </c>
      <c r="U89" s="9"/>
    </row>
    <row r="90" spans="1:22" x14ac:dyDescent="0.25">
      <c r="A90" s="34" t="s">
        <v>102</v>
      </c>
      <c r="B90" s="34">
        <v>1166</v>
      </c>
      <c r="C90" s="34">
        <v>190</v>
      </c>
      <c r="D90" s="34">
        <v>18</v>
      </c>
      <c r="E90" s="34">
        <f t="shared" ref="E90" si="55">B90*C90/1000000</f>
        <v>0.22153999999999999</v>
      </c>
      <c r="F90" s="20"/>
      <c r="G90" s="7" t="s">
        <v>3</v>
      </c>
      <c r="H90" s="34">
        <f>ROUND(Q90+T90/Раскройка!$F$2,0)</f>
        <v>482</v>
      </c>
      <c r="I90" s="34" t="s">
        <v>75</v>
      </c>
      <c r="J90" s="34">
        <v>0</v>
      </c>
      <c r="K90" s="34" t="s">
        <v>44</v>
      </c>
      <c r="L90" s="34">
        <v>0</v>
      </c>
      <c r="M90" s="34">
        <f>E90*(0.25*(VLOOKUP(I90,Покрытия!$A$2:$B$40,2,FALSE)*J90+VLOOKUP(K90,Покрытия!$A$2:$B$40,2,FALSE)*L90)+H90)</f>
        <v>106.78228</v>
      </c>
      <c r="N90" s="34">
        <v>1</v>
      </c>
      <c r="O90" s="34">
        <f t="shared" ref="O90" si="56">M90*N90</f>
        <v>106.78228</v>
      </c>
      <c r="P90" s="9"/>
      <c r="Q90" s="34">
        <f t="array" ref="Q90">INDEX(Материалы!$C$2:$C$50,MATCH(G90&amp;D90,Материалы!$A$2:$A$50&amp;Материалы!$B$2:$B$50,0))</f>
        <v>390</v>
      </c>
      <c r="R90" s="34">
        <f>FLOOR(Раскройка!$D$2/B90,1)*FLOOR(Раскройка!$C$2/C90,1)</f>
        <v>20</v>
      </c>
      <c r="S90" s="34">
        <f>MAX(Раскройка!$F$2-E90*R90,0)</f>
        <v>1.3692000000000002</v>
      </c>
      <c r="T90" s="34">
        <f t="shared" ref="T90" si="57">Q90*S90</f>
        <v>533.98800000000006</v>
      </c>
      <c r="U90" s="9"/>
    </row>
    <row r="91" spans="1:22" x14ac:dyDescent="0.25">
      <c r="A91" s="34" t="s">
        <v>103</v>
      </c>
      <c r="B91" s="34">
        <v>2661</v>
      </c>
      <c r="C91" s="34">
        <v>60</v>
      </c>
      <c r="D91" s="34">
        <v>46</v>
      </c>
      <c r="E91" s="34">
        <f>B91*C91*D91/1000000000</f>
        <v>7.3443600000000003E-3</v>
      </c>
      <c r="F91" s="34">
        <f>B91*C91/1000000</f>
        <v>0.15966</v>
      </c>
      <c r="G91" s="34" t="s">
        <v>11</v>
      </c>
      <c r="H91" s="34">
        <f>ROUND(Q91+T91/Раскройка!$F$11,0)</f>
        <v>308000</v>
      </c>
      <c r="I91" s="34" t="s">
        <v>75</v>
      </c>
      <c r="J91" s="34">
        <v>2</v>
      </c>
      <c r="K91" s="34" t="s">
        <v>44</v>
      </c>
      <c r="L91" s="34">
        <v>3</v>
      </c>
      <c r="M91" s="34">
        <f>E91*H91+0.25*((VLOOKUP(I91,Покрытия!$A$2:$B$50,2,FALSE)*J91+VLOOKUP(K91,Покрытия!$A$2:$B$50,2,FALSE)*L91)*F91)</f>
        <v>2501.5528799999997</v>
      </c>
      <c r="N91" s="34">
        <v>2</v>
      </c>
      <c r="O91" s="34">
        <f>M91*N91</f>
        <v>5003.1057599999995</v>
      </c>
      <c r="P91" s="9"/>
      <c r="Q91" s="34">
        <f t="array" ref="Q91">INDEX(Материалы!$C$2:$C$50,MATCH(G91,Материалы!$A$2:$A$50,0))</f>
        <v>308000</v>
      </c>
      <c r="R91" s="34">
        <f>FLOOR(Раскройка!$C$11/C91,1)*FLOOR(Раскройка!$D$11/B91,1)</f>
        <v>5</v>
      </c>
      <c r="S91" s="34">
        <f>MAX(Раскройка!$F$11-E91*R91,0)</f>
        <v>0</v>
      </c>
      <c r="T91" s="34">
        <f>Q91*S91</f>
        <v>0</v>
      </c>
      <c r="U91" s="26"/>
    </row>
    <row r="92" spans="1:22" x14ac:dyDescent="0.25">
      <c r="A92" s="34" t="s">
        <v>104</v>
      </c>
      <c r="B92" s="34">
        <v>1262</v>
      </c>
      <c r="C92" s="34">
        <v>60</v>
      </c>
      <c r="D92" s="34">
        <v>46</v>
      </c>
      <c r="E92" s="34">
        <f>B92*C92*D92/1000000000</f>
        <v>3.4831200000000001E-3</v>
      </c>
      <c r="F92" s="34">
        <f>B92*C92/1000000</f>
        <v>7.5719999999999996E-2</v>
      </c>
      <c r="G92" s="34" t="s">
        <v>11</v>
      </c>
      <c r="H92" s="34">
        <f>ROUND(Q92+T92/Раскройка!$F$11,0)</f>
        <v>308000</v>
      </c>
      <c r="I92" s="34" t="s">
        <v>75</v>
      </c>
      <c r="J92" s="34">
        <v>2</v>
      </c>
      <c r="K92" s="34" t="s">
        <v>44</v>
      </c>
      <c r="L92" s="34">
        <v>3</v>
      </c>
      <c r="M92" s="34">
        <f>E92*H92+0.25*((VLOOKUP(I92,Покрытия!$A$2:$B$50,2,FALSE)*J92+VLOOKUP(K92,Покрытия!$A$2:$B$50,2,FALSE)*L92)*F92)</f>
        <v>1186.38096</v>
      </c>
      <c r="N92" s="34">
        <v>1</v>
      </c>
      <c r="O92" s="34">
        <f>M92*N92</f>
        <v>1186.38096</v>
      </c>
      <c r="P92" s="9"/>
      <c r="Q92" s="34">
        <f t="array" ref="Q92">INDEX(Материалы!$C$2:$C$50,MATCH(G92,Материалы!$A$2:$A$50,0))</f>
        <v>308000</v>
      </c>
      <c r="R92" s="34">
        <f>FLOOR(Раскройка!$C$11/C92,1)*FLOOR(Раскройка!$D$11/B92,1)</f>
        <v>10</v>
      </c>
      <c r="S92" s="34">
        <f>MAX(Раскройка!$F$11-E92*R92,0)</f>
        <v>0</v>
      </c>
      <c r="T92" s="34">
        <f>Q92*S92</f>
        <v>0</v>
      </c>
      <c r="U92" s="26"/>
    </row>
    <row r="93" spans="1:22" x14ac:dyDescent="0.25">
      <c r="A93" s="34" t="s">
        <v>101</v>
      </c>
      <c r="B93" s="34">
        <v>2613</v>
      </c>
      <c r="C93" s="34">
        <v>190</v>
      </c>
      <c r="D93" s="34">
        <v>0.6</v>
      </c>
      <c r="E93" s="34">
        <f>B93*C93/1000000</f>
        <v>0.49647000000000002</v>
      </c>
      <c r="F93" s="20"/>
      <c r="G93" s="7" t="s">
        <v>95</v>
      </c>
      <c r="H93" s="34">
        <f>ROUND(Q93+T93/Раскройка!$F$2,0)</f>
        <v>440</v>
      </c>
      <c r="I93" s="34" t="s">
        <v>75</v>
      </c>
      <c r="J93" s="34">
        <v>2</v>
      </c>
      <c r="K93" s="34" t="s">
        <v>44</v>
      </c>
      <c r="L93" s="34">
        <v>3</v>
      </c>
      <c r="M93" s="34">
        <f>E93*(0.25*(VLOOKUP(I93,Покрытия!$A$2:$B$40,2,FALSE)*J93+VLOOKUP(K93,Покрытия!$A$2:$B$40,2,FALSE)*L93)+H93)</f>
        <v>963.15180000000009</v>
      </c>
      <c r="N93" s="34">
        <v>2</v>
      </c>
      <c r="O93" s="34">
        <f>M93*N93</f>
        <v>1926.3036000000002</v>
      </c>
      <c r="P93" s="9"/>
      <c r="Q93" s="34">
        <f t="array" ref="Q93">INDEX(Материалы!$C$2:$C$100,MATCH(G93&amp;D93,Материалы!$A$2:$A$100&amp;Материалы!$B$2:$B$100,0))</f>
        <v>385</v>
      </c>
      <c r="R93" s="34">
        <f>FLOOR(Раскройка!$D$2/B93,1)*FLOOR(Раскройка!$C$2/C93,1)</f>
        <v>10</v>
      </c>
      <c r="S93" s="34">
        <f>MAX(Раскройка!$F$2-E93*R93,0)</f>
        <v>0.83529999999999927</v>
      </c>
      <c r="T93" s="34">
        <f>Q93*S93</f>
        <v>321.59049999999974</v>
      </c>
      <c r="U93" s="26"/>
    </row>
    <row r="94" spans="1:22" x14ac:dyDescent="0.25">
      <c r="A94" s="34" t="s">
        <v>102</v>
      </c>
      <c r="B94" s="34">
        <v>1166</v>
      </c>
      <c r="C94" s="34">
        <v>190</v>
      </c>
      <c r="D94" s="34">
        <v>0.6</v>
      </c>
      <c r="E94" s="34">
        <f>B94*C94/1000000</f>
        <v>0.22153999999999999</v>
      </c>
      <c r="F94" s="20"/>
      <c r="G94" s="7" t="s">
        <v>95</v>
      </c>
      <c r="H94" s="34">
        <f>ROUND(Q94+T94/Раскройка!$F$2,0)</f>
        <v>476</v>
      </c>
      <c r="I94" s="34" t="s">
        <v>75</v>
      </c>
      <c r="J94" s="34">
        <v>2</v>
      </c>
      <c r="K94" s="34" t="s">
        <v>44</v>
      </c>
      <c r="L94" s="34">
        <v>3</v>
      </c>
      <c r="M94" s="34">
        <f>E94*(0.25*(VLOOKUP(I94,Покрытия!$A$2:$B$40,2,FALSE)*J94+VLOOKUP(K94,Покрытия!$A$2:$B$40,2,FALSE)*L94)+H94)</f>
        <v>437.76303999999999</v>
      </c>
      <c r="N94" s="34">
        <v>1</v>
      </c>
      <c r="O94" s="34">
        <f>M94*N94</f>
        <v>437.76303999999999</v>
      </c>
      <c r="P94" s="9"/>
      <c r="Q94" s="34">
        <f t="array" ref="Q94">INDEX(Материалы!$C$2:$C$100,MATCH(G94&amp;D94,Материалы!$A$2:$A$100&amp;Материалы!$B$2:$B$100,0))</f>
        <v>385</v>
      </c>
      <c r="R94" s="34">
        <f>FLOOR(Раскройка!$D$2/B94,1)*FLOOR(Раскройка!$C$2/C94,1)</f>
        <v>20</v>
      </c>
      <c r="S94" s="34">
        <f>MAX(Раскройка!$F$2-E94*R94,0)</f>
        <v>1.3692000000000002</v>
      </c>
      <c r="T94" s="34">
        <f>Q94*S94</f>
        <v>527.14200000000005</v>
      </c>
      <c r="U94" s="26"/>
    </row>
    <row r="97" spans="1:21" x14ac:dyDescent="0.25">
      <c r="A97" s="34" t="s">
        <v>101</v>
      </c>
      <c r="B97" s="34">
        <v>2390</v>
      </c>
      <c r="C97" s="34">
        <v>260</v>
      </c>
      <c r="D97" s="34">
        <v>18</v>
      </c>
      <c r="E97" s="34">
        <f t="shared" ref="E97:E98" si="58">B97*C97/1000000</f>
        <v>0.62139999999999995</v>
      </c>
      <c r="F97" s="20"/>
      <c r="G97" s="7" t="s">
        <v>3</v>
      </c>
      <c r="H97" s="34">
        <f>ROUND(Q97+T97/Раскройка!$F$2,0)</f>
        <v>488</v>
      </c>
      <c r="I97" s="34" t="s">
        <v>75</v>
      </c>
      <c r="J97" s="34">
        <v>0</v>
      </c>
      <c r="K97" s="34" t="s">
        <v>44</v>
      </c>
      <c r="L97" s="34">
        <v>0</v>
      </c>
      <c r="M97" s="34">
        <f>E97*(0.25*(VLOOKUP(I97,Покрытия!$A$2:$B$40,2,FALSE)*J97+VLOOKUP(K97,Покрытия!$A$2:$B$40,2,FALSE)*L97)+H97)</f>
        <v>303.2432</v>
      </c>
      <c r="N97" s="34">
        <v>2</v>
      </c>
      <c r="O97" s="34">
        <f t="shared" ref="O97:O98" si="59">M97*N97</f>
        <v>606.4864</v>
      </c>
      <c r="P97" s="9"/>
      <c r="Q97" s="34">
        <f t="array" ref="Q97">INDEX(Материалы!$C$2:$C$50,MATCH(G97&amp;D97,Материалы!$A$2:$A$50&amp;Материалы!$B$2:$B$50,0))</f>
        <v>390</v>
      </c>
      <c r="R97" s="34">
        <f>FLOOR(Раскройка!$D$2/B97,1)*FLOOR(Раскройка!$C$2/C97,1)</f>
        <v>7</v>
      </c>
      <c r="S97" s="34">
        <f>MAX(Раскройка!$F$2-E97*R97,0)</f>
        <v>1.4501999999999997</v>
      </c>
      <c r="T97" s="34">
        <f t="shared" ref="T97:T98" si="60">Q97*S97</f>
        <v>565.57799999999986</v>
      </c>
      <c r="U97" s="9"/>
    </row>
    <row r="98" spans="1:21" x14ac:dyDescent="0.25">
      <c r="A98" s="34" t="s">
        <v>102</v>
      </c>
      <c r="B98" s="34">
        <v>800</v>
      </c>
      <c r="C98" s="34">
        <v>260</v>
      </c>
      <c r="D98" s="34">
        <v>18</v>
      </c>
      <c r="E98" s="34">
        <f t="shared" si="58"/>
        <v>0.20799999999999999</v>
      </c>
      <c r="F98" s="20"/>
      <c r="G98" s="7" t="s">
        <v>3</v>
      </c>
      <c r="H98" s="34">
        <f>ROUND(Q98+T98/Раскройка!$F$2,0)</f>
        <v>486</v>
      </c>
      <c r="I98" s="34" t="s">
        <v>75</v>
      </c>
      <c r="J98" s="34">
        <v>0</v>
      </c>
      <c r="K98" s="34" t="s">
        <v>44</v>
      </c>
      <c r="L98" s="34">
        <v>0</v>
      </c>
      <c r="M98" s="34">
        <f>E98*(0.25*(VLOOKUP(I98,Покрытия!$A$2:$B$40,2,FALSE)*J98+VLOOKUP(K98,Покрытия!$A$2:$B$40,2,FALSE)*L98)+H98)</f>
        <v>101.08799999999999</v>
      </c>
      <c r="N98" s="34">
        <v>1</v>
      </c>
      <c r="O98" s="34">
        <f t="shared" si="59"/>
        <v>101.08799999999999</v>
      </c>
      <c r="P98" s="9"/>
      <c r="Q98" s="34">
        <f t="array" ref="Q98">INDEX(Материалы!$C$2:$C$50,MATCH(G98&amp;D98,Материалы!$A$2:$A$50&amp;Материалы!$B$2:$B$50,0))</f>
        <v>390</v>
      </c>
      <c r="R98" s="34">
        <f>FLOOR(Раскройка!$D$2/B98,1)*FLOOR(Раскройка!$C$2/C98,1)</f>
        <v>21</v>
      </c>
      <c r="S98" s="34">
        <f>MAX(Раскройка!$F$2-E98*R98,0)</f>
        <v>1.4320000000000004</v>
      </c>
      <c r="T98" s="34">
        <f t="shared" si="60"/>
        <v>558.48000000000013</v>
      </c>
      <c r="U98" s="9"/>
    </row>
    <row r="99" spans="1:21" x14ac:dyDescent="0.25">
      <c r="A99" s="34" t="s">
        <v>103</v>
      </c>
      <c r="B99" s="34">
        <v>2390</v>
      </c>
      <c r="C99" s="34">
        <v>130</v>
      </c>
      <c r="D99" s="34">
        <v>48</v>
      </c>
      <c r="E99" s="34">
        <f>B99*C99*D99/1000000000</f>
        <v>1.4913600000000001E-2</v>
      </c>
      <c r="F99" s="34">
        <f>B99*C99/1000000</f>
        <v>0.31069999999999998</v>
      </c>
      <c r="G99" s="34" t="s">
        <v>11</v>
      </c>
      <c r="H99" s="34">
        <f>ROUND(Q99+T99/Раскройка!$F$11,0)</f>
        <v>308000</v>
      </c>
      <c r="I99" s="34" t="s">
        <v>75</v>
      </c>
      <c r="J99" s="34">
        <v>2</v>
      </c>
      <c r="K99" s="34" t="s">
        <v>44</v>
      </c>
      <c r="L99" s="34">
        <v>3</v>
      </c>
      <c r="M99" s="34">
        <f>E99*H99+0.25*((VLOOKUP(I99,Покрытия!$A$2:$B$50,2,FALSE)*J99+VLOOKUP(K99,Покрытия!$A$2:$B$50,2,FALSE)*L99)*F99)</f>
        <v>5059.4388000000008</v>
      </c>
      <c r="N99" s="34">
        <v>2</v>
      </c>
      <c r="O99" s="34">
        <f>M99*N99</f>
        <v>10118.877600000002</v>
      </c>
      <c r="P99" s="9"/>
      <c r="Q99" s="34">
        <f t="array" ref="Q99">INDEX(Материалы!$C$2:$C$50,MATCH(G99,Материалы!$A$2:$A$50,0))</f>
        <v>308000</v>
      </c>
      <c r="R99" s="34">
        <f>FLOOR(Раскройка!$C$11/C99,1)*FLOOR(Раскройка!$D$11/B99,1)</f>
        <v>2</v>
      </c>
      <c r="S99" s="34">
        <f>MAX(Раскройка!$F$11-E99*R99,0)</f>
        <v>0</v>
      </c>
      <c r="T99" s="34">
        <f>Q99*S99</f>
        <v>0</v>
      </c>
      <c r="U99" s="26"/>
    </row>
    <row r="100" spans="1:21" x14ac:dyDescent="0.25">
      <c r="A100" s="34" t="s">
        <v>104</v>
      </c>
      <c r="B100" s="34">
        <v>1062</v>
      </c>
      <c r="C100" s="34">
        <v>130</v>
      </c>
      <c r="D100" s="34">
        <v>48</v>
      </c>
      <c r="E100" s="34">
        <f>B100*C100*D100/1000000000</f>
        <v>6.6268799999999999E-3</v>
      </c>
      <c r="F100" s="34">
        <f>B100*C100/1000000</f>
        <v>0.13805999999999999</v>
      </c>
      <c r="G100" s="34" t="s">
        <v>11</v>
      </c>
      <c r="H100" s="34">
        <f>ROUND(Q100+T100/Раскройка!$F$11,0)</f>
        <v>308000</v>
      </c>
      <c r="I100" s="34" t="s">
        <v>75</v>
      </c>
      <c r="J100" s="34">
        <v>2</v>
      </c>
      <c r="K100" s="34" t="s">
        <v>44</v>
      </c>
      <c r="L100" s="34">
        <v>3</v>
      </c>
      <c r="M100" s="34">
        <f>E100*H100+0.25*((VLOOKUP(I100,Покрытия!$A$2:$B$50,2,FALSE)*J100+VLOOKUP(K100,Покрытия!$A$2:$B$50,2,FALSE)*L100)*F100)</f>
        <v>2248.1690400000002</v>
      </c>
      <c r="N100" s="34">
        <v>1</v>
      </c>
      <c r="O100" s="34">
        <f>M100*N100</f>
        <v>2248.1690400000002</v>
      </c>
      <c r="P100" s="9"/>
      <c r="Q100" s="34">
        <f t="array" ref="Q100">INDEX(Материалы!$C$2:$C$50,MATCH(G100,Материалы!$A$2:$A$50,0))</f>
        <v>308000</v>
      </c>
      <c r="R100" s="34">
        <f>FLOOR(Раскройка!$C$11/C100,1)*FLOOR(Раскройка!$D$11/B100,1)</f>
        <v>4</v>
      </c>
      <c r="S100" s="34">
        <f>MAX(Раскройка!$F$11-E100*R100,0)</f>
        <v>0</v>
      </c>
      <c r="T100" s="34">
        <f>Q100*S100</f>
        <v>0</v>
      </c>
      <c r="U100" s="26"/>
    </row>
    <row r="101" spans="1:21" x14ac:dyDescent="0.25">
      <c r="A101" s="34" t="s">
        <v>101</v>
      </c>
      <c r="B101" s="34">
        <v>2390</v>
      </c>
      <c r="C101" s="34">
        <v>260</v>
      </c>
      <c r="D101" s="34">
        <v>0.6</v>
      </c>
      <c r="E101" s="34">
        <f>B101*C101/1000000</f>
        <v>0.62139999999999995</v>
      </c>
      <c r="F101" s="20"/>
      <c r="G101" s="7" t="s">
        <v>95</v>
      </c>
      <c r="H101" s="34">
        <f>ROUND(Q101+T101/Раскройка!$F$2,0)</f>
        <v>481</v>
      </c>
      <c r="I101" s="34" t="s">
        <v>75</v>
      </c>
      <c r="J101" s="34">
        <v>2</v>
      </c>
      <c r="K101" s="34" t="s">
        <v>44</v>
      </c>
      <c r="L101" s="34">
        <v>3</v>
      </c>
      <c r="M101" s="34">
        <f>E101*(0.25*(VLOOKUP(I101,Покрытия!$A$2:$B$40,2,FALSE)*J101+VLOOKUP(K101,Покрытия!$A$2:$B$40,2,FALSE)*L101)+H101)</f>
        <v>1230.9933999999998</v>
      </c>
      <c r="N101" s="34">
        <v>2</v>
      </c>
      <c r="O101" s="34">
        <f>M101*N101</f>
        <v>2461.9867999999997</v>
      </c>
      <c r="P101" s="9"/>
      <c r="Q101" s="34">
        <f t="array" ref="Q101">INDEX(Материалы!$C$2:$C$100,MATCH(G101&amp;D101,Материалы!$A$2:$A$100&amp;Материалы!$B$2:$B$100,0))</f>
        <v>385</v>
      </c>
      <c r="R101" s="34">
        <f>FLOOR(Раскройка!$D$2/B101,1)*FLOOR(Раскройка!$C$2/C101,1)</f>
        <v>7</v>
      </c>
      <c r="S101" s="34">
        <f>MAX(Раскройка!$F$2-E101*R101,0)</f>
        <v>1.4501999999999997</v>
      </c>
      <c r="T101" s="34">
        <f>Q101*S101</f>
        <v>558.32699999999988</v>
      </c>
      <c r="U101" s="26"/>
    </row>
    <row r="102" spans="1:21" x14ac:dyDescent="0.25">
      <c r="A102" s="34" t="s">
        <v>102</v>
      </c>
      <c r="B102" s="34">
        <v>800</v>
      </c>
      <c r="C102" s="34">
        <v>260</v>
      </c>
      <c r="D102" s="34">
        <v>0.6</v>
      </c>
      <c r="E102" s="34">
        <f>B102*C102/1000000</f>
        <v>0.20799999999999999</v>
      </c>
      <c r="F102" s="20"/>
      <c r="G102" s="7" t="s">
        <v>95</v>
      </c>
      <c r="H102" s="34">
        <f>ROUND(Q102+T102/Раскройка!$F$2,0)</f>
        <v>480</v>
      </c>
      <c r="I102" s="34" t="s">
        <v>75</v>
      </c>
      <c r="J102" s="34">
        <v>2</v>
      </c>
      <c r="K102" s="34" t="s">
        <v>44</v>
      </c>
      <c r="L102" s="34">
        <v>3</v>
      </c>
      <c r="M102" s="34">
        <f>E102*(0.25*(VLOOKUP(I102,Покрытия!$A$2:$B$40,2,FALSE)*J102+VLOOKUP(K102,Покрытия!$A$2:$B$40,2,FALSE)*L102)+H102)</f>
        <v>411.84</v>
      </c>
      <c r="N102" s="34">
        <v>1</v>
      </c>
      <c r="O102" s="34">
        <f>M102*N102</f>
        <v>411.84</v>
      </c>
      <c r="P102" s="9"/>
      <c r="Q102" s="34">
        <f t="array" ref="Q102">INDEX(Материалы!$C$2:$C$100,MATCH(G102&amp;D102,Материалы!$A$2:$A$100&amp;Материалы!$B$2:$B$100,0))</f>
        <v>385</v>
      </c>
      <c r="R102" s="34">
        <f>FLOOR(Раскройка!$D$2/B102,1)*FLOOR(Раскройка!$C$2/C102,1)</f>
        <v>21</v>
      </c>
      <c r="S102" s="34">
        <f>MAX(Раскройка!$F$2-E102*R102,0)</f>
        <v>1.4320000000000004</v>
      </c>
      <c r="T102" s="34">
        <f>Q102*S102</f>
        <v>551.32000000000016</v>
      </c>
      <c r="U102" s="26"/>
    </row>
    <row r="103" spans="1:21" x14ac:dyDescent="0.25">
      <c r="A103" s="34" t="s">
        <v>105</v>
      </c>
      <c r="B103" s="34">
        <v>1300</v>
      </c>
      <c r="C103" s="34">
        <v>150</v>
      </c>
      <c r="D103" s="34">
        <v>100</v>
      </c>
      <c r="E103" s="34">
        <f>B103*C103*D103/1000000000</f>
        <v>1.95E-2</v>
      </c>
      <c r="F103" s="34">
        <f>B103*C103/1000000</f>
        <v>0.19500000000000001</v>
      </c>
      <c r="G103" s="34" t="s">
        <v>11</v>
      </c>
      <c r="H103" s="34">
        <f>ROUND(Q103+T103/Раскройка!$F$11,0)</f>
        <v>308000</v>
      </c>
      <c r="I103" s="34" t="s">
        <v>75</v>
      </c>
      <c r="J103" s="34">
        <v>2</v>
      </c>
      <c r="K103" s="34" t="s">
        <v>44</v>
      </c>
      <c r="L103" s="34">
        <v>3</v>
      </c>
      <c r="M103" s="34">
        <f>E103*H103+0.25*((VLOOKUP(I103,Покрытия!$A$2:$B$50,2,FALSE)*J103+VLOOKUP(K103,Покрытия!$A$2:$B$50,2,FALSE)*L103)*F103)</f>
        <v>6298.5</v>
      </c>
      <c r="N103" s="34">
        <v>1</v>
      </c>
      <c r="O103" s="34">
        <f>M103*N103</f>
        <v>6298.5</v>
      </c>
      <c r="P103" s="9"/>
      <c r="Q103" s="34">
        <f t="array" ref="Q103">INDEX(Материалы!$C$2:$C$50,MATCH(G103,Материалы!$A$2:$A$50,0))</f>
        <v>308000</v>
      </c>
      <c r="R103" s="34">
        <f>FLOOR(Раскройка!$C$11/C103,1)*FLOOR(Раскройка!$D$11/B103,1)</f>
        <v>4</v>
      </c>
      <c r="S103" s="34">
        <f>MAX(Раскройка!$F$11-E103*R103,0)</f>
        <v>0</v>
      </c>
      <c r="T103" s="34">
        <f>Q103*S103</f>
        <v>0</v>
      </c>
      <c r="U103" s="26"/>
    </row>
  </sheetData>
  <pageMargins left="0.7" right="0.7" top="0.75" bottom="0.75" header="0.3" footer="0.3"/>
  <pageSetup paperSize="8" scale="68" fitToHeight="0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5"/>
  <sheetViews>
    <sheetView workbookViewId="0">
      <selection activeCell="G29" sqref="G29"/>
    </sheetView>
  </sheetViews>
  <sheetFormatPr defaultRowHeight="15" x14ac:dyDescent="0.25"/>
  <cols>
    <col min="1" max="1" width="29.42578125" customWidth="1"/>
    <col min="6" max="6" width="0" hidden="1" customWidth="1"/>
    <col min="7" max="7" width="15.140625" customWidth="1"/>
    <col min="8" max="8" width="17" customWidth="1"/>
    <col min="10" max="10" width="13.7109375" customWidth="1"/>
    <col min="12" max="12" width="13.5703125" customWidth="1"/>
    <col min="13" max="13" width="16.85546875" customWidth="1"/>
    <col min="14" max="14" width="16.42578125" customWidth="1"/>
    <col min="17" max="20" width="0" hidden="1" customWidth="1"/>
  </cols>
  <sheetData>
    <row r="1" spans="1:22" x14ac:dyDescent="0.25">
      <c r="A1" s="33" t="s">
        <v>92</v>
      </c>
      <c r="B1" s="34" t="s">
        <v>91</v>
      </c>
      <c r="C1" s="34" t="s">
        <v>61</v>
      </c>
      <c r="D1" s="34" t="s">
        <v>58</v>
      </c>
      <c r="E1" s="7" t="s">
        <v>120</v>
      </c>
    </row>
    <row r="2" spans="1:22" ht="16.5" customHeight="1" x14ac:dyDescent="0.25">
      <c r="A2" s="35" t="s">
        <v>116</v>
      </c>
      <c r="B2" s="37">
        <v>2</v>
      </c>
      <c r="C2" s="34">
        <f>ROUND(SUM(O8:O22),0)</f>
        <v>6821</v>
      </c>
      <c r="D2" s="34">
        <f>C2*B2</f>
        <v>13642</v>
      </c>
      <c r="E2" s="88">
        <f>SUM(D2:D5)</f>
        <v>36552</v>
      </c>
    </row>
    <row r="3" spans="1:22" x14ac:dyDescent="0.25">
      <c r="A3" s="35" t="s">
        <v>115</v>
      </c>
      <c r="B3" s="37">
        <v>2</v>
      </c>
      <c r="C3" s="34">
        <f>ROUND(SUM(O24:O29),0)</f>
        <v>5646</v>
      </c>
      <c r="D3" s="34">
        <f>C3*B3</f>
        <v>11292</v>
      </c>
      <c r="E3" s="89"/>
    </row>
    <row r="4" spans="1:22" x14ac:dyDescent="0.25">
      <c r="A4" s="35" t="s">
        <v>114</v>
      </c>
      <c r="B4" s="37">
        <v>1</v>
      </c>
      <c r="C4" s="34">
        <f>ROUND(SUM(O31),0)</f>
        <v>581</v>
      </c>
      <c r="D4" s="34">
        <f>C4*B4</f>
        <v>581</v>
      </c>
      <c r="E4" s="89"/>
    </row>
    <row r="5" spans="1:22" x14ac:dyDescent="0.25">
      <c r="A5" s="35" t="s">
        <v>117</v>
      </c>
      <c r="B5" s="37">
        <v>1</v>
      </c>
      <c r="C5" s="34">
        <f>ROUND(SUM(D34:D35),0)</f>
        <v>11037</v>
      </c>
      <c r="D5" s="34">
        <f>C5*B5</f>
        <v>11037</v>
      </c>
      <c r="E5" s="90"/>
      <c r="V5" s="9"/>
    </row>
    <row r="6" spans="1:22" x14ac:dyDescent="0.25">
      <c r="U6" s="9"/>
      <c r="V6" s="9"/>
    </row>
    <row r="7" spans="1:22" x14ac:dyDescent="0.25">
      <c r="A7" s="34" t="s">
        <v>32</v>
      </c>
      <c r="B7" s="34" t="s">
        <v>20</v>
      </c>
      <c r="C7" s="34" t="s">
        <v>19</v>
      </c>
      <c r="D7" s="34" t="s">
        <v>21</v>
      </c>
      <c r="E7" s="34" t="s">
        <v>22</v>
      </c>
      <c r="F7" s="7" t="s">
        <v>26</v>
      </c>
      <c r="G7" s="7" t="s">
        <v>49</v>
      </c>
      <c r="H7" s="34" t="s">
        <v>46</v>
      </c>
      <c r="I7" s="34" t="s">
        <v>35</v>
      </c>
      <c r="J7" s="34" t="s">
        <v>47</v>
      </c>
      <c r="K7" s="34" t="s">
        <v>35</v>
      </c>
      <c r="L7" s="34" t="s">
        <v>47</v>
      </c>
      <c r="M7" s="7" t="s">
        <v>48</v>
      </c>
      <c r="N7" s="34" t="s">
        <v>59</v>
      </c>
      <c r="O7" s="34" t="s">
        <v>58</v>
      </c>
      <c r="P7" s="9"/>
      <c r="Q7" s="7" t="s">
        <v>50</v>
      </c>
      <c r="R7" s="7" t="s">
        <v>53</v>
      </c>
      <c r="S7" s="7" t="s">
        <v>51</v>
      </c>
      <c r="T7" s="7" t="s">
        <v>52</v>
      </c>
      <c r="U7" s="9"/>
    </row>
    <row r="8" spans="1:22" x14ac:dyDescent="0.25">
      <c r="A8" s="34" t="s">
        <v>107</v>
      </c>
      <c r="B8" s="34">
        <v>650</v>
      </c>
      <c r="C8" s="34">
        <v>420</v>
      </c>
      <c r="D8" s="34">
        <v>16</v>
      </c>
      <c r="E8" s="34">
        <f t="shared" ref="E8:E10" si="0">B8*C8/1000000</f>
        <v>0.27300000000000002</v>
      </c>
      <c r="F8" s="20"/>
      <c r="G8" s="7" t="s">
        <v>12</v>
      </c>
      <c r="H8" s="34">
        <f>ROUND(Q8+T8/Раскройка!$F$2,0)</f>
        <v>805</v>
      </c>
      <c r="I8" s="34" t="s">
        <v>41</v>
      </c>
      <c r="J8" s="34">
        <v>2</v>
      </c>
      <c r="K8" s="34" t="s">
        <v>39</v>
      </c>
      <c r="L8" s="34">
        <v>3</v>
      </c>
      <c r="M8" s="34">
        <f>E8*(0.25*(VLOOKUP(I8,Покрытия!$A$2:$B$40,2,FALSE)*J8+VLOOKUP(K8,Покрытия!$A$2:$B$40,2,FALSE)*L8)+H8)</f>
        <v>588.31500000000005</v>
      </c>
      <c r="N8" s="34">
        <v>2</v>
      </c>
      <c r="O8" s="34">
        <f t="shared" ref="O8:O10" si="1">M8*N8</f>
        <v>1176.6300000000001</v>
      </c>
      <c r="P8" s="9"/>
      <c r="Q8" s="34">
        <f t="array" ref="Q8">INDEX(Материалы!$C$2:$C$50,MATCH(G8&amp;D8,Материалы!$A$2:$A$50&amp;Материалы!$B$2:$B$50,0))</f>
        <v>646</v>
      </c>
      <c r="R8" s="34">
        <f>FLOOR(Раскройка!$D$2/B8,1)*FLOOR(Раскройка!$C$2/C8,1)</f>
        <v>16</v>
      </c>
      <c r="S8" s="34">
        <f>MAX(Раскройка!$F$2-E8*R8,0)</f>
        <v>1.4319999999999995</v>
      </c>
      <c r="T8" s="34">
        <f t="shared" ref="T8:T10" si="2">Q8*S8</f>
        <v>925.07199999999966</v>
      </c>
      <c r="U8" s="9"/>
      <c r="V8" s="16"/>
    </row>
    <row r="9" spans="1:22" x14ac:dyDescent="0.25">
      <c r="A9" s="34" t="s">
        <v>108</v>
      </c>
      <c r="B9" s="34">
        <v>650</v>
      </c>
      <c r="C9" s="34">
        <v>760</v>
      </c>
      <c r="D9" s="34">
        <v>6</v>
      </c>
      <c r="E9" s="34">
        <f t="shared" si="0"/>
        <v>0.49399999999999999</v>
      </c>
      <c r="F9" s="20"/>
      <c r="G9" s="7" t="s">
        <v>3</v>
      </c>
      <c r="H9" s="34">
        <f>ROUND(Q9+T9/Раскройка!$F$2,0)</f>
        <v>137</v>
      </c>
      <c r="I9" s="34" t="s">
        <v>41</v>
      </c>
      <c r="J9" s="34">
        <v>2</v>
      </c>
      <c r="K9" s="34" t="s">
        <v>39</v>
      </c>
      <c r="L9" s="34">
        <v>3</v>
      </c>
      <c r="M9" s="34">
        <f>E9*(0.25*(VLOOKUP(I9,Покрытия!$A$2:$B$40,2,FALSE)*J9+VLOOKUP(K9,Покрытия!$A$2:$B$40,2,FALSE)*L9)+H9)</f>
        <v>734.57799999999997</v>
      </c>
      <c r="N9" s="34">
        <v>1</v>
      </c>
      <c r="O9" s="34">
        <f t="shared" si="1"/>
        <v>734.57799999999997</v>
      </c>
      <c r="P9" s="9"/>
      <c r="Q9" s="34">
        <f t="array" ref="Q9">INDEX(Материалы!$C$2:$C$50,MATCH(G9&amp;D9,Материалы!$A$2:$A$50&amp;Материалы!$B$2:$B$50,0))</f>
        <v>104</v>
      </c>
      <c r="R9" s="34">
        <f>FLOOR(Раскройка!$D$2/B9,1)*FLOOR(Раскройка!$C$2/C9,1)</f>
        <v>8</v>
      </c>
      <c r="S9" s="34">
        <f>MAX(Раскройка!$F$2-E9*R9,0)</f>
        <v>1.8479999999999999</v>
      </c>
      <c r="T9" s="34">
        <f t="shared" si="2"/>
        <v>192.19199999999998</v>
      </c>
      <c r="U9" s="9"/>
    </row>
    <row r="10" spans="1:22" x14ac:dyDescent="0.25">
      <c r="A10" s="34" t="s">
        <v>109</v>
      </c>
      <c r="B10" s="34">
        <v>420</v>
      </c>
      <c r="C10" s="34">
        <f>760-86*2</f>
        <v>588</v>
      </c>
      <c r="D10" s="34">
        <v>19</v>
      </c>
      <c r="E10" s="34">
        <f t="shared" si="0"/>
        <v>0.24696000000000001</v>
      </c>
      <c r="F10" s="20"/>
      <c r="G10" s="7" t="s">
        <v>12</v>
      </c>
      <c r="H10" s="34">
        <f>ROUND(Q10+T10/Раскройка!$F$2,0)</f>
        <v>905</v>
      </c>
      <c r="I10" s="34" t="s">
        <v>41</v>
      </c>
      <c r="J10" s="34">
        <v>2</v>
      </c>
      <c r="K10" s="34" t="s">
        <v>39</v>
      </c>
      <c r="L10" s="34">
        <v>3</v>
      </c>
      <c r="M10" s="34">
        <f>E10*(0.25*(VLOOKUP(I10,Покрытия!$A$2:$B$40,2,FALSE)*J10+VLOOKUP(K10,Покрытия!$A$2:$B$40,2,FALSE)*L10)+H10)</f>
        <v>556.89480000000003</v>
      </c>
      <c r="N10" s="34">
        <v>1</v>
      </c>
      <c r="O10" s="34">
        <f t="shared" si="1"/>
        <v>556.89480000000003</v>
      </c>
      <c r="P10" s="9"/>
      <c r="Q10" s="34">
        <f t="array" ref="Q10">INDEX(Материалы!$C$2:$C$50,MATCH(G10&amp;D10,Материалы!$A$2:$A$50&amp;Материалы!$B$2:$B$50,0))</f>
        <v>734</v>
      </c>
      <c r="R10" s="34">
        <f>FLOOR(Раскройка!$D$2/B10,1)*FLOOR(Раскройка!$C$2/C10,1)</f>
        <v>18</v>
      </c>
      <c r="S10" s="34">
        <f>MAX(Раскройка!$F$2-E10*R10,0)</f>
        <v>1.3547199999999995</v>
      </c>
      <c r="T10" s="34">
        <f t="shared" si="2"/>
        <v>994.36447999999962</v>
      </c>
      <c r="U10" s="9"/>
    </row>
    <row r="11" spans="1:22" x14ac:dyDescent="0.25">
      <c r="A11" s="34" t="s">
        <v>110</v>
      </c>
      <c r="B11" s="34">
        <v>420</v>
      </c>
      <c r="C11" s="34">
        <v>760</v>
      </c>
      <c r="D11" s="34">
        <v>16</v>
      </c>
      <c r="E11" s="34">
        <f t="shared" ref="E11" si="3">B11*C11/1000000</f>
        <v>0.31919999999999998</v>
      </c>
      <c r="F11" s="20"/>
      <c r="G11" s="7" t="s">
        <v>12</v>
      </c>
      <c r="H11" s="34">
        <f>ROUND(Q11+T11/Раскройка!$F$2,0)</f>
        <v>865</v>
      </c>
      <c r="I11" s="34" t="s">
        <v>41</v>
      </c>
      <c r="J11" s="34">
        <v>2</v>
      </c>
      <c r="K11" s="34" t="s">
        <v>39</v>
      </c>
      <c r="L11" s="34">
        <v>3</v>
      </c>
      <c r="M11" s="34">
        <f>E11*(0.25*(VLOOKUP(I11,Покрытия!$A$2:$B$40,2,FALSE)*J11+VLOOKUP(K11,Покрытия!$A$2:$B$40,2,FALSE)*L11)+H11)</f>
        <v>707.02800000000002</v>
      </c>
      <c r="N11" s="34">
        <v>2</v>
      </c>
      <c r="O11" s="34">
        <f t="shared" ref="O11" si="4">M11*N11</f>
        <v>1414.056</v>
      </c>
      <c r="P11" s="9"/>
      <c r="Q11" s="34">
        <f t="array" ref="Q11">INDEX(Материалы!$C$2:$C$50,MATCH(G11&amp;D11,Материалы!$A$2:$A$50&amp;Материалы!$B$2:$B$50,0))</f>
        <v>646</v>
      </c>
      <c r="R11" s="34">
        <f>FLOOR(Раскройка!$D$2/B11,1)*FLOOR(Раскройка!$C$2/C11,1)</f>
        <v>12</v>
      </c>
      <c r="S11" s="34">
        <f>MAX(Раскройка!$F$2-E11*R11,0)</f>
        <v>1.9695999999999998</v>
      </c>
      <c r="T11" s="34">
        <f t="shared" ref="T11" si="5">Q11*S11</f>
        <v>1272.3616</v>
      </c>
      <c r="U11" s="9"/>
    </row>
    <row r="12" spans="1:22" x14ac:dyDescent="0.25">
      <c r="A12" s="34" t="s">
        <v>57</v>
      </c>
      <c r="B12" s="34">
        <v>650</v>
      </c>
      <c r="C12" s="34">
        <v>420</v>
      </c>
      <c r="D12" s="34">
        <v>16</v>
      </c>
      <c r="E12" s="34">
        <f t="shared" ref="E12" si="6">B12*C12/1000000</f>
        <v>0.27300000000000002</v>
      </c>
      <c r="F12" s="20"/>
      <c r="G12" s="7" t="s">
        <v>12</v>
      </c>
      <c r="H12" s="34">
        <f>ROUND(Q12+T12/Раскройка!$F$2,0)</f>
        <v>805</v>
      </c>
      <c r="I12" s="34" t="s">
        <v>41</v>
      </c>
      <c r="J12" s="34">
        <v>2</v>
      </c>
      <c r="K12" s="34" t="s">
        <v>39</v>
      </c>
      <c r="L12" s="34">
        <v>3</v>
      </c>
      <c r="M12" s="34">
        <f>E12*(0.25*(VLOOKUP(I12,Покрытия!$A$2:$B$40,2,FALSE)*J12+VLOOKUP(K12,Покрытия!$A$2:$B$40,2,FALSE)*L12)+H12)</f>
        <v>588.31500000000005</v>
      </c>
      <c r="N12" s="34">
        <v>2</v>
      </c>
      <c r="O12" s="34">
        <f t="shared" ref="O12" si="7">M12*N12</f>
        <v>1176.6300000000001</v>
      </c>
      <c r="P12" s="9"/>
      <c r="Q12" s="34">
        <f t="array" ref="Q12">INDEX(Материалы!$C$2:$C$50,MATCH(G12&amp;D12,Материалы!$A$2:$A$50&amp;Материалы!$B$2:$B$50,0))</f>
        <v>646</v>
      </c>
      <c r="R12" s="34">
        <f>FLOOR(Раскройка!$D$2/B12,1)*FLOOR(Раскройка!$C$2/C12,1)</f>
        <v>16</v>
      </c>
      <c r="S12" s="34">
        <f>MAX(Раскройка!$F$2-E12*R12,0)</f>
        <v>1.4319999999999995</v>
      </c>
      <c r="T12" s="34">
        <f t="shared" ref="T12" si="8">Q12*S12</f>
        <v>925.07199999999966</v>
      </c>
      <c r="U12" s="9"/>
    </row>
    <row r="13" spans="1:22" x14ac:dyDescent="0.25">
      <c r="A13" s="34" t="s">
        <v>111</v>
      </c>
      <c r="B13" s="34">
        <v>650</v>
      </c>
      <c r="C13" s="34">
        <v>50</v>
      </c>
      <c r="D13" s="34">
        <v>16</v>
      </c>
      <c r="E13" s="34">
        <f t="shared" ref="E13" si="9">B13*C13/1000000</f>
        <v>3.2500000000000001E-2</v>
      </c>
      <c r="F13" s="20"/>
      <c r="G13" s="7" t="s">
        <v>12</v>
      </c>
      <c r="H13" s="34">
        <f>ROUND(Q13+T13/Раскройка!$F$2,0)</f>
        <v>698</v>
      </c>
      <c r="I13" s="34" t="s">
        <v>41</v>
      </c>
      <c r="J13" s="34">
        <v>2</v>
      </c>
      <c r="K13" s="34" t="s">
        <v>39</v>
      </c>
      <c r="L13" s="34">
        <v>3</v>
      </c>
      <c r="M13" s="34">
        <f>E13*(0.25*(VLOOKUP(I13,Покрытия!$A$2:$B$40,2,FALSE)*J13+VLOOKUP(K13,Покрытия!$A$2:$B$40,2,FALSE)*L13)+H13)</f>
        <v>66.56</v>
      </c>
      <c r="N13" s="34">
        <v>4</v>
      </c>
      <c r="O13" s="34">
        <f t="shared" ref="O13" si="10">M13*N13</f>
        <v>266.24</v>
      </c>
      <c r="P13" s="9"/>
      <c r="Q13" s="34">
        <f t="array" ref="Q13">INDEX(Материалы!$C$2:$C$50,MATCH(G13&amp;D13,Материалы!$A$2:$A$50&amp;Материалы!$B$2:$B$50,0))</f>
        <v>646</v>
      </c>
      <c r="R13" s="34">
        <f>FLOOR(Раскройка!$D$2/B13,1)*FLOOR(Раскройка!$C$2/C13,1)</f>
        <v>164</v>
      </c>
      <c r="S13" s="34">
        <f>MAX(Раскройка!$F$2-E13*R13,0)</f>
        <v>0.46999999999999975</v>
      </c>
      <c r="T13" s="34">
        <f t="shared" ref="T13" si="11">Q13*S13</f>
        <v>303.61999999999983</v>
      </c>
      <c r="U13" s="9"/>
    </row>
    <row r="14" spans="1:22" x14ac:dyDescent="0.25">
      <c r="A14" s="34" t="s">
        <v>112</v>
      </c>
      <c r="B14" s="34">
        <v>420</v>
      </c>
      <c r="C14" s="34">
        <v>50</v>
      </c>
      <c r="D14" s="34">
        <v>16</v>
      </c>
      <c r="E14" s="34">
        <f t="shared" ref="E14" si="12">B14*C14/1000000</f>
        <v>2.1000000000000001E-2</v>
      </c>
      <c r="F14" s="20"/>
      <c r="G14" s="7" t="s">
        <v>12</v>
      </c>
      <c r="H14" s="34">
        <f>ROUND(Q14+T14/Раскройка!$F$2,0)</f>
        <v>717</v>
      </c>
      <c r="I14" s="34" t="s">
        <v>41</v>
      </c>
      <c r="J14" s="34">
        <v>2</v>
      </c>
      <c r="K14" s="34" t="s">
        <v>39</v>
      </c>
      <c r="L14" s="34">
        <v>3</v>
      </c>
      <c r="M14" s="34">
        <f>E14*(0.25*(VLOOKUP(I14,Покрытия!$A$2:$B$40,2,FALSE)*J14+VLOOKUP(K14,Покрытия!$A$2:$B$40,2,FALSE)*L14)+H14)</f>
        <v>43.407000000000004</v>
      </c>
      <c r="N14" s="34">
        <v>2</v>
      </c>
      <c r="O14" s="34">
        <f t="shared" ref="O14" si="13">M14*N14</f>
        <v>86.814000000000007</v>
      </c>
      <c r="P14" s="9"/>
      <c r="Q14" s="34">
        <f t="array" ref="Q14">INDEX(Материалы!$C$2:$C$50,MATCH(G14&amp;D14,Материалы!$A$2:$A$50&amp;Материалы!$B$2:$B$50,0))</f>
        <v>646</v>
      </c>
      <c r="R14" s="34">
        <f>FLOOR(Раскройка!$D$2/B14,1)*FLOOR(Раскройка!$C$2/C14,1)</f>
        <v>246</v>
      </c>
      <c r="S14" s="34">
        <f>MAX(Раскройка!$F$2-E14*R14,0)</f>
        <v>0.63399999999999945</v>
      </c>
      <c r="T14" s="34">
        <f t="shared" ref="T14" si="14">Q14*S14</f>
        <v>409.56399999999962</v>
      </c>
      <c r="U14" s="9"/>
    </row>
    <row r="15" spans="1:22" x14ac:dyDescent="0.25">
      <c r="A15" s="34" t="s">
        <v>112</v>
      </c>
      <c r="B15" s="34">
        <v>420</v>
      </c>
      <c r="C15" s="34">
        <v>160</v>
      </c>
      <c r="D15" s="34">
        <v>16</v>
      </c>
      <c r="E15" s="34">
        <f t="shared" ref="E15" si="15">B15*C15/1000000</f>
        <v>6.7199999999999996E-2</v>
      </c>
      <c r="F15" s="20"/>
      <c r="G15" s="7" t="s">
        <v>12</v>
      </c>
      <c r="H15" s="34">
        <f>ROUND(Q15+T15/Раскройка!$F$2,0)</f>
        <v>753</v>
      </c>
      <c r="I15" s="34" t="s">
        <v>41</v>
      </c>
      <c r="J15" s="34">
        <v>2</v>
      </c>
      <c r="K15" s="34" t="s">
        <v>39</v>
      </c>
      <c r="L15" s="34">
        <v>3</v>
      </c>
      <c r="M15" s="34">
        <f>E15*(0.25*(VLOOKUP(I15,Покрытия!$A$2:$B$40,2,FALSE)*J15+VLOOKUP(K15,Покрытия!$A$2:$B$40,2,FALSE)*L15)+H15)</f>
        <v>141.32159999999999</v>
      </c>
      <c r="N15" s="34">
        <v>2</v>
      </c>
      <c r="O15" s="34">
        <f t="shared" ref="O15" si="16">M15*N15</f>
        <v>282.64319999999998</v>
      </c>
      <c r="P15" s="9"/>
      <c r="Q15" s="34">
        <f t="array" ref="Q15">INDEX(Материалы!$C$2:$C$50,MATCH(G15&amp;D15,Материалы!$A$2:$A$50&amp;Материалы!$B$2:$B$50,0))</f>
        <v>646</v>
      </c>
      <c r="R15" s="34">
        <f>FLOOR(Раскройка!$D$2/B15,1)*FLOOR(Раскройка!$C$2/C15,1)</f>
        <v>72</v>
      </c>
      <c r="S15" s="34">
        <f>MAX(Раскройка!$F$2-E15*R15,0)</f>
        <v>0.96159999999999979</v>
      </c>
      <c r="T15" s="34">
        <f t="shared" ref="T15" si="17">Q15*S15</f>
        <v>621.19359999999983</v>
      </c>
      <c r="U15" s="9"/>
    </row>
    <row r="16" spans="1:22" x14ac:dyDescent="0.25">
      <c r="A16" s="34" t="s">
        <v>113</v>
      </c>
      <c r="B16" s="34">
        <v>650</v>
      </c>
      <c r="C16" s="34">
        <v>70</v>
      </c>
      <c r="D16" s="34">
        <v>25</v>
      </c>
      <c r="E16" s="34">
        <f t="shared" ref="E16:E19" si="18">B16*C16/1000000</f>
        <v>4.5499999999999999E-2</v>
      </c>
      <c r="F16" s="20"/>
      <c r="G16" s="7" t="s">
        <v>12</v>
      </c>
      <c r="H16" s="34">
        <f>ROUND(Q16+T16/Раскройка!$F$2,0)</f>
        <v>1053</v>
      </c>
      <c r="I16" s="34" t="s">
        <v>41</v>
      </c>
      <c r="J16" s="34">
        <v>2</v>
      </c>
      <c r="K16" s="34" t="s">
        <v>39</v>
      </c>
      <c r="L16" s="34">
        <v>3</v>
      </c>
      <c r="M16" s="34">
        <f>E16*(0.25*(VLOOKUP(I16,Покрытия!$A$2:$B$40,2,FALSE)*J16+VLOOKUP(K16,Покрытия!$A$2:$B$40,2,FALSE)*L16)+H16)</f>
        <v>109.3365</v>
      </c>
      <c r="N16" s="34">
        <v>2</v>
      </c>
      <c r="O16" s="34">
        <f t="shared" ref="O16:O19" si="19">M16*N16</f>
        <v>218.673</v>
      </c>
      <c r="P16" s="9"/>
      <c r="Q16" s="34">
        <f t="array" ref="Q16">INDEX(Материалы!$C$2:$C$50,MATCH(G16&amp;D16,Материалы!$A$2:$A$50&amp;Материалы!$B$2:$B$50,0))</f>
        <v>966</v>
      </c>
      <c r="R16" s="34">
        <f>FLOOR(Раскройка!$D$2/B16,1)*FLOOR(Раскройка!$C$2/C16,1)</f>
        <v>116</v>
      </c>
      <c r="S16" s="34">
        <f>MAX(Раскройка!$F$2-E16*R16,0)</f>
        <v>0.52200000000000024</v>
      </c>
      <c r="T16" s="34">
        <f t="shared" ref="T16:T19" si="20">Q16*S16</f>
        <v>504.25200000000024</v>
      </c>
      <c r="U16" s="9"/>
    </row>
    <row r="17" spans="1:21" x14ac:dyDescent="0.25">
      <c r="A17" s="34" t="s">
        <v>57</v>
      </c>
      <c r="B17" s="34">
        <v>158</v>
      </c>
      <c r="C17" s="34">
        <f>760-86-86</f>
        <v>588</v>
      </c>
      <c r="D17" s="34">
        <v>16</v>
      </c>
      <c r="E17" s="34">
        <f t="shared" si="18"/>
        <v>9.2904E-2</v>
      </c>
      <c r="F17" s="20"/>
      <c r="G17" s="7" t="s">
        <v>12</v>
      </c>
      <c r="H17" s="34">
        <f>ROUND(Q17+T17/Раскройка!$F$2,0)</f>
        <v>764</v>
      </c>
      <c r="I17" s="34" t="s">
        <v>41</v>
      </c>
      <c r="J17" s="34">
        <v>2</v>
      </c>
      <c r="K17" s="34" t="s">
        <v>39</v>
      </c>
      <c r="L17" s="34">
        <v>3</v>
      </c>
      <c r="M17" s="34">
        <f>E17*(0.25*(VLOOKUP(I17,Покрытия!$A$2:$B$40,2,FALSE)*J17+VLOOKUP(K17,Покрытия!$A$2:$B$40,2,FALSE)*L17)+H17)</f>
        <v>196.399056</v>
      </c>
      <c r="N17" s="34">
        <v>1</v>
      </c>
      <c r="O17" s="34">
        <f t="shared" si="19"/>
        <v>196.399056</v>
      </c>
      <c r="P17" s="9"/>
      <c r="Q17" s="34">
        <f t="array" ref="Q17">INDEX(Материалы!$C$2:$C$50,MATCH(G17&amp;D17,Материалы!$A$2:$A$50&amp;Материалы!$B$2:$B$50,0))</f>
        <v>646</v>
      </c>
      <c r="R17" s="34">
        <f>FLOOR(Раскройка!$D$2/B17,1)*FLOOR(Раскройка!$C$2/C17,1)</f>
        <v>51</v>
      </c>
      <c r="S17" s="34">
        <f>MAX(Раскройка!$F$2-E17*R17,0)</f>
        <v>1.061896</v>
      </c>
      <c r="T17" s="34">
        <f t="shared" si="20"/>
        <v>685.98481600000002</v>
      </c>
      <c r="U17" s="9"/>
    </row>
    <row r="18" spans="1:21" x14ac:dyDescent="0.25">
      <c r="A18" s="34" t="s">
        <v>111</v>
      </c>
      <c r="B18" s="34">
        <v>158</v>
      </c>
      <c r="C18" s="34">
        <v>45</v>
      </c>
      <c r="D18" s="34">
        <v>16</v>
      </c>
      <c r="E18" s="34">
        <f t="shared" si="18"/>
        <v>7.11E-3</v>
      </c>
      <c r="F18" s="20"/>
      <c r="G18" s="7" t="s">
        <v>12</v>
      </c>
      <c r="H18" s="34">
        <f>ROUND(Q18+T18/Раскройка!$F$2,0)</f>
        <v>673</v>
      </c>
      <c r="I18" s="34" t="s">
        <v>41</v>
      </c>
      <c r="J18" s="34">
        <v>2</v>
      </c>
      <c r="K18" s="34" t="s">
        <v>39</v>
      </c>
      <c r="L18" s="34">
        <v>3</v>
      </c>
      <c r="M18" s="34">
        <f>E18*(0.25*(VLOOKUP(I18,Покрытия!$A$2:$B$40,2,FALSE)*J18+VLOOKUP(K18,Покрытия!$A$2:$B$40,2,FALSE)*L18)+H18)</f>
        <v>14.38353</v>
      </c>
      <c r="N18" s="34">
        <v>2</v>
      </c>
      <c r="O18" s="34">
        <f t="shared" si="19"/>
        <v>28.767060000000001</v>
      </c>
      <c r="P18" s="9"/>
      <c r="Q18" s="34">
        <f t="array" ref="Q18">INDEX(Материалы!$C$2:$C$50,MATCH(G18&amp;D18,Материалы!$A$2:$A$50&amp;Материалы!$B$2:$B$50,0))</f>
        <v>646</v>
      </c>
      <c r="R18" s="34">
        <f>FLOOR(Раскройка!$D$2/B18,1)*FLOOR(Раскройка!$C$2/C18,1)</f>
        <v>782</v>
      </c>
      <c r="S18" s="34">
        <f>MAX(Раскройка!$F$2-E18*R18,0)</f>
        <v>0.23998000000000008</v>
      </c>
      <c r="T18" s="34">
        <f t="shared" si="20"/>
        <v>155.02708000000004</v>
      </c>
      <c r="U18" s="9"/>
    </row>
    <row r="19" spans="1:21" x14ac:dyDescent="0.25">
      <c r="A19" s="34" t="s">
        <v>112</v>
      </c>
      <c r="B19" s="34">
        <v>588</v>
      </c>
      <c r="C19" s="34">
        <v>45</v>
      </c>
      <c r="D19" s="34">
        <v>16</v>
      </c>
      <c r="E19" s="34">
        <f t="shared" si="18"/>
        <v>2.6460000000000001E-2</v>
      </c>
      <c r="F19" s="20"/>
      <c r="G19" s="7" t="s">
        <v>12</v>
      </c>
      <c r="H19" s="34">
        <f>ROUND(Q19+T19/Раскройка!$F$2,0)</f>
        <v>750</v>
      </c>
      <c r="I19" s="34" t="s">
        <v>41</v>
      </c>
      <c r="J19" s="34">
        <v>2</v>
      </c>
      <c r="K19" s="34" t="s">
        <v>39</v>
      </c>
      <c r="L19" s="34">
        <v>3</v>
      </c>
      <c r="M19" s="34">
        <f>E19*(0.25*(VLOOKUP(I19,Покрытия!$A$2:$B$40,2,FALSE)*J19+VLOOKUP(K19,Покрытия!$A$2:$B$40,2,FALSE)*L19)+H19)</f>
        <v>55.566000000000003</v>
      </c>
      <c r="N19" s="34">
        <v>2</v>
      </c>
      <c r="O19" s="34">
        <f t="shared" si="19"/>
        <v>111.13200000000001</v>
      </c>
      <c r="P19" s="9"/>
      <c r="Q19" s="34">
        <f t="array" ref="Q19">INDEX(Материалы!$C$2:$C$50,MATCH(G19&amp;D19,Материалы!$A$2:$A$50&amp;Материалы!$B$2:$B$50,0))</f>
        <v>646</v>
      </c>
      <c r="R19" s="34">
        <f>FLOOR(Раскройка!$D$2/B19,1)*FLOOR(Раскройка!$C$2/C19,1)</f>
        <v>184</v>
      </c>
      <c r="S19" s="34">
        <f>MAX(Раскройка!$F$2-E19*R19,0)</f>
        <v>0.93135999999999974</v>
      </c>
      <c r="T19" s="34">
        <f t="shared" si="20"/>
        <v>601.65855999999985</v>
      </c>
      <c r="U19" s="9"/>
    </row>
    <row r="20" spans="1:21" x14ac:dyDescent="0.25">
      <c r="A20" s="34" t="s">
        <v>57</v>
      </c>
      <c r="B20" s="34">
        <f>650-160-158-16-18</f>
        <v>298</v>
      </c>
      <c r="C20" s="34">
        <f>588/2</f>
        <v>294</v>
      </c>
      <c r="D20" s="34">
        <v>16</v>
      </c>
      <c r="E20" s="34">
        <f t="shared" ref="E20:E22" si="21">B20*C20/1000000</f>
        <v>8.7611999999999995E-2</v>
      </c>
      <c r="F20" s="20"/>
      <c r="G20" s="7" t="s">
        <v>12</v>
      </c>
      <c r="H20" s="34">
        <f>ROUND(Q20+T20/Раскройка!$F$2,0)</f>
        <v>677</v>
      </c>
      <c r="I20" s="34" t="s">
        <v>41</v>
      </c>
      <c r="J20" s="34">
        <v>2</v>
      </c>
      <c r="K20" s="34" t="s">
        <v>39</v>
      </c>
      <c r="L20" s="34">
        <v>3</v>
      </c>
      <c r="M20" s="34">
        <f>E20*(0.25*(VLOOKUP(I20,Покрытия!$A$2:$B$40,2,FALSE)*J20+VLOOKUP(K20,Покрытия!$A$2:$B$40,2,FALSE)*L20)+H20)</f>
        <v>177.58952399999998</v>
      </c>
      <c r="N20" s="34">
        <v>2</v>
      </c>
      <c r="O20" s="34">
        <f t="shared" ref="O20:O22" si="22">M20*N20</f>
        <v>355.17904799999997</v>
      </c>
      <c r="P20" s="9"/>
      <c r="Q20" s="34">
        <f t="array" ref="Q20">INDEX(Материалы!$C$2:$C$50,MATCH(G20&amp;D20,Материалы!$A$2:$A$50&amp;Материалы!$B$2:$B$50,0))</f>
        <v>646</v>
      </c>
      <c r="R20" s="34">
        <f>FLOOR(Раскройка!$D$2/B20,1)*FLOOR(Раскройка!$C$2/C20,1)</f>
        <v>63</v>
      </c>
      <c r="S20" s="34">
        <f>MAX(Раскройка!$F$2-E20*R20,0)</f>
        <v>0.28044400000000014</v>
      </c>
      <c r="T20" s="34">
        <f t="shared" ref="T20:T22" si="23">Q20*S20</f>
        <v>181.16682400000008</v>
      </c>
      <c r="U20" s="9"/>
    </row>
    <row r="21" spans="1:21" x14ac:dyDescent="0.25">
      <c r="A21" s="34" t="s">
        <v>111</v>
      </c>
      <c r="B21" s="34">
        <v>298</v>
      </c>
      <c r="C21" s="34">
        <v>45</v>
      </c>
      <c r="D21" s="34">
        <v>16</v>
      </c>
      <c r="E21" s="34">
        <f t="shared" si="21"/>
        <v>1.341E-2</v>
      </c>
      <c r="F21" s="20"/>
      <c r="G21" s="7" t="s">
        <v>12</v>
      </c>
      <c r="H21" s="34">
        <f>ROUND(Q21+T21/Раскройка!$F$2,0)</f>
        <v>674</v>
      </c>
      <c r="I21" s="34" t="s">
        <v>41</v>
      </c>
      <c r="J21" s="34">
        <v>2</v>
      </c>
      <c r="K21" s="34" t="s">
        <v>39</v>
      </c>
      <c r="L21" s="34">
        <v>3</v>
      </c>
      <c r="M21" s="34">
        <f>E21*(0.25*(VLOOKUP(I21,Покрытия!$A$2:$B$40,2,FALSE)*J21+VLOOKUP(K21,Покрытия!$A$2:$B$40,2,FALSE)*L21)+H21)</f>
        <v>27.141839999999998</v>
      </c>
      <c r="N21" s="34">
        <v>4</v>
      </c>
      <c r="O21" s="34">
        <f t="shared" si="22"/>
        <v>108.56735999999999</v>
      </c>
      <c r="P21" s="9"/>
      <c r="Q21" s="34">
        <f t="array" ref="Q21">INDEX(Материалы!$C$2:$C$50,MATCH(G21&amp;D21,Материалы!$A$2:$A$50&amp;Материалы!$B$2:$B$50,0))</f>
        <v>646</v>
      </c>
      <c r="R21" s="34">
        <f>FLOOR(Раскройка!$D$2/B21,1)*FLOOR(Раскройка!$C$2/C21,1)</f>
        <v>414</v>
      </c>
      <c r="S21" s="34">
        <f>MAX(Раскройка!$F$2-E21*R21,0)</f>
        <v>0.24826000000000015</v>
      </c>
      <c r="T21" s="34">
        <f t="shared" si="23"/>
        <v>160.37596000000011</v>
      </c>
      <c r="U21" s="9"/>
    </row>
    <row r="22" spans="1:21" x14ac:dyDescent="0.25">
      <c r="A22" s="34" t="s">
        <v>112</v>
      </c>
      <c r="B22" s="34">
        <v>294</v>
      </c>
      <c r="C22" s="34">
        <v>45</v>
      </c>
      <c r="D22" s="34">
        <v>16</v>
      </c>
      <c r="E22" s="34">
        <f t="shared" si="21"/>
        <v>1.323E-2</v>
      </c>
      <c r="F22" s="20"/>
      <c r="G22" s="7" t="s">
        <v>12</v>
      </c>
      <c r="H22" s="34">
        <f>ROUND(Q22+T22/Раскройка!$F$2,0)</f>
        <v>682</v>
      </c>
      <c r="I22" s="34" t="s">
        <v>41</v>
      </c>
      <c r="J22" s="34">
        <v>2</v>
      </c>
      <c r="K22" s="34" t="s">
        <v>39</v>
      </c>
      <c r="L22" s="34">
        <v>3</v>
      </c>
      <c r="M22" s="34">
        <f>E22*(0.25*(VLOOKUP(I22,Покрытия!$A$2:$B$40,2,FALSE)*J22+VLOOKUP(K22,Покрытия!$A$2:$B$40,2,FALSE)*L22)+H22)</f>
        <v>26.88336</v>
      </c>
      <c r="N22" s="34">
        <v>4</v>
      </c>
      <c r="O22" s="34">
        <f t="shared" si="22"/>
        <v>107.53344</v>
      </c>
      <c r="P22" s="9"/>
      <c r="Q22" s="34">
        <f t="array" ref="Q22">INDEX(Материалы!$C$2:$C$50,MATCH(G22&amp;D22,Материалы!$A$2:$A$50&amp;Материалы!$B$2:$B$50,0))</f>
        <v>646</v>
      </c>
      <c r="R22" s="34">
        <f>FLOOR(Раскройка!$D$2/B22,1)*FLOOR(Раскройка!$C$2/C22,1)</f>
        <v>414</v>
      </c>
      <c r="S22" s="34">
        <f>MAX(Раскройка!$F$2-E22*R22,0)</f>
        <v>0.32277999999999984</v>
      </c>
      <c r="T22" s="34">
        <f t="shared" si="23"/>
        <v>208.5158799999999</v>
      </c>
    </row>
    <row r="24" spans="1:21" x14ac:dyDescent="0.25">
      <c r="A24" s="34" t="s">
        <v>107</v>
      </c>
      <c r="B24" s="34">
        <v>910</v>
      </c>
      <c r="C24" s="34">
        <v>250</v>
      </c>
      <c r="D24" s="34">
        <v>16</v>
      </c>
      <c r="E24" s="34">
        <f t="shared" ref="E24:E29" si="24">B24*C24/1000000</f>
        <v>0.22750000000000001</v>
      </c>
      <c r="F24" s="20"/>
      <c r="G24" s="7" t="s">
        <v>12</v>
      </c>
      <c r="H24" s="34">
        <f>ROUND(Q24+T24/Раскройка!$F$2,0)</f>
        <v>684</v>
      </c>
      <c r="I24" s="34" t="s">
        <v>41</v>
      </c>
      <c r="J24" s="34">
        <v>2</v>
      </c>
      <c r="K24" s="34" t="s">
        <v>39</v>
      </c>
      <c r="L24" s="34">
        <v>3</v>
      </c>
      <c r="M24" s="34">
        <f>E24*(0.25*(VLOOKUP(I24,Покрытия!$A$2:$B$40,2,FALSE)*J24+VLOOKUP(K24,Покрытия!$A$2:$B$40,2,FALSE)*L24)+H24)</f>
        <v>462.73500000000001</v>
      </c>
      <c r="N24" s="34">
        <v>4</v>
      </c>
      <c r="O24" s="34">
        <f t="shared" ref="O24:O29" si="25">M24*N24</f>
        <v>1850.94</v>
      </c>
      <c r="P24" s="9"/>
      <c r="Q24" s="34">
        <f t="array" ref="Q24">INDEX(Материалы!$C$2:$C$50,MATCH(G24&amp;D24,Материалы!$A$2:$A$50&amp;Материалы!$B$2:$B$50,0))</f>
        <v>646</v>
      </c>
      <c r="R24" s="34">
        <f>FLOOR(Раскройка!$D$2/B24,1)*FLOOR(Раскройка!$C$2/C24,1)</f>
        <v>24</v>
      </c>
      <c r="S24" s="34">
        <f>MAX(Раскройка!$F$2-E24*R24,0)</f>
        <v>0.33999999999999986</v>
      </c>
      <c r="T24" s="34">
        <f t="shared" ref="T24:T29" si="26">Q24*S24</f>
        <v>219.6399999999999</v>
      </c>
    </row>
    <row r="25" spans="1:21" x14ac:dyDescent="0.25">
      <c r="A25" s="34" t="s">
        <v>108</v>
      </c>
      <c r="B25" s="34">
        <v>910</v>
      </c>
      <c r="C25" s="34">
        <v>760</v>
      </c>
      <c r="D25" s="34">
        <v>6</v>
      </c>
      <c r="E25" s="34">
        <f t="shared" si="24"/>
        <v>0.69159999999999999</v>
      </c>
      <c r="F25" s="20"/>
      <c r="G25" s="7" t="s">
        <v>3</v>
      </c>
      <c r="H25" s="34">
        <f>ROUND(Q25+T25/Раскройка!$F$2,0)</f>
        <v>134</v>
      </c>
      <c r="I25" s="34" t="s">
        <v>41</v>
      </c>
      <c r="J25" s="34">
        <v>2</v>
      </c>
      <c r="K25" s="34" t="s">
        <v>39</v>
      </c>
      <c r="L25" s="34">
        <v>3</v>
      </c>
      <c r="M25" s="34">
        <f>E25*(0.25*(VLOOKUP(I25,Покрытия!$A$2:$B$40,2,FALSE)*J25+VLOOKUP(K25,Покрытия!$A$2:$B$40,2,FALSE)*L25)+H25)</f>
        <v>1026.3344</v>
      </c>
      <c r="N25" s="34">
        <v>1</v>
      </c>
      <c r="O25" s="34">
        <f t="shared" si="25"/>
        <v>1026.3344</v>
      </c>
      <c r="P25" s="9"/>
      <c r="Q25" s="34">
        <f t="array" ref="Q25">INDEX(Материалы!$C$2:$C$50,MATCH(G25&amp;D25,Материалы!$A$2:$A$50&amp;Материалы!$B$2:$B$50,0))</f>
        <v>104</v>
      </c>
      <c r="R25" s="34">
        <f>FLOOR(Раскройка!$D$2/B25,1)*FLOOR(Раскройка!$C$2/C25,1)</f>
        <v>6</v>
      </c>
      <c r="S25" s="34">
        <f>MAX(Раскройка!$F$2-E25*R25,0)</f>
        <v>1.6504000000000003</v>
      </c>
      <c r="T25" s="34">
        <f t="shared" si="26"/>
        <v>171.64160000000004</v>
      </c>
    </row>
    <row r="26" spans="1:21" x14ac:dyDescent="0.25">
      <c r="A26" s="34" t="s">
        <v>109</v>
      </c>
      <c r="B26" s="34">
        <v>250</v>
      </c>
      <c r="C26" s="34">
        <v>588</v>
      </c>
      <c r="D26" s="34">
        <v>25</v>
      </c>
      <c r="E26" s="34">
        <f t="shared" si="24"/>
        <v>0.14699999999999999</v>
      </c>
      <c r="F26" s="20"/>
      <c r="G26" s="7" t="s">
        <v>12</v>
      </c>
      <c r="H26" s="34">
        <f>ROUND(Q26+T26/Раскройка!$F$2,0)</f>
        <v>1124</v>
      </c>
      <c r="I26" s="34" t="s">
        <v>41</v>
      </c>
      <c r="J26" s="34">
        <v>2</v>
      </c>
      <c r="K26" s="34" t="s">
        <v>39</v>
      </c>
      <c r="L26" s="34">
        <v>3</v>
      </c>
      <c r="M26" s="34">
        <f>E26*(0.25*(VLOOKUP(I26,Покрытия!$A$2:$B$40,2,FALSE)*J26+VLOOKUP(K26,Покрытия!$A$2:$B$40,2,FALSE)*L26)+H26)</f>
        <v>363.678</v>
      </c>
      <c r="N26" s="34">
        <v>2</v>
      </c>
      <c r="O26" s="34">
        <f t="shared" si="25"/>
        <v>727.35599999999999</v>
      </c>
      <c r="P26" s="9"/>
      <c r="Q26" s="34">
        <f t="array" ref="Q26">INDEX(Материалы!$C$2:$C$50,MATCH(G26&amp;D26,Материалы!$A$2:$A$50&amp;Материалы!$B$2:$B$50,0))</f>
        <v>966</v>
      </c>
      <c r="R26" s="34">
        <f>FLOOR(Раскройка!$D$2/B26,1)*FLOOR(Раскройка!$C$2/C26,1)</f>
        <v>33</v>
      </c>
      <c r="S26" s="34">
        <f>MAX(Раскройка!$F$2-E26*R26,0)</f>
        <v>0.94899999999999984</v>
      </c>
      <c r="T26" s="34">
        <f t="shared" si="26"/>
        <v>916.73399999999981</v>
      </c>
    </row>
    <row r="27" spans="1:21" x14ac:dyDescent="0.25">
      <c r="A27" s="34" t="s">
        <v>110</v>
      </c>
      <c r="B27" s="34">
        <v>250</v>
      </c>
      <c r="C27" s="34">
        <v>760</v>
      </c>
      <c r="D27" s="34">
        <v>16</v>
      </c>
      <c r="E27" s="34">
        <f t="shared" si="24"/>
        <v>0.19</v>
      </c>
      <c r="F27" s="20"/>
      <c r="G27" s="7" t="s">
        <v>12</v>
      </c>
      <c r="H27" s="34">
        <f>ROUND(Q27+T27/Раскройка!$F$2,0)</f>
        <v>826</v>
      </c>
      <c r="I27" s="34" t="s">
        <v>41</v>
      </c>
      <c r="J27" s="34">
        <v>2</v>
      </c>
      <c r="K27" s="34" t="s">
        <v>39</v>
      </c>
      <c r="L27" s="34">
        <v>3</v>
      </c>
      <c r="M27" s="34">
        <f>E27*(0.25*(VLOOKUP(I27,Покрытия!$A$2:$B$40,2,FALSE)*J27+VLOOKUP(K27,Покрытия!$A$2:$B$40,2,FALSE)*L27)+H27)</f>
        <v>413.44</v>
      </c>
      <c r="N27" s="34">
        <v>4</v>
      </c>
      <c r="O27" s="34">
        <f t="shared" si="25"/>
        <v>1653.76</v>
      </c>
      <c r="P27" s="9"/>
      <c r="Q27" s="34">
        <f t="array" ref="Q27">INDEX(Материалы!$C$2:$C$50,MATCH(G27&amp;D27,Материалы!$A$2:$A$50&amp;Материалы!$B$2:$B$50,0))</f>
        <v>646</v>
      </c>
      <c r="R27" s="34">
        <f>FLOOR(Раскройка!$D$2/B27,1)*FLOOR(Раскройка!$C$2/C27,1)</f>
        <v>22</v>
      </c>
      <c r="S27" s="34">
        <f>MAX(Раскройка!$F$2-E27*R27,0)</f>
        <v>1.62</v>
      </c>
      <c r="T27" s="34">
        <f t="shared" si="26"/>
        <v>1046.52</v>
      </c>
    </row>
    <row r="28" spans="1:21" x14ac:dyDescent="0.25">
      <c r="A28" s="34" t="s">
        <v>118</v>
      </c>
      <c r="B28" s="34">
        <f>263+263+760</f>
        <v>1286</v>
      </c>
      <c r="C28" s="34">
        <v>32</v>
      </c>
      <c r="D28" s="34">
        <v>16</v>
      </c>
      <c r="E28" s="34">
        <f t="shared" si="24"/>
        <v>4.1152000000000001E-2</v>
      </c>
      <c r="F28" s="20"/>
      <c r="G28" s="7" t="s">
        <v>12</v>
      </c>
      <c r="H28" s="34">
        <f>ROUND(Q28+T28/Раскройка!$F$2,0)</f>
        <v>705</v>
      </c>
      <c r="I28" s="34" t="s">
        <v>41</v>
      </c>
      <c r="J28" s="34">
        <v>2</v>
      </c>
      <c r="K28" s="34" t="s">
        <v>39</v>
      </c>
      <c r="L28" s="34">
        <v>3</v>
      </c>
      <c r="M28" s="34">
        <f>E28*(0.25*(VLOOKUP(I28,Покрытия!$A$2:$B$40,2,FALSE)*J28+VLOOKUP(K28,Покрытия!$A$2:$B$40,2,FALSE)*L28)+H28)</f>
        <v>84.567360000000008</v>
      </c>
      <c r="N28" s="34">
        <v>2</v>
      </c>
      <c r="O28" s="34">
        <f t="shared" si="25"/>
        <v>169.13472000000002</v>
      </c>
      <c r="P28" s="9"/>
      <c r="Q28" s="34">
        <f t="array" ref="Q28">INDEX(Материалы!$C$2:$C$50,MATCH(G28&amp;D28,Материалы!$A$2:$A$50&amp;Материалы!$B$2:$B$50,0))</f>
        <v>646</v>
      </c>
      <c r="R28" s="34">
        <f>FLOOR(Раскройка!$D$2/B28,1)*FLOOR(Раскройка!$C$2/C28,1)</f>
        <v>128</v>
      </c>
      <c r="S28" s="34">
        <f>MAX(Раскройка!$F$2-E28*R28,0)</f>
        <v>0.53254399999999968</v>
      </c>
      <c r="T28" s="34">
        <f t="shared" si="26"/>
        <v>344.02342399999981</v>
      </c>
    </row>
    <row r="29" spans="1:21" x14ac:dyDescent="0.25">
      <c r="A29" s="34" t="s">
        <v>113</v>
      </c>
      <c r="B29" s="34">
        <v>650</v>
      </c>
      <c r="C29" s="34">
        <v>70</v>
      </c>
      <c r="D29" s="34">
        <v>25</v>
      </c>
      <c r="E29" s="34">
        <f t="shared" si="24"/>
        <v>4.5499999999999999E-2</v>
      </c>
      <c r="F29" s="20"/>
      <c r="G29" s="7" t="s">
        <v>12</v>
      </c>
      <c r="H29" s="34">
        <f>ROUND(Q29+T29/Раскройка!$F$2,0)</f>
        <v>1053</v>
      </c>
      <c r="I29" s="34" t="s">
        <v>41</v>
      </c>
      <c r="J29" s="34">
        <v>2</v>
      </c>
      <c r="K29" s="34" t="s">
        <v>39</v>
      </c>
      <c r="L29" s="34">
        <v>3</v>
      </c>
      <c r="M29" s="34">
        <f>E29*(0.25*(VLOOKUP(I29,Покрытия!$A$2:$B$40,2,FALSE)*J29+VLOOKUP(K29,Покрытия!$A$2:$B$40,2,FALSE)*L29)+H29)</f>
        <v>109.3365</v>
      </c>
      <c r="N29" s="34">
        <v>2</v>
      </c>
      <c r="O29" s="34">
        <f t="shared" si="25"/>
        <v>218.673</v>
      </c>
      <c r="P29" s="9"/>
      <c r="Q29" s="34">
        <f t="array" ref="Q29">INDEX(Материалы!$C$2:$C$50,MATCH(G29&amp;D29,Материалы!$A$2:$A$50&amp;Материалы!$B$2:$B$50,0))</f>
        <v>966</v>
      </c>
      <c r="R29" s="34">
        <f>FLOOR(Раскройка!$D$2/B29,1)*FLOOR(Раскройка!$C$2/C29,1)</f>
        <v>116</v>
      </c>
      <c r="S29" s="34">
        <f>MAX(Раскройка!$F$2-E29*R29,0)</f>
        <v>0.52200000000000024</v>
      </c>
      <c r="T29" s="34">
        <f t="shared" si="26"/>
        <v>504.25200000000024</v>
      </c>
    </row>
    <row r="31" spans="1:21" x14ac:dyDescent="0.25">
      <c r="A31" s="34" t="s">
        <v>119</v>
      </c>
      <c r="B31" s="34">
        <v>910</v>
      </c>
      <c r="C31" s="34">
        <v>780</v>
      </c>
      <c r="D31" s="34">
        <v>16</v>
      </c>
      <c r="E31" s="34">
        <f>B31*C31/1000000</f>
        <v>0.70979999999999999</v>
      </c>
      <c r="F31" s="20"/>
      <c r="G31" s="7" t="s">
        <v>12</v>
      </c>
      <c r="H31" s="34">
        <f>ROUND(Q31+T31/Раскройка!$F$2,0)</f>
        <v>818</v>
      </c>
      <c r="I31" s="34" t="s">
        <v>41</v>
      </c>
      <c r="J31" s="34">
        <v>0</v>
      </c>
      <c r="K31" s="34" t="s">
        <v>39</v>
      </c>
      <c r="L31" s="34">
        <v>0</v>
      </c>
      <c r="M31" s="34">
        <f>E31*(0.25*(VLOOKUP(I31,Покрытия!$A$2:$B$40,2,FALSE)*J31+VLOOKUP(K31,Покрытия!$A$2:$B$40,2,FALSE)*L31)+H31)</f>
        <v>580.6164</v>
      </c>
      <c r="N31" s="34">
        <v>1</v>
      </c>
      <c r="O31" s="34">
        <f>M31*N31</f>
        <v>580.6164</v>
      </c>
      <c r="P31" s="9"/>
      <c r="Q31" s="34">
        <f t="array" ref="Q31">INDEX(Материалы!$C$2:$C$50,MATCH(G31&amp;D31,Материалы!$A$2:$A$50&amp;Материалы!$B$2:$B$50,0))</f>
        <v>646</v>
      </c>
      <c r="R31" s="34">
        <f>FLOOR(Раскройка!$D$2/B31,1)*FLOOR(Раскройка!$C$2/C31,1)</f>
        <v>6</v>
      </c>
      <c r="S31" s="34">
        <f>MAX(Раскройка!$F$2-E31*R31,0)</f>
        <v>1.5411999999999999</v>
      </c>
      <c r="T31" s="34">
        <f>Q31*S31</f>
        <v>995.61519999999996</v>
      </c>
      <c r="U31" s="9"/>
    </row>
    <row r="33" spans="1:4" x14ac:dyDescent="0.25">
      <c r="A33" s="27"/>
      <c r="B33" s="27" t="s">
        <v>97</v>
      </c>
      <c r="C33" s="34" t="s">
        <v>98</v>
      </c>
      <c r="D33" s="34" t="s">
        <v>58</v>
      </c>
    </row>
    <row r="34" spans="1:4" x14ac:dyDescent="0.25">
      <c r="A34" s="34" t="s">
        <v>96</v>
      </c>
      <c r="B34" s="34">
        <f>(3088+2737+3655+3088+118)/1000</f>
        <v>12.686</v>
      </c>
      <c r="C34" s="34">
        <v>825</v>
      </c>
      <c r="D34" s="34">
        <f>B34*C34</f>
        <v>10465.950000000001</v>
      </c>
    </row>
    <row r="35" spans="1:4" x14ac:dyDescent="0.25">
      <c r="A35" s="34" t="s">
        <v>100</v>
      </c>
      <c r="B35" s="34">
        <f>(3088+2737+3655+3088+118)/1000</f>
        <v>12.686</v>
      </c>
      <c r="C35" s="34">
        <v>45</v>
      </c>
      <c r="D35" s="34">
        <f>B35*C35</f>
        <v>570.87</v>
      </c>
    </row>
  </sheetData>
  <mergeCells count="1">
    <mergeCell ref="E2:E5"/>
  </mergeCells>
  <pageMargins left="0.7" right="0.7" top="0.75" bottom="0.75" header="0.3" footer="0.3"/>
  <pageSetup paperSize="9" scale="70" fitToHeight="0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9"/>
  <sheetViews>
    <sheetView topLeftCell="A10" workbookViewId="0">
      <selection activeCell="A33" sqref="A33"/>
    </sheetView>
  </sheetViews>
  <sheetFormatPr defaultRowHeight="15" x14ac:dyDescent="0.25"/>
  <cols>
    <col min="1" max="1" width="27.5703125" customWidth="1"/>
    <col min="7" max="7" width="17.85546875" customWidth="1"/>
    <col min="8" max="8" width="16" customWidth="1"/>
    <col min="10" max="10" width="12.7109375" customWidth="1"/>
    <col min="12" max="12" width="13.140625" customWidth="1"/>
    <col min="13" max="14" width="15" customWidth="1"/>
    <col min="17" max="20" width="0" hidden="1" customWidth="1"/>
  </cols>
  <sheetData>
    <row r="1" spans="1:22" x14ac:dyDescent="0.25">
      <c r="A1" s="39" t="s">
        <v>92</v>
      </c>
      <c r="B1" s="34" t="s">
        <v>91</v>
      </c>
      <c r="C1" s="34" t="s">
        <v>61</v>
      </c>
      <c r="D1" s="34" t="s">
        <v>58</v>
      </c>
    </row>
    <row r="2" spans="1:22" ht="17.25" customHeight="1" x14ac:dyDescent="0.25">
      <c r="A2" s="35" t="s">
        <v>122</v>
      </c>
      <c r="B2" s="38">
        <v>1</v>
      </c>
      <c r="C2" s="34">
        <f>ROUND(SUM(O6:O14)+D32+SUM(O36:O39),0)</f>
        <v>18846</v>
      </c>
      <c r="D2" s="34">
        <f>C2*B2</f>
        <v>18846</v>
      </c>
      <c r="E2" s="88">
        <f>D2+D3</f>
        <v>32253</v>
      </c>
    </row>
    <row r="3" spans="1:22" x14ac:dyDescent="0.25">
      <c r="A3" s="35" t="s">
        <v>123</v>
      </c>
      <c r="B3" s="38">
        <v>1</v>
      </c>
      <c r="C3" s="34">
        <f>ROUND(SUM(O16:O28)+D31,0)</f>
        <v>13407</v>
      </c>
      <c r="D3" s="34">
        <f>C3*B3</f>
        <v>13407</v>
      </c>
      <c r="E3" s="90"/>
    </row>
    <row r="5" spans="1:22" x14ac:dyDescent="0.25">
      <c r="A5" s="34" t="s">
        <v>32</v>
      </c>
      <c r="B5" s="34" t="s">
        <v>20</v>
      </c>
      <c r="C5" s="34" t="s">
        <v>19</v>
      </c>
      <c r="D5" s="34" t="s">
        <v>21</v>
      </c>
      <c r="E5" s="34" t="s">
        <v>22</v>
      </c>
      <c r="F5" s="7" t="s">
        <v>26</v>
      </c>
      <c r="G5" s="7" t="s">
        <v>49</v>
      </c>
      <c r="H5" s="34" t="s">
        <v>46</v>
      </c>
      <c r="I5" s="34" t="s">
        <v>35</v>
      </c>
      <c r="J5" s="34" t="s">
        <v>47</v>
      </c>
      <c r="K5" s="34" t="s">
        <v>35</v>
      </c>
      <c r="L5" s="34" t="s">
        <v>47</v>
      </c>
      <c r="M5" s="7" t="s">
        <v>48</v>
      </c>
      <c r="N5" s="34" t="s">
        <v>59</v>
      </c>
      <c r="O5" s="34" t="s">
        <v>58</v>
      </c>
      <c r="P5" s="9"/>
      <c r="Q5" s="7" t="s">
        <v>50</v>
      </c>
      <c r="R5" s="7" t="s">
        <v>53</v>
      </c>
      <c r="S5" s="7" t="s">
        <v>51</v>
      </c>
      <c r="T5" s="7" t="s">
        <v>52</v>
      </c>
      <c r="U5" s="9"/>
    </row>
    <row r="6" spans="1:22" x14ac:dyDescent="0.25">
      <c r="A6" s="34" t="s">
        <v>107</v>
      </c>
      <c r="B6" s="34">
        <v>1365</v>
      </c>
      <c r="C6" s="34">
        <v>300</v>
      </c>
      <c r="D6" s="34">
        <v>18</v>
      </c>
      <c r="E6" s="34">
        <f t="shared" ref="E6:E8" si="0">B6*C6/1000000</f>
        <v>0.40949999999999998</v>
      </c>
      <c r="F6" s="20"/>
      <c r="G6" s="7" t="s">
        <v>3</v>
      </c>
      <c r="H6" s="34">
        <f>ROUND(Q6+T6/Раскройка!$F$2,0)</f>
        <v>450</v>
      </c>
      <c r="I6" s="34" t="s">
        <v>41</v>
      </c>
      <c r="J6" s="34">
        <v>2</v>
      </c>
      <c r="K6" s="34" t="s">
        <v>39</v>
      </c>
      <c r="L6" s="34">
        <v>3</v>
      </c>
      <c r="M6" s="34">
        <f>E6*(0.25*(VLOOKUP(I6,Покрытия!$A$2:$B$40,2,FALSE)*J6+VLOOKUP(K6,Покрытия!$A$2:$B$40,2,FALSE)*L6)+H6)</f>
        <v>737.09999999999991</v>
      </c>
      <c r="N6" s="34">
        <v>5</v>
      </c>
      <c r="O6" s="34">
        <f t="shared" ref="O6:O8" si="1">M6*N6</f>
        <v>3685.4999999999995</v>
      </c>
      <c r="P6" s="9"/>
      <c r="Q6" s="34">
        <f t="array" ref="Q6">INDEX(Материалы!$C$2:$C$50,MATCH(G6&amp;D6,Материалы!$A$2:$A$50&amp;Материалы!$B$2:$B$50,0))</f>
        <v>390</v>
      </c>
      <c r="R6" s="34">
        <f>FLOOR(Раскройка!$D$2/B6,1)*FLOOR(Раскройка!$C$2/C6,1)</f>
        <v>12</v>
      </c>
      <c r="S6" s="34">
        <f>MAX(Раскройка!$F$2-E6*R6,0)</f>
        <v>0.88600000000000012</v>
      </c>
      <c r="T6" s="34">
        <f t="shared" ref="T6:T8" si="2">Q6*S6</f>
        <v>345.54</v>
      </c>
      <c r="U6" s="9"/>
      <c r="V6" s="16"/>
    </row>
    <row r="7" spans="1:22" x14ac:dyDescent="0.25">
      <c r="A7" s="34" t="s">
        <v>108</v>
      </c>
      <c r="B7" s="34">
        <v>1365</v>
      </c>
      <c r="C7" s="34">
        <v>1550</v>
      </c>
      <c r="D7" s="34">
        <v>6</v>
      </c>
      <c r="E7" s="34">
        <f t="shared" si="0"/>
        <v>2.1157499999999998</v>
      </c>
      <c r="F7" s="20"/>
      <c r="G7" s="7" t="s">
        <v>3</v>
      </c>
      <c r="H7" s="34">
        <f>ROUND(Q7+T7/Раскройка!$F$2,0)</f>
        <v>132</v>
      </c>
      <c r="I7" s="34" t="s">
        <v>41</v>
      </c>
      <c r="J7" s="34">
        <v>2</v>
      </c>
      <c r="K7" s="34" t="s">
        <v>39</v>
      </c>
      <c r="L7" s="34">
        <v>3</v>
      </c>
      <c r="M7" s="34">
        <f>E7*(0.25*(VLOOKUP(I7,Покрытия!$A$2:$B$40,2,FALSE)*J7+VLOOKUP(K7,Покрытия!$A$2:$B$40,2,FALSE)*L7)+H7)</f>
        <v>3135.5414999999998</v>
      </c>
      <c r="N7" s="34">
        <v>1</v>
      </c>
      <c r="O7" s="34">
        <f t="shared" si="1"/>
        <v>3135.5414999999998</v>
      </c>
      <c r="P7" s="9"/>
      <c r="Q7" s="34">
        <f t="array" ref="Q7">INDEX(Материалы!$C$2:$C$50,MATCH(G7&amp;D7,Материалы!$A$2:$A$50&amp;Материалы!$B$2:$B$50,0))</f>
        <v>104</v>
      </c>
      <c r="R7" s="34">
        <f>FLOOR(Раскройка!$D$2/B7,1)*FLOOR(Раскройка!$C$2/C7,1)</f>
        <v>2</v>
      </c>
      <c r="S7" s="34">
        <f>MAX(Раскройка!$F$2-E7*R7,0)</f>
        <v>1.5685000000000002</v>
      </c>
      <c r="T7" s="34">
        <f t="shared" si="2"/>
        <v>163.12400000000002</v>
      </c>
      <c r="U7" s="9"/>
    </row>
    <row r="8" spans="1:22" x14ac:dyDescent="0.25">
      <c r="A8" s="34" t="s">
        <v>109</v>
      </c>
      <c r="B8" s="34">
        <v>420</v>
      </c>
      <c r="C8" s="34">
        <f>760-86*2</f>
        <v>588</v>
      </c>
      <c r="D8" s="34">
        <v>16</v>
      </c>
      <c r="E8" s="34">
        <f t="shared" si="0"/>
        <v>0.24696000000000001</v>
      </c>
      <c r="F8" s="20"/>
      <c r="G8" s="7" t="s">
        <v>3</v>
      </c>
      <c r="H8" s="34">
        <f>ROUND(Q8+T8/Раскройка!$F$2,0)</f>
        <v>407</v>
      </c>
      <c r="I8" s="34" t="s">
        <v>41</v>
      </c>
      <c r="J8" s="34">
        <v>0</v>
      </c>
      <c r="K8" s="34" t="s">
        <v>39</v>
      </c>
      <c r="L8" s="34">
        <v>0</v>
      </c>
      <c r="M8" s="34">
        <f>E8*(0.25*(VLOOKUP(I8,Покрытия!$A$2:$B$40,2,FALSE)*J8+VLOOKUP(K8,Покрытия!$A$2:$B$40,2,FALSE)*L8)+H8)</f>
        <v>100.51272</v>
      </c>
      <c r="N8" s="34">
        <v>3</v>
      </c>
      <c r="O8" s="34">
        <f t="shared" si="1"/>
        <v>301.53816</v>
      </c>
      <c r="P8" s="9"/>
      <c r="Q8" s="34">
        <f t="array" ref="Q8">INDEX(Материалы!$C$2:$C$50,MATCH(G8&amp;D8,Материалы!$A$2:$A$50&amp;Материалы!$B$2:$B$50,0))</f>
        <v>330</v>
      </c>
      <c r="R8" s="34">
        <f>FLOOR(Раскройка!$D$2/B8,1)*FLOOR(Раскройка!$C$2/C8,1)</f>
        <v>18</v>
      </c>
      <c r="S8" s="34">
        <f>MAX(Раскройка!$F$2-E8*R8,0)</f>
        <v>1.3547199999999995</v>
      </c>
      <c r="T8" s="34">
        <f t="shared" si="2"/>
        <v>447.05759999999981</v>
      </c>
      <c r="U8" s="9"/>
    </row>
    <row r="9" spans="1:22" x14ac:dyDescent="0.25">
      <c r="A9" s="34" t="s">
        <v>109</v>
      </c>
      <c r="B9" s="34">
        <v>420</v>
      </c>
      <c r="C9" s="34">
        <f>760-86*2</f>
        <v>588</v>
      </c>
      <c r="D9" s="34">
        <v>6</v>
      </c>
      <c r="E9" s="34">
        <f t="shared" ref="E9" si="3">B9*C9/1000000</f>
        <v>0.24696000000000001</v>
      </c>
      <c r="F9" s="20"/>
      <c r="G9" s="7" t="s">
        <v>3</v>
      </c>
      <c r="H9" s="34">
        <f>ROUND(Q9+T9/Раскройка!$F$2,0)</f>
        <v>128</v>
      </c>
      <c r="I9" s="34" t="s">
        <v>41</v>
      </c>
      <c r="J9" s="34">
        <v>2</v>
      </c>
      <c r="K9" s="34" t="s">
        <v>39</v>
      </c>
      <c r="L9" s="34">
        <v>3</v>
      </c>
      <c r="M9" s="34">
        <f>E9*(0.25*(VLOOKUP(I9,Покрытия!$A$2:$B$40,2,FALSE)*J9+VLOOKUP(K9,Покрытия!$A$2:$B$40,2,FALSE)*L9)+H9)</f>
        <v>365.00688000000002</v>
      </c>
      <c r="N9" s="34">
        <v>6</v>
      </c>
      <c r="O9" s="34">
        <f t="shared" ref="O9" si="4">M9*N9</f>
        <v>2190.0412800000004</v>
      </c>
      <c r="P9" s="9"/>
      <c r="Q9" s="34">
        <f t="array" ref="Q9">INDEX(Материалы!$C$2:$C$50,MATCH(G9&amp;D9,Материалы!$A$2:$A$50&amp;Материалы!$B$2:$B$50,0))</f>
        <v>104</v>
      </c>
      <c r="R9" s="34">
        <f>FLOOR(Раскройка!$D$2/B9,1)*FLOOR(Раскройка!$C$2/C9,1)</f>
        <v>18</v>
      </c>
      <c r="S9" s="34">
        <f>MAX(Раскройка!$F$2-E9*R9,0)</f>
        <v>1.3547199999999995</v>
      </c>
      <c r="T9" s="34">
        <f t="shared" ref="T9" si="5">Q9*S9</f>
        <v>140.89087999999995</v>
      </c>
      <c r="U9" s="9"/>
    </row>
    <row r="10" spans="1:22" x14ac:dyDescent="0.25">
      <c r="A10" s="34" t="s">
        <v>110</v>
      </c>
      <c r="B10" s="34">
        <v>1550</v>
      </c>
      <c r="C10" s="34">
        <v>300</v>
      </c>
      <c r="D10" s="34">
        <v>18</v>
      </c>
      <c r="E10" s="34">
        <f>B10*C10/1000000</f>
        <v>0.46500000000000002</v>
      </c>
      <c r="F10" s="20"/>
      <c r="G10" s="7" t="s">
        <v>3</v>
      </c>
      <c r="H10" s="34">
        <f>ROUND(Q10+T10/Раскройка!$F$2,0)</f>
        <v>592</v>
      </c>
      <c r="I10" s="34" t="s">
        <v>41</v>
      </c>
      <c r="J10" s="34">
        <v>2</v>
      </c>
      <c r="K10" s="34" t="s">
        <v>39</v>
      </c>
      <c r="L10" s="34">
        <v>3</v>
      </c>
      <c r="M10" s="34">
        <f>E10*(0.25*(VLOOKUP(I10,Покрытия!$A$2:$B$40,2,FALSE)*J10+VLOOKUP(K10,Покрытия!$A$2:$B$40,2,FALSE)*L10)+H10)</f>
        <v>903.03000000000009</v>
      </c>
      <c r="N10" s="34">
        <v>2</v>
      </c>
      <c r="O10" s="34">
        <f>M10*N10</f>
        <v>1806.0600000000002</v>
      </c>
      <c r="P10" s="9"/>
      <c r="Q10" s="34">
        <f t="array" ref="Q10">INDEX(Материалы!$C$2:$C$50,MATCH(G10&amp;D10,Материалы!$A$2:$A$50&amp;Материалы!$B$2:$B$50,0))</f>
        <v>390</v>
      </c>
      <c r="R10" s="34">
        <f>FLOOR(Раскройка!$D$2/B10,1)*FLOOR(Раскройка!$C$2/C10,1)</f>
        <v>6</v>
      </c>
      <c r="S10" s="34">
        <f>MAX(Раскройка!$F$2-E10*R10,0)</f>
        <v>3.01</v>
      </c>
      <c r="T10" s="34">
        <f>Q10*S10</f>
        <v>1173.8999999999999</v>
      </c>
      <c r="U10" s="9"/>
    </row>
    <row r="11" spans="1:22" x14ac:dyDescent="0.25">
      <c r="A11" s="34" t="s">
        <v>111</v>
      </c>
      <c r="B11" s="34">
        <v>2390</v>
      </c>
      <c r="C11" s="34">
        <v>46</v>
      </c>
      <c r="D11" s="34">
        <v>35</v>
      </c>
      <c r="E11" s="34">
        <f>B11*C11*D11/1000000000</f>
        <v>3.8479E-3</v>
      </c>
      <c r="F11" s="34">
        <f>B11*C11/1000000</f>
        <v>0.10994</v>
      </c>
      <c r="G11" s="34" t="s">
        <v>15</v>
      </c>
      <c r="H11" s="34">
        <f>ROUND(Q11+T11/Раскройка!$F$11,0)</f>
        <v>32000</v>
      </c>
      <c r="I11" s="34" t="s">
        <v>41</v>
      </c>
      <c r="J11" s="34">
        <v>2</v>
      </c>
      <c r="K11" s="34" t="s">
        <v>39</v>
      </c>
      <c r="L11" s="34">
        <v>3</v>
      </c>
      <c r="M11" s="34">
        <f>E11*H11+0.25*((VLOOKUP(I11,Покрытия!$A$2:$B$50,2,FALSE)*J11+VLOOKUP(K11,Покрытия!$A$2:$B$50,2,FALSE)*L11)*F11)</f>
        <v>271.55179999999996</v>
      </c>
      <c r="N11" s="34">
        <v>6</v>
      </c>
      <c r="O11" s="34">
        <f>M11*N11</f>
        <v>1629.3107999999997</v>
      </c>
      <c r="P11" s="9"/>
      <c r="Q11" s="34">
        <f t="array" ref="Q11">INDEX(Материалы!$C$2:$C$50,MATCH(G11,Материалы!$A$2:$A$50,0))</f>
        <v>32000</v>
      </c>
      <c r="R11" s="34">
        <f>FLOOR(Раскройка!$C$11/C11,1)*FLOOR(Раскройка!$D$11/B11,1)</f>
        <v>6</v>
      </c>
      <c r="S11" s="34">
        <f>MAX(Раскройка!$F$11-E11*R11,0)</f>
        <v>0</v>
      </c>
      <c r="T11" s="34">
        <f>Q11*S11</f>
        <v>0</v>
      </c>
      <c r="U11" s="26"/>
    </row>
    <row r="12" spans="1:22" x14ac:dyDescent="0.25">
      <c r="A12" s="34" t="s">
        <v>112</v>
      </c>
      <c r="B12" s="34">
        <v>1550</v>
      </c>
      <c r="C12" s="34">
        <v>46</v>
      </c>
      <c r="D12" s="34">
        <v>35</v>
      </c>
      <c r="E12" s="34">
        <f>B12*C12*D12/1000000000</f>
        <v>2.4954999999999999E-3</v>
      </c>
      <c r="F12" s="34">
        <f>B12*C12/1000000</f>
        <v>7.1300000000000002E-2</v>
      </c>
      <c r="G12" s="34" t="s">
        <v>15</v>
      </c>
      <c r="H12" s="34">
        <f>ROUND(Q12+T12/Раскройка!$F$11,0)</f>
        <v>42705</v>
      </c>
      <c r="I12" s="34" t="s">
        <v>41</v>
      </c>
      <c r="J12" s="34">
        <v>2</v>
      </c>
      <c r="K12" s="34" t="s">
        <v>39</v>
      </c>
      <c r="L12" s="34">
        <v>3</v>
      </c>
      <c r="M12" s="34">
        <f>E12*H12+0.25*((VLOOKUP(I12,Покрытия!$A$2:$B$50,2,FALSE)*J12+VLOOKUP(K12,Покрытия!$A$2:$B$50,2,FALSE)*L12)*F12)</f>
        <v>202.82532750000001</v>
      </c>
      <c r="N12" s="34">
        <v>7</v>
      </c>
      <c r="O12" s="34">
        <f>M12*N12</f>
        <v>1419.7772925000002</v>
      </c>
      <c r="P12" s="9"/>
      <c r="Q12" s="34">
        <f t="array" ref="Q12">INDEX(Материалы!$C$2:$C$50,MATCH(G12,Материалы!$A$2:$A$50,0))</f>
        <v>32000</v>
      </c>
      <c r="R12" s="34">
        <f>FLOOR(Раскройка!$C$11/C12,1)*FLOOR(Раскройка!$D$11/B12,1)</f>
        <v>6</v>
      </c>
      <c r="S12" s="34">
        <f>MAX(Раскройка!$F$11-E12*R12,0)</f>
        <v>7.526999999999999E-3</v>
      </c>
      <c r="T12" s="34">
        <f>Q12*S12</f>
        <v>240.86399999999998</v>
      </c>
      <c r="U12" s="26"/>
    </row>
    <row r="14" spans="1:22" x14ac:dyDescent="0.25">
      <c r="A14" s="34" t="s">
        <v>121</v>
      </c>
      <c r="B14" s="34">
        <v>2390</v>
      </c>
      <c r="C14" s="34">
        <v>23</v>
      </c>
      <c r="D14" s="34">
        <v>10</v>
      </c>
      <c r="E14" s="34">
        <f>B14*C14*D14/1000000000</f>
        <v>5.4969999999999997E-4</v>
      </c>
      <c r="F14" s="34">
        <f>B14*C14/1000000</f>
        <v>5.4969999999999998E-2</v>
      </c>
      <c r="G14" s="34" t="s">
        <v>15</v>
      </c>
      <c r="H14" s="34">
        <f>ROUND(Q14+T14/Раскройка!$F$11,0)</f>
        <v>53837</v>
      </c>
      <c r="I14" s="34" t="s">
        <v>41</v>
      </c>
      <c r="J14" s="34">
        <v>2</v>
      </c>
      <c r="K14" s="34" t="s">
        <v>39</v>
      </c>
      <c r="L14" s="34">
        <v>3</v>
      </c>
      <c r="M14" s="34">
        <f>E14*H14+0.25*((VLOOKUP(I14,Покрытия!$A$2:$B$50,2,FALSE)*J14+VLOOKUP(K14,Покрытия!$A$2:$B$50,2,FALSE)*L14)*F14)</f>
        <v>103.80369889999999</v>
      </c>
      <c r="N14" s="34">
        <v>1</v>
      </c>
      <c r="O14" s="34">
        <f>M14*N14</f>
        <v>103.80369889999999</v>
      </c>
      <c r="P14" s="9"/>
      <c r="Q14" s="34">
        <f t="array" ref="Q14">INDEX(Материалы!$C$2:$C$50,MATCH(G14,Материалы!$A$2:$A$50,0))</f>
        <v>32000</v>
      </c>
      <c r="R14" s="34">
        <f>FLOOR(Раскройка!$C$11/C14,1)*FLOOR(Раскройка!$D$11/B14,1)</f>
        <v>13</v>
      </c>
      <c r="S14" s="34">
        <f>MAX(Раскройка!$F$11-E14*R14,0)</f>
        <v>1.53539E-2</v>
      </c>
      <c r="T14" s="34">
        <f>Q14*S14</f>
        <v>491.32479999999998</v>
      </c>
      <c r="U14" s="26"/>
    </row>
    <row r="16" spans="1:22" x14ac:dyDescent="0.25">
      <c r="A16" s="34" t="s">
        <v>57</v>
      </c>
      <c r="B16" s="34">
        <v>650</v>
      </c>
      <c r="C16" s="34">
        <v>420</v>
      </c>
      <c r="D16" s="34">
        <v>18</v>
      </c>
      <c r="E16" s="34">
        <f>B16*C16/1000000</f>
        <v>0.27300000000000002</v>
      </c>
      <c r="F16" s="20"/>
      <c r="G16" s="7" t="s">
        <v>3</v>
      </c>
      <c r="H16" s="34">
        <f>ROUND(Q16+T16/Раскройка!$F$2,0)</f>
        <v>486</v>
      </c>
      <c r="I16" s="34" t="s">
        <v>41</v>
      </c>
      <c r="J16" s="34">
        <v>2</v>
      </c>
      <c r="K16" s="34" t="s">
        <v>39</v>
      </c>
      <c r="L16" s="34">
        <v>3</v>
      </c>
      <c r="M16" s="34">
        <f>E16*(0.25*(VLOOKUP(I16,Покрытия!$A$2:$B$40,2,FALSE)*J16+VLOOKUP(K16,Покрытия!$A$2:$B$40,2,FALSE)*L16)+H16)</f>
        <v>501.22800000000007</v>
      </c>
      <c r="N16" s="34">
        <v>2</v>
      </c>
      <c r="O16" s="34">
        <f>M16*N16</f>
        <v>1002.4560000000001</v>
      </c>
      <c r="P16" s="9"/>
      <c r="Q16" s="34">
        <f t="array" ref="Q16">INDEX(Материалы!$C$2:$C$50,MATCH(G16&amp;D16,Материалы!$A$2:$A$50&amp;Материалы!$B$2:$B$50,0))</f>
        <v>390</v>
      </c>
      <c r="R16" s="34">
        <f>FLOOR(Раскройка!$D$2/B16,1)*FLOOR(Раскройка!$C$2/C16,1)</f>
        <v>16</v>
      </c>
      <c r="S16" s="34">
        <f>MAX(Раскройка!$F$2-E16*R16,0)</f>
        <v>1.4319999999999995</v>
      </c>
      <c r="T16" s="34">
        <f>Q16*S16</f>
        <v>558.47999999999979</v>
      </c>
      <c r="U16" s="9"/>
    </row>
    <row r="17" spans="1:22" x14ac:dyDescent="0.25">
      <c r="A17" s="34" t="s">
        <v>125</v>
      </c>
      <c r="B17" s="34">
        <v>762</v>
      </c>
      <c r="C17" s="34">
        <v>26.5</v>
      </c>
      <c r="D17" s="34">
        <v>18</v>
      </c>
      <c r="E17" s="34">
        <f t="shared" ref="E17:E18" si="6">B17*C17/1000000</f>
        <v>2.0192999999999999E-2</v>
      </c>
      <c r="F17" s="20"/>
      <c r="G17" s="7" t="s">
        <v>3</v>
      </c>
      <c r="H17" s="34">
        <f>ROUND(Q17+T17/Раскройка!$F$2,0)</f>
        <v>462</v>
      </c>
      <c r="I17" s="34" t="s">
        <v>41</v>
      </c>
      <c r="J17" s="34">
        <v>2</v>
      </c>
      <c r="K17" s="34" t="s">
        <v>39</v>
      </c>
      <c r="L17" s="34">
        <v>3</v>
      </c>
      <c r="M17" s="34">
        <f>E17*(0.25*(VLOOKUP(I17,Покрытия!$A$2:$B$40,2,FALSE)*J17+VLOOKUP(K17,Покрытия!$A$2:$B$40,2,FALSE)*L17)+H17)</f>
        <v>36.589715999999996</v>
      </c>
      <c r="N17" s="34">
        <v>8</v>
      </c>
      <c r="O17" s="34">
        <f t="shared" ref="O17:O18" si="7">M17*N17</f>
        <v>292.71772799999997</v>
      </c>
      <c r="P17" s="9"/>
      <c r="Q17" s="34">
        <f t="array" ref="Q17">INDEX(Материалы!$C$2:$C$50,MATCH(G17&amp;D17,Материалы!$A$2:$A$50&amp;Материалы!$B$2:$B$50,0))</f>
        <v>390</v>
      </c>
      <c r="R17" s="34">
        <f>FLOOR(Раскройка!$D$2/B17,1)*FLOOR(Раскройка!$C$2/C17,1)</f>
        <v>234</v>
      </c>
      <c r="S17" s="34">
        <f>MAX(Раскройка!$F$2-E17*R17,0)</f>
        <v>1.0748379999999997</v>
      </c>
      <c r="T17" s="34">
        <f t="shared" ref="T17:T18" si="8">Q17*S17</f>
        <v>419.1868199999999</v>
      </c>
      <c r="U17" s="9"/>
    </row>
    <row r="18" spans="1:22" x14ac:dyDescent="0.25">
      <c r="A18" s="34" t="s">
        <v>124</v>
      </c>
      <c r="B18" s="34">
        <v>775</v>
      </c>
      <c r="C18" s="34">
        <v>26.5</v>
      </c>
      <c r="D18" s="34">
        <v>18</v>
      </c>
      <c r="E18" s="34">
        <f t="shared" si="6"/>
        <v>2.05375E-2</v>
      </c>
      <c r="F18" s="20"/>
      <c r="G18" s="7" t="s">
        <v>3</v>
      </c>
      <c r="H18" s="34">
        <f>ROUND(Q18+T18/Раскройка!$F$2,0)</f>
        <v>457</v>
      </c>
      <c r="I18" s="34" t="s">
        <v>41</v>
      </c>
      <c r="J18" s="34">
        <v>2</v>
      </c>
      <c r="K18" s="34" t="s">
        <v>39</v>
      </c>
      <c r="L18" s="34">
        <v>3</v>
      </c>
      <c r="M18" s="34">
        <f>E18*(0.25*(VLOOKUP(I18,Покрытия!$A$2:$B$40,2,FALSE)*J18+VLOOKUP(K18,Покрытия!$A$2:$B$40,2,FALSE)*L18)+H18)</f>
        <v>37.111262500000002</v>
      </c>
      <c r="N18" s="34">
        <v>8</v>
      </c>
      <c r="O18" s="34">
        <f t="shared" si="7"/>
        <v>296.89010000000002</v>
      </c>
      <c r="P18" s="9"/>
      <c r="Q18" s="34">
        <f t="array" ref="Q18">INDEX(Материалы!$C$2:$C$50,MATCH(G18&amp;D18,Материалы!$A$2:$A$50&amp;Материалы!$B$2:$B$50,0))</f>
        <v>390</v>
      </c>
      <c r="R18" s="34">
        <f>FLOOR(Раскройка!$D$2/B18,1)*FLOOR(Раскройка!$C$2/C18,1)</f>
        <v>234</v>
      </c>
      <c r="S18" s="34">
        <f>MAX(Раскройка!$F$2-E18*R18,0)</f>
        <v>0.99422500000000014</v>
      </c>
      <c r="T18" s="34">
        <f t="shared" si="8"/>
        <v>387.74775000000005</v>
      </c>
      <c r="U18" s="9"/>
    </row>
    <row r="19" spans="1:22" x14ac:dyDescent="0.25">
      <c r="A19" s="34" t="s">
        <v>125</v>
      </c>
      <c r="B19" s="34">
        <v>762</v>
      </c>
      <c r="C19" s="34">
        <v>71</v>
      </c>
      <c r="D19" s="34">
        <v>18</v>
      </c>
      <c r="E19" s="34">
        <f t="shared" ref="E19:E20" si="9">B19*C19/1000000</f>
        <v>5.4101999999999997E-2</v>
      </c>
      <c r="F19" s="20"/>
      <c r="G19" s="7" t="s">
        <v>3</v>
      </c>
      <c r="H19" s="34">
        <f>ROUND(Q19+T19/Раскройка!$F$2,0)</f>
        <v>464</v>
      </c>
      <c r="I19" s="34" t="s">
        <v>41</v>
      </c>
      <c r="J19" s="34">
        <v>2</v>
      </c>
      <c r="K19" s="34" t="s">
        <v>39</v>
      </c>
      <c r="L19" s="34">
        <v>3</v>
      </c>
      <c r="M19" s="34">
        <f>E19*(0.25*(VLOOKUP(I19,Покрытия!$A$2:$B$40,2,FALSE)*J19+VLOOKUP(K19,Покрытия!$A$2:$B$40,2,FALSE)*L19)+H19)</f>
        <v>98.141027999999991</v>
      </c>
      <c r="N19" s="34">
        <v>16</v>
      </c>
      <c r="O19" s="34">
        <f t="shared" ref="O19:O20" si="10">M19*N19</f>
        <v>1570.2564479999999</v>
      </c>
      <c r="P19" s="9"/>
      <c r="Q19" s="34">
        <f t="array" ref="Q19">INDEX(Материалы!$C$2:$C$50,MATCH(G19&amp;D19,Материалы!$A$2:$A$50&amp;Материалы!$B$2:$B$50,0))</f>
        <v>390</v>
      </c>
      <c r="R19" s="34">
        <f>FLOOR(Раскройка!$D$2/B19,1)*FLOOR(Раскройка!$C$2/C19,1)</f>
        <v>87</v>
      </c>
      <c r="S19" s="34">
        <f>MAX(Раскройка!$F$2-E19*R19,0)</f>
        <v>1.0931259999999998</v>
      </c>
      <c r="T19" s="34">
        <f t="shared" ref="T19:T20" si="11">Q19*S19</f>
        <v>426.31913999999995</v>
      </c>
      <c r="U19" s="9"/>
      <c r="V19" s="16"/>
    </row>
    <row r="20" spans="1:22" x14ac:dyDescent="0.25">
      <c r="A20" s="34" t="s">
        <v>124</v>
      </c>
      <c r="B20" s="34">
        <v>775</v>
      </c>
      <c r="C20" s="34">
        <v>71</v>
      </c>
      <c r="D20" s="34">
        <v>18</v>
      </c>
      <c r="E20" s="34">
        <f t="shared" si="9"/>
        <v>5.5024999999999998E-2</v>
      </c>
      <c r="F20" s="20"/>
      <c r="G20" s="7" t="s">
        <v>3</v>
      </c>
      <c r="H20" s="34">
        <f>ROUND(Q20+T20/Раскройка!$F$2,0)</f>
        <v>458</v>
      </c>
      <c r="I20" s="34" t="s">
        <v>41</v>
      </c>
      <c r="J20" s="34">
        <v>2</v>
      </c>
      <c r="K20" s="34" t="s">
        <v>39</v>
      </c>
      <c r="L20" s="34">
        <v>3</v>
      </c>
      <c r="M20" s="34">
        <f>E20*(0.25*(VLOOKUP(I20,Покрытия!$A$2:$B$40,2,FALSE)*J20+VLOOKUP(K20,Покрытия!$A$2:$B$40,2,FALSE)*L20)+H20)</f>
        <v>99.485199999999992</v>
      </c>
      <c r="N20" s="34">
        <v>8</v>
      </c>
      <c r="O20" s="34">
        <f t="shared" si="10"/>
        <v>795.88159999999993</v>
      </c>
      <c r="P20" s="9"/>
      <c r="Q20" s="34">
        <f t="array" ref="Q20">INDEX(Материалы!$C$2:$C$50,MATCH(G20&amp;D20,Материалы!$A$2:$A$50&amp;Материалы!$B$2:$B$50,0))</f>
        <v>390</v>
      </c>
      <c r="R20" s="34">
        <f>FLOOR(Раскройка!$D$2/B20,1)*FLOOR(Раскройка!$C$2/C20,1)</f>
        <v>87</v>
      </c>
      <c r="S20" s="34">
        <f>MAX(Раскройка!$F$2-E20*R20,0)</f>
        <v>1.0128250000000003</v>
      </c>
      <c r="T20" s="34">
        <f t="shared" si="11"/>
        <v>395.00175000000013</v>
      </c>
      <c r="U20" s="9"/>
    </row>
    <row r="21" spans="1:22" x14ac:dyDescent="0.25">
      <c r="A21" s="34" t="s">
        <v>110</v>
      </c>
      <c r="B21" s="34">
        <v>775</v>
      </c>
      <c r="C21" s="34">
        <v>300</v>
      </c>
      <c r="D21" s="34">
        <v>18</v>
      </c>
      <c r="E21" s="34">
        <f>B21*C21/1000000</f>
        <v>0.23250000000000001</v>
      </c>
      <c r="F21" s="20"/>
      <c r="G21" s="7" t="s">
        <v>3</v>
      </c>
      <c r="H21" s="34">
        <f>ROUND(Q21+T21/Раскройка!$F$2,0)</f>
        <v>499</v>
      </c>
      <c r="I21" s="34" t="s">
        <v>41</v>
      </c>
      <c r="J21" s="34">
        <v>2</v>
      </c>
      <c r="K21" s="34" t="s">
        <v>39</v>
      </c>
      <c r="L21" s="34">
        <v>3</v>
      </c>
      <c r="M21" s="34">
        <f>E21*(0.25*(VLOOKUP(I21,Покрытия!$A$2:$B$40,2,FALSE)*J21+VLOOKUP(K21,Покрытия!$A$2:$B$40,2,FALSE)*L21)+H21)</f>
        <v>429.89250000000004</v>
      </c>
      <c r="N21" s="34">
        <v>4</v>
      </c>
      <c r="O21" s="34">
        <f>M21*N21</f>
        <v>1719.5700000000002</v>
      </c>
      <c r="P21" s="9"/>
      <c r="Q21" s="34">
        <f t="array" ref="Q21">INDEX(Материалы!$C$2:$C$50,MATCH(G21&amp;D21,Материалы!$A$2:$A$50&amp;Материалы!$B$2:$B$50,0))</f>
        <v>390</v>
      </c>
      <c r="R21" s="34">
        <f>FLOOR(Раскройка!$D$2/B21,1)*FLOOR(Раскройка!$C$2/C21,1)</f>
        <v>18</v>
      </c>
      <c r="S21" s="34">
        <f>MAX(Раскройка!$F$2-E21*R21,0)</f>
        <v>1.6149999999999993</v>
      </c>
      <c r="T21" s="34">
        <f>Q21*S21</f>
        <v>629.84999999999968</v>
      </c>
      <c r="U21" s="9"/>
    </row>
    <row r="22" spans="1:22" x14ac:dyDescent="0.25">
      <c r="A22" s="34" t="s">
        <v>107</v>
      </c>
      <c r="B22" s="34">
        <v>762</v>
      </c>
      <c r="C22" s="34">
        <v>300</v>
      </c>
      <c r="D22" s="34">
        <v>18</v>
      </c>
      <c r="E22" s="34">
        <f t="shared" ref="E22:E24" si="12">B22*C22/1000000</f>
        <v>0.2286</v>
      </c>
      <c r="F22" s="20"/>
      <c r="G22" s="7" t="s">
        <v>3</v>
      </c>
      <c r="H22" s="34">
        <f>ROUND(Q22+T22/Раскройка!$F$2,0)</f>
        <v>503</v>
      </c>
      <c r="I22" s="34" t="s">
        <v>41</v>
      </c>
      <c r="J22" s="34">
        <v>2</v>
      </c>
      <c r="K22" s="34" t="s">
        <v>39</v>
      </c>
      <c r="L22" s="34">
        <v>3</v>
      </c>
      <c r="M22" s="34">
        <f>E22*(0.25*(VLOOKUP(I22,Покрытия!$A$2:$B$40,2,FALSE)*J22+VLOOKUP(K22,Покрытия!$A$2:$B$40,2,FALSE)*L22)+H22)</f>
        <v>423.5958</v>
      </c>
      <c r="N22" s="34">
        <v>4</v>
      </c>
      <c r="O22" s="34">
        <f t="shared" ref="O22:O24" si="13">M22*N22</f>
        <v>1694.3832</v>
      </c>
      <c r="P22" s="9"/>
      <c r="Q22" s="34">
        <f t="array" ref="Q22">INDEX(Материалы!$C$2:$C$50,MATCH(G22&amp;D22,Материалы!$A$2:$A$50&amp;Материалы!$B$2:$B$50,0))</f>
        <v>390</v>
      </c>
      <c r="R22" s="34">
        <f>FLOOR(Раскройка!$D$2/B22,1)*FLOOR(Раскройка!$C$2/C22,1)</f>
        <v>18</v>
      </c>
      <c r="S22" s="34">
        <f>MAX(Раскройка!$F$2-E22*R22,0)</f>
        <v>1.6852</v>
      </c>
      <c r="T22" s="34">
        <f t="shared" ref="T22:T24" si="14">Q22*S22</f>
        <v>657.22800000000007</v>
      </c>
      <c r="U22" s="9"/>
      <c r="V22" s="16"/>
    </row>
    <row r="23" spans="1:22" x14ac:dyDescent="0.25">
      <c r="A23" s="34" t="s">
        <v>108</v>
      </c>
      <c r="B23" s="34">
        <v>762</v>
      </c>
      <c r="C23" s="34">
        <v>1550</v>
      </c>
      <c r="D23" s="34">
        <v>6</v>
      </c>
      <c r="E23" s="34">
        <f t="shared" si="12"/>
        <v>1.1811</v>
      </c>
      <c r="F23" s="20"/>
      <c r="G23" s="7" t="s">
        <v>3</v>
      </c>
      <c r="H23" s="34">
        <f>ROUND(Q23+T23/Раскройка!$F$2,0)</f>
        <v>144</v>
      </c>
      <c r="I23" s="34" t="s">
        <v>41</v>
      </c>
      <c r="J23" s="34">
        <v>2</v>
      </c>
      <c r="K23" s="34" t="s">
        <v>39</v>
      </c>
      <c r="L23" s="34">
        <v>3</v>
      </c>
      <c r="M23" s="34">
        <f>E23*(0.25*(VLOOKUP(I23,Покрытия!$A$2:$B$40,2,FALSE)*J23+VLOOKUP(K23,Покрытия!$A$2:$B$40,2,FALSE)*L23)+H23)</f>
        <v>1764.5634</v>
      </c>
      <c r="N23" s="34">
        <v>1</v>
      </c>
      <c r="O23" s="34">
        <f t="shared" si="13"/>
        <v>1764.5634</v>
      </c>
      <c r="P23" s="9"/>
      <c r="Q23" s="34">
        <f t="array" ref="Q23">INDEX(Материалы!$C$2:$C$50,MATCH(G23&amp;D23,Материалы!$A$2:$A$50&amp;Материалы!$B$2:$B$50,0))</f>
        <v>104</v>
      </c>
      <c r="R23" s="34">
        <f>FLOOR(Раскройка!$D$2/B23,1)*FLOOR(Раскройка!$C$2/C23,1)</f>
        <v>3</v>
      </c>
      <c r="S23" s="34">
        <f>MAX(Раскройка!$F$2-E23*R23,0)</f>
        <v>2.2566999999999995</v>
      </c>
      <c r="T23" s="34">
        <f t="shared" si="14"/>
        <v>234.69679999999994</v>
      </c>
      <c r="U23" s="9"/>
    </row>
    <row r="24" spans="1:22" x14ac:dyDescent="0.25">
      <c r="A24" s="34" t="s">
        <v>109</v>
      </c>
      <c r="B24" s="34">
        <v>775</v>
      </c>
      <c r="C24" s="34">
        <v>300</v>
      </c>
      <c r="D24" s="34">
        <v>10</v>
      </c>
      <c r="E24" s="34">
        <f t="shared" si="12"/>
        <v>0.23250000000000001</v>
      </c>
      <c r="F24" s="20"/>
      <c r="G24" s="7" t="s">
        <v>3</v>
      </c>
      <c r="H24" s="34">
        <f>ROUND(Q24+T24/Раскройка!$F$2,0)</f>
        <v>219</v>
      </c>
      <c r="I24" s="34" t="s">
        <v>41</v>
      </c>
      <c r="J24" s="34">
        <v>2</v>
      </c>
      <c r="K24" s="34" t="s">
        <v>39</v>
      </c>
      <c r="L24" s="34">
        <v>3</v>
      </c>
      <c r="M24" s="34">
        <f>E24*(0.25*(VLOOKUP(I24,Покрытия!$A$2:$B$40,2,FALSE)*J24+VLOOKUP(K24,Покрытия!$A$2:$B$40,2,FALSE)*L24)+H24)</f>
        <v>364.79250000000002</v>
      </c>
      <c r="N24" s="34">
        <v>4</v>
      </c>
      <c r="O24" s="34">
        <f t="shared" si="13"/>
        <v>1459.17</v>
      </c>
      <c r="P24" s="9"/>
      <c r="Q24" s="34">
        <f t="array" ref="Q24">INDEX(Материалы!$C$2:$C$50,MATCH(G24&amp;D24,Материалы!$A$2:$A$50&amp;Материалы!$B$2:$B$50,0))</f>
        <v>171</v>
      </c>
      <c r="R24" s="34">
        <f>FLOOR(Раскройка!$D$2/B24,1)*FLOOR(Раскройка!$C$2/C24,1)</f>
        <v>18</v>
      </c>
      <c r="S24" s="34">
        <f>MAX(Раскройка!$F$2-E24*R24,0)</f>
        <v>1.6149999999999993</v>
      </c>
      <c r="T24" s="34">
        <f t="shared" si="14"/>
        <v>276.16499999999991</v>
      </c>
      <c r="U24" s="9"/>
    </row>
    <row r="25" spans="1:22" x14ac:dyDescent="0.25">
      <c r="A25" s="34" t="s">
        <v>109</v>
      </c>
      <c r="B25" s="34">
        <v>775</v>
      </c>
      <c r="C25" s="34">
        <v>20</v>
      </c>
      <c r="D25" s="34">
        <v>20</v>
      </c>
      <c r="E25" s="34">
        <f>B25*C25*D25/1000000000</f>
        <v>3.1E-4</v>
      </c>
      <c r="F25" s="34">
        <f>B25*C25/1000000</f>
        <v>1.55E-2</v>
      </c>
      <c r="G25" s="34" t="s">
        <v>15</v>
      </c>
      <c r="H25" s="34">
        <f>ROUND(Q25+T25/Раскройка!$F$11,0)</f>
        <v>44160</v>
      </c>
      <c r="I25" s="34" t="s">
        <v>41</v>
      </c>
      <c r="J25" s="34">
        <v>2</v>
      </c>
      <c r="K25" s="34" t="s">
        <v>39</v>
      </c>
      <c r="L25" s="34">
        <v>3</v>
      </c>
      <c r="M25" s="34">
        <f>E25*H25+0.25*((VLOOKUP(I25,Покрытия!$A$2:$B$50,2,FALSE)*J25+VLOOKUP(K25,Покрытия!$A$2:$B$50,2,FALSE)*L25)*F25)</f>
        <v>34.614600000000003</v>
      </c>
      <c r="N25" s="34">
        <v>2</v>
      </c>
      <c r="O25" s="34">
        <f>M25*N25</f>
        <v>69.229200000000006</v>
      </c>
      <c r="P25" s="9"/>
      <c r="Q25" s="34">
        <f t="array" ref="Q25">INDEX(Материалы!$C$2:$C$50,MATCH(G25,Материалы!$A$2:$A$50,0))</f>
        <v>32000</v>
      </c>
      <c r="R25" s="34">
        <f>FLOOR(Раскройка!$C$11/C25,1)*FLOOR(Раскройка!$D$11/B25,1)</f>
        <v>45</v>
      </c>
      <c r="S25" s="34">
        <f>MAX(Раскройка!$F$11-E25*R25,0)</f>
        <v>8.5499999999999986E-3</v>
      </c>
      <c r="T25" s="34">
        <f>Q25*S25</f>
        <v>273.59999999999997</v>
      </c>
      <c r="U25" s="26"/>
    </row>
    <row r="26" spans="1:22" x14ac:dyDescent="0.25">
      <c r="A26" s="34" t="s">
        <v>126</v>
      </c>
      <c r="B26" s="34">
        <v>388</v>
      </c>
      <c r="C26" s="34">
        <v>160</v>
      </c>
      <c r="D26" s="34">
        <v>18</v>
      </c>
      <c r="E26" s="34">
        <f t="shared" ref="E26:E27" si="15">B26*C26/1000000</f>
        <v>6.2080000000000003E-2</v>
      </c>
      <c r="F26" s="20"/>
      <c r="G26" s="7" t="s">
        <v>3</v>
      </c>
      <c r="H26" s="34">
        <f>ROUND(Q26+T26/Раскройка!$F$2,0)</f>
        <v>429</v>
      </c>
      <c r="I26" s="34" t="s">
        <v>41</v>
      </c>
      <c r="J26" s="34">
        <v>2</v>
      </c>
      <c r="K26" s="34" t="s">
        <v>39</v>
      </c>
      <c r="L26" s="34">
        <v>3</v>
      </c>
      <c r="M26" s="34">
        <f>E26*(0.25*(VLOOKUP(I26,Покрытия!$A$2:$B$40,2,FALSE)*J26+VLOOKUP(K26,Покрытия!$A$2:$B$40,2,FALSE)*L26)+H26)</f>
        <v>110.44032</v>
      </c>
      <c r="N26" s="34">
        <v>8</v>
      </c>
      <c r="O26" s="34">
        <f t="shared" ref="O26:O27" si="16">M26*N26</f>
        <v>883.52256</v>
      </c>
      <c r="P26" s="9"/>
      <c r="Q26" s="34">
        <f t="array" ref="Q26">INDEX(Материалы!$C$2:$C$50,MATCH(G26&amp;D26,Материалы!$A$2:$A$50&amp;Материалы!$B$2:$B$50,0))</f>
        <v>390</v>
      </c>
      <c r="R26" s="34">
        <f>FLOOR(Раскройка!$D$2/B26,1)*FLOOR(Раскройка!$C$2/C26,1)</f>
        <v>84</v>
      </c>
      <c r="S26" s="34">
        <f>MAX(Раскройка!$F$2-E26*R26,0)</f>
        <v>0.58527999999999913</v>
      </c>
      <c r="T26" s="34">
        <f t="shared" ref="T26:T27" si="17">Q26*S26</f>
        <v>228.25919999999965</v>
      </c>
      <c r="U26" s="9"/>
      <c r="V26" s="16"/>
    </row>
    <row r="27" spans="1:22" x14ac:dyDescent="0.25">
      <c r="A27" s="34" t="s">
        <v>127</v>
      </c>
      <c r="B27" s="34">
        <v>388</v>
      </c>
      <c r="C27" s="34">
        <v>300</v>
      </c>
      <c r="D27" s="34">
        <v>6</v>
      </c>
      <c r="E27" s="34">
        <f t="shared" si="15"/>
        <v>0.1164</v>
      </c>
      <c r="F27" s="20"/>
      <c r="G27" s="7" t="s">
        <v>3</v>
      </c>
      <c r="H27" s="34">
        <f>ROUND(Q27+T27/Раскройка!$F$2,0)</f>
        <v>120</v>
      </c>
      <c r="I27" s="34" t="s">
        <v>41</v>
      </c>
      <c r="J27" s="34">
        <v>2</v>
      </c>
      <c r="K27" s="34" t="s">
        <v>39</v>
      </c>
      <c r="L27" s="34">
        <v>3</v>
      </c>
      <c r="M27" s="34">
        <f>E27*(0.25*(VLOOKUP(I27,Покрытия!$A$2:$B$40,2,FALSE)*J27+VLOOKUP(K27,Покрытия!$A$2:$B$40,2,FALSE)*L27)+H27)</f>
        <v>171.108</v>
      </c>
      <c r="N27" s="34">
        <v>4</v>
      </c>
      <c r="O27" s="34">
        <f t="shared" si="16"/>
        <v>684.43200000000002</v>
      </c>
      <c r="P27" s="9"/>
      <c r="Q27" s="34">
        <f t="array" ref="Q27">INDEX(Материалы!$C$2:$C$50,MATCH(G27&amp;D27,Материалы!$A$2:$A$50&amp;Материалы!$B$2:$B$50,0))</f>
        <v>104</v>
      </c>
      <c r="R27" s="34">
        <f>FLOOR(Раскройка!$D$2/B27,1)*FLOOR(Раскройка!$C$2/C27,1)</f>
        <v>42</v>
      </c>
      <c r="S27" s="34">
        <f>MAX(Раскройка!$F$2-E27*R27,0)</f>
        <v>0.91120000000000001</v>
      </c>
      <c r="T27" s="34">
        <f t="shared" si="17"/>
        <v>94.764800000000008</v>
      </c>
      <c r="U27" s="9"/>
    </row>
    <row r="28" spans="1:22" x14ac:dyDescent="0.25">
      <c r="A28" s="34" t="s">
        <v>128</v>
      </c>
      <c r="B28" s="34">
        <v>300</v>
      </c>
      <c r="C28" s="34">
        <v>160</v>
      </c>
      <c r="D28" s="34">
        <v>18</v>
      </c>
      <c r="E28" s="34">
        <f t="shared" ref="E28" si="18">B28*C28/1000000</f>
        <v>4.8000000000000001E-2</v>
      </c>
      <c r="F28" s="20"/>
      <c r="G28" s="7" t="s">
        <v>3</v>
      </c>
      <c r="H28" s="34">
        <f>ROUND(Q28+T28/Раскройка!$F$2,0)</f>
        <v>431</v>
      </c>
      <c r="I28" s="34" t="s">
        <v>41</v>
      </c>
      <c r="J28" s="34">
        <v>2</v>
      </c>
      <c r="K28" s="34" t="s">
        <v>39</v>
      </c>
      <c r="L28" s="34">
        <v>3</v>
      </c>
      <c r="M28" s="34">
        <f>E28*(0.25*(VLOOKUP(I28,Покрытия!$A$2:$B$40,2,FALSE)*J28+VLOOKUP(K28,Покрытия!$A$2:$B$40,2,FALSE)*L28)+H28)</f>
        <v>85.488</v>
      </c>
      <c r="N28" s="34">
        <v>8</v>
      </c>
      <c r="O28" s="34">
        <f t="shared" ref="O28" si="19">M28*N28</f>
        <v>683.904</v>
      </c>
      <c r="P28" s="9"/>
      <c r="Q28" s="34">
        <f t="array" ref="Q28">INDEX(Материалы!$C$2:$C$50,MATCH(G28&amp;D28,Материалы!$A$2:$A$50&amp;Материалы!$B$2:$B$50,0))</f>
        <v>390</v>
      </c>
      <c r="R28" s="34">
        <f>FLOOR(Раскройка!$D$2/B28,1)*FLOOR(Раскройка!$C$2/C28,1)</f>
        <v>108</v>
      </c>
      <c r="S28" s="34">
        <f>MAX(Раскройка!$F$2-E28*R28,0)</f>
        <v>0.61599999999999966</v>
      </c>
      <c r="T28" s="34">
        <f t="shared" ref="T28" si="20">Q28*S28</f>
        <v>240.23999999999987</v>
      </c>
      <c r="U28" s="9"/>
    </row>
    <row r="30" spans="1:22" x14ac:dyDescent="0.25">
      <c r="A30" s="27"/>
      <c r="B30" s="27" t="s">
        <v>97</v>
      </c>
      <c r="C30" s="34" t="s">
        <v>98</v>
      </c>
      <c r="D30" s="34" t="s">
        <v>58</v>
      </c>
    </row>
    <row r="31" spans="1:22" x14ac:dyDescent="0.25">
      <c r="A31" s="34" t="s">
        <v>175</v>
      </c>
      <c r="B31" s="34">
        <v>1.55</v>
      </c>
      <c r="C31" s="34">
        <v>316</v>
      </c>
      <c r="D31" s="34">
        <f>B31*C31</f>
        <v>489.8</v>
      </c>
    </row>
    <row r="32" spans="1:22" x14ac:dyDescent="0.25">
      <c r="A32" s="34" t="s">
        <v>105</v>
      </c>
      <c r="B32" s="34">
        <v>1.55</v>
      </c>
      <c r="C32" s="34">
        <v>2002</v>
      </c>
      <c r="D32" s="34">
        <f>B32*C32</f>
        <v>3103.1</v>
      </c>
    </row>
    <row r="34" spans="1:20" x14ac:dyDescent="0.25">
      <c r="A34" s="34" t="s">
        <v>32</v>
      </c>
      <c r="B34" s="34" t="s">
        <v>20</v>
      </c>
      <c r="C34" s="34" t="s">
        <v>19</v>
      </c>
      <c r="D34" s="34" t="s">
        <v>21</v>
      </c>
      <c r="E34" s="34" t="s">
        <v>26</v>
      </c>
      <c r="F34" s="7" t="s">
        <v>22</v>
      </c>
      <c r="G34" s="7" t="s">
        <v>49</v>
      </c>
      <c r="H34" s="34" t="s">
        <v>46</v>
      </c>
      <c r="I34" s="34" t="s">
        <v>35</v>
      </c>
      <c r="J34" s="34" t="s">
        <v>47</v>
      </c>
      <c r="K34" s="34" t="s">
        <v>35</v>
      </c>
      <c r="L34" s="34" t="s">
        <v>47</v>
      </c>
      <c r="M34" s="7" t="s">
        <v>48</v>
      </c>
      <c r="N34" s="34" t="s">
        <v>59</v>
      </c>
      <c r="O34" s="34" t="s">
        <v>58</v>
      </c>
    </row>
    <row r="35" spans="1:20" x14ac:dyDescent="0.25">
      <c r="A35" s="7" t="s">
        <v>129</v>
      </c>
    </row>
    <row r="36" spans="1:20" x14ac:dyDescent="0.25">
      <c r="A36" s="34" t="s">
        <v>3</v>
      </c>
      <c r="B36" s="34">
        <v>180</v>
      </c>
      <c r="C36" s="34">
        <v>125</v>
      </c>
      <c r="D36" s="34">
        <v>12</v>
      </c>
      <c r="F36" s="34">
        <f>B36*C36/1000000</f>
        <v>2.2499999999999999E-2</v>
      </c>
      <c r="G36" s="7" t="s">
        <v>12</v>
      </c>
      <c r="H36" s="34">
        <f>ROUND(Q36+T36/Раскройка!$F$2,0)</f>
        <v>984</v>
      </c>
      <c r="I36" s="34" t="s">
        <v>41</v>
      </c>
      <c r="J36" s="34">
        <v>0</v>
      </c>
      <c r="K36" s="34" t="s">
        <v>39</v>
      </c>
      <c r="L36" s="34">
        <v>0</v>
      </c>
      <c r="M36" s="34">
        <f>F36*(0.25*(VLOOKUP(I36,[2]Покрытия!$A$2:$B$40,2,FALSE)*J36+VLOOKUP(K36,[2]Покрытия!$A$2:$B$40,2,FALSE)*L36)+H36)</f>
        <v>22.14</v>
      </c>
      <c r="N36" s="34">
        <v>2</v>
      </c>
      <c r="O36" s="34">
        <f t="shared" ref="O36:O37" si="21">M36*N36</f>
        <v>44.28</v>
      </c>
      <c r="Q36" s="34">
        <f t="array" ref="Q36">INDEX(Материалы!$C$2:$C$50,MATCH(G36&amp;D36,Материалы!$A$2:$A$50&amp;Материалы!$B$2:$B$50,0))</f>
        <v>492</v>
      </c>
      <c r="R36" s="34">
        <f>FLOOR(Раскройка!$D$2/B36,1)*FLOOR(Раскройка!$C$2/C36,1)</f>
        <v>240</v>
      </c>
      <c r="S36" s="34">
        <f>MAX(Раскройка!$F$2-E36*R36,0)</f>
        <v>5.8</v>
      </c>
      <c r="T36" s="34">
        <f>Q36*S36</f>
        <v>2853.6</v>
      </c>
    </row>
    <row r="37" spans="1:20" x14ac:dyDescent="0.25">
      <c r="A37" s="34" t="s">
        <v>34</v>
      </c>
      <c r="B37" s="34">
        <v>20</v>
      </c>
      <c r="C37" s="34">
        <v>125</v>
      </c>
      <c r="D37" s="34">
        <v>10</v>
      </c>
      <c r="E37" s="34">
        <f>B37*C37*D37/1000000000</f>
        <v>2.5000000000000001E-5</v>
      </c>
      <c r="F37" s="34">
        <f>B37*C37/1000000</f>
        <v>2.5000000000000001E-3</v>
      </c>
      <c r="G37" s="34" t="s">
        <v>13</v>
      </c>
      <c r="H37" s="34">
        <f>ROUND(Q37+T37/Раскройка!$F$11,0)</f>
        <v>46667</v>
      </c>
      <c r="I37" s="34" t="s">
        <v>41</v>
      </c>
      <c r="J37" s="34">
        <v>3</v>
      </c>
      <c r="K37" s="34" t="s">
        <v>39</v>
      </c>
      <c r="L37" s="34">
        <v>2</v>
      </c>
      <c r="M37" s="34">
        <f>E37*H37+0.25*((VLOOKUP(I37,[2]Покрытия!$A$2:$B$50,2,FALSE)*J37+VLOOKUP(K37,[2]Покрытия!$A$2:$B$50,2,FALSE)*L37)*F37)</f>
        <v>4.3541749999999997</v>
      </c>
      <c r="N37" s="34">
        <v>2</v>
      </c>
      <c r="O37" s="34">
        <f t="shared" si="21"/>
        <v>8.7083499999999994</v>
      </c>
      <c r="Q37" s="34">
        <f t="array" ref="Q37">INDEX(Материалы!$C$2:$C$50,MATCH(G37,Материалы!$A$2:$A$50,0))</f>
        <v>28000</v>
      </c>
      <c r="R37" s="34">
        <f>FLOOR(Раскройка!$C$11/C37,1)*FLOOR(Раскройка!$D$11/B37,1)</f>
        <v>300</v>
      </c>
      <c r="S37" s="34">
        <f>MAX(Раскройка!$F$11-E37*R37,0)</f>
        <v>1.4999999999999999E-2</v>
      </c>
      <c r="T37" s="34">
        <f>Q37*S37</f>
        <v>420</v>
      </c>
    </row>
    <row r="38" spans="1:20" x14ac:dyDescent="0.25">
      <c r="A38" s="34" t="s">
        <v>82</v>
      </c>
      <c r="B38" s="34">
        <v>2390</v>
      </c>
      <c r="C38" s="34">
        <v>125</v>
      </c>
      <c r="D38" s="34">
        <v>10</v>
      </c>
      <c r="E38" s="34">
        <f>B38*C38*D38/1000000000</f>
        <v>2.9875000000000001E-3</v>
      </c>
      <c r="F38" s="34">
        <f>B38*C38/1000000</f>
        <v>0.29875000000000002</v>
      </c>
      <c r="G38" s="34" t="s">
        <v>13</v>
      </c>
      <c r="H38" s="34">
        <f>ROUND(Q38+T38/Раскройка!$F$11,0)</f>
        <v>48564</v>
      </c>
      <c r="I38" s="34" t="s">
        <v>41</v>
      </c>
      <c r="J38" s="34">
        <v>3</v>
      </c>
      <c r="K38" s="34" t="s">
        <v>39</v>
      </c>
      <c r="L38" s="34">
        <v>2</v>
      </c>
      <c r="M38" s="34">
        <f>E38*H38+0.25*((VLOOKUP(I38,[2]Покрытия!$A$2:$B$50,2,FALSE)*J38+VLOOKUP(K38,[2]Покрытия!$A$2:$B$50,2,FALSE)*L38)*F38)</f>
        <v>525.99120000000005</v>
      </c>
      <c r="N38" s="34">
        <v>2</v>
      </c>
      <c r="O38" s="34">
        <f>M38*N38</f>
        <v>1051.9824000000001</v>
      </c>
      <c r="Q38" s="34">
        <f t="array" ref="Q38">INDEX(Материалы!$C$2:$C$50,MATCH(G38,Материалы!$A$2:$A$50,0))</f>
        <v>28000</v>
      </c>
      <c r="R38" s="34">
        <f>FLOOR(Раскройка!$C$11/C38,1)*FLOOR(Раскройка!$D$11/B38,1)</f>
        <v>2</v>
      </c>
      <c r="S38" s="34">
        <f>MAX(Раскройка!$F$11-E38*R38,0)</f>
        <v>1.6524999999999998E-2</v>
      </c>
      <c r="T38" s="34">
        <f>Q38*S38</f>
        <v>462.69999999999993</v>
      </c>
    </row>
    <row r="39" spans="1:20" x14ac:dyDescent="0.25">
      <c r="A39" s="34" t="s">
        <v>81</v>
      </c>
      <c r="B39" s="34">
        <v>1645</v>
      </c>
      <c r="C39" s="34">
        <v>125</v>
      </c>
      <c r="D39" s="34">
        <v>10</v>
      </c>
      <c r="E39" s="34">
        <f>B39*C39*D39/1000000000</f>
        <v>2.0562499999999999E-3</v>
      </c>
      <c r="F39" s="34">
        <f>B39*C39/1000000</f>
        <v>0.205625</v>
      </c>
      <c r="G39" s="34" t="s">
        <v>13</v>
      </c>
      <c r="H39" s="34">
        <f>ROUND(Q39+T39/Раскройка!$F$11,0)</f>
        <v>50882</v>
      </c>
      <c r="I39" s="34" t="s">
        <v>41</v>
      </c>
      <c r="J39" s="34">
        <v>3</v>
      </c>
      <c r="K39" s="34" t="s">
        <v>39</v>
      </c>
      <c r="L39" s="34">
        <v>2</v>
      </c>
      <c r="M39" s="34">
        <f>E39*H39+0.25*((VLOOKUP(I39,[2]Покрытия!$A$2:$B$50,2,FALSE)*J39+VLOOKUP(K39,[2]Покрытия!$A$2:$B$50,2,FALSE)*L39)*F39)</f>
        <v>366.79798749999998</v>
      </c>
      <c r="N39" s="34">
        <v>1</v>
      </c>
      <c r="O39" s="34">
        <f>M39*N39</f>
        <v>366.79798749999998</v>
      </c>
      <c r="Q39" s="34">
        <f t="array" ref="Q39">INDEX(Материалы!$C$2:$C$50,MATCH(G39,Материалы!$A$2:$A$50,0))</f>
        <v>28000</v>
      </c>
      <c r="R39" s="34">
        <f>FLOOR(Раскройка!$C$11/C39,1)*FLOOR(Раскройка!$D$11/B39,1)</f>
        <v>2</v>
      </c>
      <c r="S39" s="34">
        <f>MAX(Раскройка!$F$11-E39*R39,0)</f>
        <v>1.8387500000000001E-2</v>
      </c>
      <c r="T39" s="34">
        <f>Q39*S39</f>
        <v>514.85</v>
      </c>
    </row>
  </sheetData>
  <mergeCells count="1">
    <mergeCell ref="E2:E3"/>
  </mergeCells>
  <pageMargins left="0.7" right="0.7" top="0.75" bottom="0.75" header="0.3" footer="0.3"/>
  <pageSetup paperSize="9" scale="69" fitToHeight="0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48"/>
  <sheetViews>
    <sheetView workbookViewId="0">
      <selection activeCell="A20" sqref="A20:D21"/>
    </sheetView>
  </sheetViews>
  <sheetFormatPr defaultRowHeight="15" x14ac:dyDescent="0.25"/>
  <cols>
    <col min="1" max="1" width="26.140625" customWidth="1"/>
    <col min="7" max="7" width="15.140625" customWidth="1"/>
    <col min="8" max="8" width="16.85546875" customWidth="1"/>
    <col min="10" max="10" width="12.7109375" customWidth="1"/>
    <col min="12" max="12" width="13.5703125" customWidth="1"/>
    <col min="13" max="14" width="16" customWidth="1"/>
    <col min="17" max="20" width="0" hidden="1" customWidth="1"/>
  </cols>
  <sheetData>
    <row r="1" spans="1:22" x14ac:dyDescent="0.25">
      <c r="A1" s="41" t="s">
        <v>92</v>
      </c>
      <c r="B1" s="34" t="s">
        <v>91</v>
      </c>
      <c r="C1" s="34" t="s">
        <v>61</v>
      </c>
      <c r="D1" s="34" t="s">
        <v>58</v>
      </c>
    </row>
    <row r="2" spans="1:22" x14ac:dyDescent="0.25">
      <c r="A2" s="35" t="s">
        <v>133</v>
      </c>
      <c r="B2" s="40">
        <v>1</v>
      </c>
      <c r="C2" s="34">
        <f>ROUND(SUM(O7:O19)+D21,0)</f>
        <v>3187</v>
      </c>
      <c r="D2" s="34">
        <f>C2*B2</f>
        <v>3187</v>
      </c>
      <c r="E2" s="91">
        <f>D2+D3+D4</f>
        <v>13165</v>
      </c>
    </row>
    <row r="3" spans="1:22" x14ac:dyDescent="0.25">
      <c r="A3" s="35" t="s">
        <v>134</v>
      </c>
      <c r="B3" s="40">
        <v>1</v>
      </c>
      <c r="C3" s="34">
        <f>ROUND(SUM(O23:O35)+D37,0)</f>
        <v>2958</v>
      </c>
      <c r="D3" s="34">
        <f>C3*B3</f>
        <v>2958</v>
      </c>
      <c r="E3" s="91"/>
    </row>
    <row r="4" spans="1:22" x14ac:dyDescent="0.25">
      <c r="A4" s="35" t="s">
        <v>135</v>
      </c>
      <c r="B4" s="42">
        <v>2</v>
      </c>
      <c r="C4" s="34">
        <f>ROUND(SUM(O39:O46)+D48,0)</f>
        <v>3510</v>
      </c>
      <c r="D4" s="34">
        <f>C4*B4</f>
        <v>7020</v>
      </c>
      <c r="E4" s="91"/>
    </row>
    <row r="6" spans="1:22" x14ac:dyDescent="0.25">
      <c r="A6" s="34" t="s">
        <v>32</v>
      </c>
      <c r="B6" s="34" t="s">
        <v>20</v>
      </c>
      <c r="C6" s="34" t="s">
        <v>19</v>
      </c>
      <c r="D6" s="34" t="s">
        <v>21</v>
      </c>
      <c r="E6" s="34" t="s">
        <v>22</v>
      </c>
      <c r="F6" s="7" t="s">
        <v>26</v>
      </c>
      <c r="G6" s="7" t="s">
        <v>49</v>
      </c>
      <c r="H6" s="34" t="s">
        <v>46</v>
      </c>
      <c r="I6" s="34" t="s">
        <v>35</v>
      </c>
      <c r="J6" s="34" t="s">
        <v>47</v>
      </c>
      <c r="K6" s="34" t="s">
        <v>35</v>
      </c>
      <c r="L6" s="34" t="s">
        <v>47</v>
      </c>
      <c r="M6" s="7" t="s">
        <v>48</v>
      </c>
      <c r="N6" s="34" t="s">
        <v>59</v>
      </c>
      <c r="O6" s="34" t="s">
        <v>58</v>
      </c>
      <c r="P6" s="9"/>
      <c r="Q6" s="7" t="s">
        <v>50</v>
      </c>
      <c r="R6" s="7" t="s">
        <v>53</v>
      </c>
      <c r="S6" s="7" t="s">
        <v>51</v>
      </c>
      <c r="T6" s="7" t="s">
        <v>52</v>
      </c>
      <c r="U6" s="9"/>
    </row>
    <row r="7" spans="1:22" x14ac:dyDescent="0.25">
      <c r="A7" s="34" t="s">
        <v>57</v>
      </c>
      <c r="B7" s="34">
        <v>920</v>
      </c>
      <c r="C7" s="34">
        <v>510</v>
      </c>
      <c r="D7" s="34">
        <v>6</v>
      </c>
      <c r="E7" s="34">
        <f t="shared" ref="E7:E9" si="0">B7*C7/1000000</f>
        <v>0.46920000000000001</v>
      </c>
      <c r="F7" s="20"/>
      <c r="G7" s="7" t="s">
        <v>3</v>
      </c>
      <c r="H7" s="34">
        <f>ROUND(Q7+T7/Раскройка!$F$2,0)</f>
        <v>107</v>
      </c>
      <c r="I7" s="34" t="s">
        <v>41</v>
      </c>
      <c r="J7" s="34">
        <v>2</v>
      </c>
      <c r="K7" s="34" t="s">
        <v>39</v>
      </c>
      <c r="L7" s="34">
        <v>3</v>
      </c>
      <c r="M7" s="34">
        <f>E7*(0.25*(VLOOKUP(I7,Покрытия!$A$2:$B$40,2,FALSE)*J7+VLOOKUP(K7,Покрытия!$A$2:$B$40,2,FALSE)*L7)+H7)</f>
        <v>683.62440000000004</v>
      </c>
      <c r="N7" s="34">
        <v>1</v>
      </c>
      <c r="O7" s="34">
        <f t="shared" ref="O7:O9" si="1">M7*N7</f>
        <v>683.62440000000004</v>
      </c>
      <c r="P7" s="9"/>
      <c r="Q7" s="34">
        <f t="array" ref="Q7">INDEX(Материалы!$C$2:$C$50,MATCH(G7&amp;D7,Материалы!$A$2:$A$50&amp;Материалы!$B$2:$B$50,0))</f>
        <v>104</v>
      </c>
      <c r="R7" s="34">
        <f>FLOOR(Раскройка!$D$2/B7,1)*FLOOR(Раскройка!$C$2/C7,1)</f>
        <v>12</v>
      </c>
      <c r="S7" s="34">
        <f>MAX(Раскройка!$F$2-E7*R7,0)</f>
        <v>0.16959999999999997</v>
      </c>
      <c r="T7" s="34">
        <f t="shared" ref="T7:T9" si="2">Q7*S7</f>
        <v>17.638399999999997</v>
      </c>
      <c r="U7" s="9"/>
      <c r="V7" s="16"/>
    </row>
    <row r="8" spans="1:22" x14ac:dyDescent="0.25">
      <c r="A8" s="34" t="s">
        <v>131</v>
      </c>
      <c r="B8" s="34">
        <v>510</v>
      </c>
      <c r="C8" s="34">
        <v>80</v>
      </c>
      <c r="D8" s="34">
        <v>16</v>
      </c>
      <c r="E8" s="34">
        <f t="shared" si="0"/>
        <v>4.0800000000000003E-2</v>
      </c>
      <c r="F8" s="20"/>
      <c r="G8" s="7" t="s">
        <v>3</v>
      </c>
      <c r="H8" s="34">
        <f>ROUND(Q8+T8/Раскройка!$F$2,0)</f>
        <v>370</v>
      </c>
      <c r="I8" s="34" t="s">
        <v>41</v>
      </c>
      <c r="J8" s="34">
        <v>2</v>
      </c>
      <c r="K8" s="34" t="s">
        <v>39</v>
      </c>
      <c r="L8" s="34">
        <v>3</v>
      </c>
      <c r="M8" s="34">
        <f>E8*(0.25*(VLOOKUP(I8,Покрытия!$A$2:$B$40,2,FALSE)*J8+VLOOKUP(K8,Покрытия!$A$2:$B$40,2,FALSE)*L8)+H8)</f>
        <v>70.176000000000002</v>
      </c>
      <c r="N8" s="34">
        <v>2</v>
      </c>
      <c r="O8" s="34">
        <f t="shared" si="1"/>
        <v>140.352</v>
      </c>
      <c r="P8" s="9"/>
      <c r="Q8" s="34">
        <f t="array" ref="Q8">INDEX(Материалы!$C$2:$C$50,MATCH(G8&amp;D8,Материалы!$A$2:$A$50&amp;Материалы!$B$2:$B$50,0))</f>
        <v>330</v>
      </c>
      <c r="R8" s="34">
        <f>FLOOR(Раскройка!$D$2/B8,1)*FLOOR(Раскройка!$C$2/C8,1)</f>
        <v>125</v>
      </c>
      <c r="S8" s="34">
        <f>MAX(Раскройка!$F$2-E8*R8,0)</f>
        <v>0.69999999999999929</v>
      </c>
      <c r="T8" s="34">
        <f t="shared" si="2"/>
        <v>230.99999999999977</v>
      </c>
      <c r="U8" s="9"/>
    </row>
    <row r="9" spans="1:22" x14ac:dyDescent="0.25">
      <c r="A9" s="34" t="s">
        <v>132</v>
      </c>
      <c r="B9" s="34">
        <v>920</v>
      </c>
      <c r="C9" s="34">
        <v>80</v>
      </c>
      <c r="D9" s="34">
        <v>16</v>
      </c>
      <c r="E9" s="34">
        <f t="shared" si="0"/>
        <v>7.3599999999999999E-2</v>
      </c>
      <c r="F9" s="20"/>
      <c r="G9" s="7" t="s">
        <v>3</v>
      </c>
      <c r="H9" s="34">
        <f>ROUND(Q9+T9/Раскройка!$F$2,0)</f>
        <v>346</v>
      </c>
      <c r="I9" s="34" t="s">
        <v>41</v>
      </c>
      <c r="J9" s="34">
        <v>2</v>
      </c>
      <c r="K9" s="34" t="s">
        <v>39</v>
      </c>
      <c r="L9" s="34">
        <v>3</v>
      </c>
      <c r="M9" s="34">
        <f>E9*(0.25*(VLOOKUP(I9,Покрытия!$A$2:$B$40,2,FALSE)*J9+VLOOKUP(K9,Покрытия!$A$2:$B$40,2,FALSE)*L9)+H9)</f>
        <v>124.82559999999999</v>
      </c>
      <c r="N9" s="34">
        <v>2</v>
      </c>
      <c r="O9" s="34">
        <f t="shared" si="1"/>
        <v>249.65119999999999</v>
      </c>
      <c r="P9" s="9"/>
      <c r="Q9" s="34">
        <f t="array" ref="Q9">INDEX(Материалы!$C$2:$C$50,MATCH(G9&amp;D9,Материалы!$A$2:$A$50&amp;Материалы!$B$2:$B$50,0))</f>
        <v>330</v>
      </c>
      <c r="R9" s="34">
        <f>FLOOR(Раскройка!$D$2/B9,1)*FLOOR(Раскройка!$C$2/C9,1)</f>
        <v>75</v>
      </c>
      <c r="S9" s="34">
        <f>MAX(Раскройка!$F$2-E9*R9,0)</f>
        <v>0.28000000000000025</v>
      </c>
      <c r="T9" s="34">
        <f t="shared" si="2"/>
        <v>92.400000000000077</v>
      </c>
      <c r="U9" s="9"/>
    </row>
    <row r="10" spans="1:22" x14ac:dyDescent="0.25">
      <c r="A10" s="34" t="s">
        <v>125</v>
      </c>
      <c r="B10" s="34">
        <v>510</v>
      </c>
      <c r="C10" s="34">
        <v>37</v>
      </c>
      <c r="D10" s="34">
        <v>9</v>
      </c>
      <c r="E10" s="34">
        <f>B10*C10*D10/1000000000</f>
        <v>1.6982999999999999E-4</v>
      </c>
      <c r="F10" s="34">
        <f>B10*C10/1000000</f>
        <v>1.8870000000000001E-2</v>
      </c>
      <c r="G10" s="34" t="s">
        <v>15</v>
      </c>
      <c r="H10" s="34">
        <f>ROUND(Q10+T10/Раскройка!$F$11,0)</f>
        <v>54339</v>
      </c>
      <c r="I10" s="34" t="s">
        <v>41</v>
      </c>
      <c r="J10" s="34">
        <v>2</v>
      </c>
      <c r="K10" s="34" t="s">
        <v>39</v>
      </c>
      <c r="L10" s="34">
        <v>3</v>
      </c>
      <c r="M10" s="34">
        <f>E10*H10+0.25*((VLOOKUP(I10,Покрытия!$A$2:$B$50,2,FALSE)*J10+VLOOKUP(K10,Покрытия!$A$2:$B$50,2,FALSE)*L10)*F10)</f>
        <v>34.702892370000001</v>
      </c>
      <c r="N10" s="34">
        <v>2</v>
      </c>
      <c r="O10" s="34">
        <f>M10*N10</f>
        <v>69.405784740000001</v>
      </c>
      <c r="P10" s="9"/>
      <c r="Q10" s="34">
        <f t="array" ref="Q10">INDEX(Материалы!$C$2:$C$50,MATCH(G10,Материалы!$A$2:$A$50,0))</f>
        <v>32000</v>
      </c>
      <c r="R10" s="34">
        <f>FLOOR(Раскройка!$C$11/C10,1)*FLOOR(Раскройка!$D$11/B10,1)</f>
        <v>40</v>
      </c>
      <c r="S10" s="34">
        <f>MAX(Раскройка!$F$11-E10*R10,0)</f>
        <v>1.57068E-2</v>
      </c>
      <c r="T10" s="34">
        <f>Q10*S10</f>
        <v>502.61759999999998</v>
      </c>
      <c r="U10" s="9"/>
    </row>
    <row r="11" spans="1:22" x14ac:dyDescent="0.25">
      <c r="A11" s="34" t="s">
        <v>124</v>
      </c>
      <c r="B11" s="34">
        <v>920</v>
      </c>
      <c r="C11" s="34">
        <v>37</v>
      </c>
      <c r="D11" s="34">
        <v>9</v>
      </c>
      <c r="E11" s="34">
        <f>B11*C11*D11/1000000000</f>
        <v>3.0635999999999999E-4</v>
      </c>
      <c r="F11" s="34">
        <f>B11*C11/1000000</f>
        <v>3.4040000000000001E-2</v>
      </c>
      <c r="G11" s="34" t="s">
        <v>15</v>
      </c>
      <c r="H11" s="34">
        <f>ROUND(Q11+T11/Раскройка!$F$11,0)</f>
        <v>53543</v>
      </c>
      <c r="I11" s="34" t="s">
        <v>41</v>
      </c>
      <c r="J11" s="34">
        <v>2</v>
      </c>
      <c r="K11" s="34" t="s">
        <v>39</v>
      </c>
      <c r="L11" s="34">
        <v>3</v>
      </c>
      <c r="M11" s="34">
        <f>E11*H11+0.25*((VLOOKUP(I11,Покрытия!$A$2:$B$50,2,FALSE)*J11+VLOOKUP(K11,Покрытия!$A$2:$B$50,2,FALSE)*L11)*F11)</f>
        <v>62.357433479999997</v>
      </c>
      <c r="N11" s="34">
        <v>2</v>
      </c>
      <c r="O11" s="34">
        <f>M11*N11</f>
        <v>124.71486695999999</v>
      </c>
      <c r="P11" s="9"/>
      <c r="Q11" s="34">
        <f t="array" ref="Q11">INDEX(Материалы!$C$2:$C$50,MATCH(G11,Материалы!$A$2:$A$50,0))</f>
        <v>32000</v>
      </c>
      <c r="R11" s="34">
        <f>FLOOR(Раскройка!$C$11/C11,1)*FLOOR(Раскройка!$D$11/B11,1)</f>
        <v>24</v>
      </c>
      <c r="S11" s="34">
        <f>MAX(Раскройка!$F$11-E11*R11,0)</f>
        <v>1.5147359999999999E-2</v>
      </c>
      <c r="T11" s="34">
        <f>Q11*S11</f>
        <v>484.71551999999997</v>
      </c>
      <c r="U11" s="9"/>
    </row>
    <row r="12" spans="1:22" x14ac:dyDescent="0.25">
      <c r="A12" s="34" t="s">
        <v>125</v>
      </c>
      <c r="B12" s="34">
        <v>510</v>
      </c>
      <c r="C12" s="34">
        <v>23</v>
      </c>
      <c r="D12" s="34">
        <v>9</v>
      </c>
      <c r="E12" s="34">
        <f>B12*C12*D12/1000000000</f>
        <v>1.0556999999999999E-4</v>
      </c>
      <c r="F12" s="34">
        <f>B12*C12/1000000</f>
        <v>1.1730000000000001E-2</v>
      </c>
      <c r="G12" s="34" t="s">
        <v>15</v>
      </c>
      <c r="H12" s="34">
        <f>ROUND(Q12+T12/Раскройка!$F$11,0)</f>
        <v>54241</v>
      </c>
      <c r="I12" s="34" t="s">
        <v>41</v>
      </c>
      <c r="J12" s="34">
        <v>2</v>
      </c>
      <c r="K12" s="34" t="s">
        <v>39</v>
      </c>
      <c r="L12" s="34">
        <v>3</v>
      </c>
      <c r="M12" s="34">
        <f>E12*H12+0.25*((VLOOKUP(I12,Покрытия!$A$2:$B$50,2,FALSE)*J12+VLOOKUP(K12,Покрытия!$A$2:$B$50,2,FALSE)*L12)*F12)</f>
        <v>21.561722370000002</v>
      </c>
      <c r="N12" s="34">
        <v>2</v>
      </c>
      <c r="O12" s="34">
        <f>M12*N12</f>
        <v>43.123444740000004</v>
      </c>
      <c r="P12" s="9"/>
      <c r="Q12" s="34">
        <f t="array" ref="Q12">INDEX(Материалы!$C$2:$C$50,MATCH(G12,Материалы!$A$2:$A$50,0))</f>
        <v>32000</v>
      </c>
      <c r="R12" s="34">
        <f>FLOOR(Раскройка!$C$11/C12,1)*FLOOR(Раскройка!$D$11/B12,1)</f>
        <v>65</v>
      </c>
      <c r="S12" s="34">
        <f>MAX(Раскройка!$F$11-E12*R12,0)</f>
        <v>1.5637949999999998E-2</v>
      </c>
      <c r="T12" s="34">
        <f>Q12*S12</f>
        <v>500.41439999999994</v>
      </c>
      <c r="U12" s="9"/>
    </row>
    <row r="13" spans="1:22" x14ac:dyDescent="0.25">
      <c r="A13" s="34" t="s">
        <v>124</v>
      </c>
      <c r="B13" s="34">
        <v>920</v>
      </c>
      <c r="C13" s="34">
        <v>23</v>
      </c>
      <c r="D13" s="34">
        <v>9</v>
      </c>
      <c r="E13" s="34">
        <f>B13*C13*D13/1000000000</f>
        <v>1.9044E-4</v>
      </c>
      <c r="F13" s="34">
        <f>B13*C13/1000000</f>
        <v>2.1160000000000002E-2</v>
      </c>
      <c r="G13" s="34" t="s">
        <v>15</v>
      </c>
      <c r="H13" s="34">
        <f>ROUND(Q13+T13/Раскройка!$F$11,0)</f>
        <v>53437</v>
      </c>
      <c r="I13" s="34" t="s">
        <v>41</v>
      </c>
      <c r="J13" s="34">
        <v>2</v>
      </c>
      <c r="K13" s="34" t="s">
        <v>39</v>
      </c>
      <c r="L13" s="34">
        <v>3</v>
      </c>
      <c r="M13" s="34">
        <f>E13*H13+0.25*((VLOOKUP(I13,Покрытия!$A$2:$B$50,2,FALSE)*J13+VLOOKUP(K13,Покрытия!$A$2:$B$50,2,FALSE)*L13)*F13)</f>
        <v>38.742542280000002</v>
      </c>
      <c r="N13" s="34">
        <v>2</v>
      </c>
      <c r="O13" s="34">
        <f>M13*N13</f>
        <v>77.485084560000004</v>
      </c>
      <c r="P13" s="9"/>
      <c r="Q13" s="34">
        <f t="array" ref="Q13">INDEX(Материалы!$C$2:$C$50,MATCH(G13,Материалы!$A$2:$A$50,0))</f>
        <v>32000</v>
      </c>
      <c r="R13" s="34">
        <f>FLOOR(Раскройка!$C$11/C13,1)*FLOOR(Раскройка!$D$11/B13,1)</f>
        <v>39</v>
      </c>
      <c r="S13" s="34">
        <f>MAX(Раскройка!$F$11-E13*R13,0)</f>
        <v>1.5072839999999999E-2</v>
      </c>
      <c r="T13" s="34">
        <f>Q13*S13</f>
        <v>482.33087999999998</v>
      </c>
      <c r="U13" s="9"/>
    </row>
    <row r="15" spans="1:22" x14ac:dyDescent="0.25">
      <c r="A15" s="34" t="s">
        <v>111</v>
      </c>
      <c r="B15" s="34">
        <v>710</v>
      </c>
      <c r="C15" s="34">
        <v>50</v>
      </c>
      <c r="D15" s="34">
        <v>19</v>
      </c>
      <c r="E15" s="34">
        <f t="shared" ref="E15" si="3">B15*C15/1000000</f>
        <v>3.5499999999999997E-2</v>
      </c>
      <c r="F15" s="20"/>
      <c r="G15" s="7" t="s">
        <v>12</v>
      </c>
      <c r="H15" s="34">
        <f>ROUND(Q15+T15/Раскройка!$F$2,0)</f>
        <v>915</v>
      </c>
      <c r="I15" s="34" t="s">
        <v>41</v>
      </c>
      <c r="J15" s="34">
        <v>2</v>
      </c>
      <c r="K15" s="34" t="s">
        <v>39</v>
      </c>
      <c r="L15" s="34">
        <v>3</v>
      </c>
      <c r="M15" s="34">
        <f>E15*(0.25*(VLOOKUP(I15,Покрытия!$A$2:$B$40,2,FALSE)*J15+VLOOKUP(K15,Покрытия!$A$2:$B$40,2,FALSE)*L15)+H15)</f>
        <v>80.407499999999999</v>
      </c>
      <c r="N15" s="34">
        <v>2</v>
      </c>
      <c r="O15" s="34">
        <f t="shared" ref="O15" si="4">M15*N15</f>
        <v>160.815</v>
      </c>
      <c r="P15" s="9"/>
      <c r="Q15" s="34">
        <f t="array" ref="Q15">INDEX(Материалы!$C$2:$C$50,MATCH(G15&amp;D15,Материалы!$A$2:$A$50&amp;Материалы!$B$2:$B$50,0))</f>
        <v>734</v>
      </c>
      <c r="R15" s="34">
        <f>FLOOR(Раскройка!$D$2/B15,1)*FLOOR(Раскройка!$C$2/C15,1)</f>
        <v>123</v>
      </c>
      <c r="S15" s="34">
        <f>MAX(Раскройка!$F$2-E15*R15,0)</f>
        <v>1.4335000000000004</v>
      </c>
      <c r="T15" s="34">
        <f t="shared" ref="T15" si="5">Q15*S15</f>
        <v>1052.1890000000003</v>
      </c>
      <c r="U15" s="9"/>
    </row>
    <row r="16" spans="1:22" x14ac:dyDescent="0.25">
      <c r="A16" s="34" t="s">
        <v>112</v>
      </c>
      <c r="B16" s="34">
        <v>1045</v>
      </c>
      <c r="C16" s="34">
        <v>50</v>
      </c>
      <c r="D16" s="34">
        <v>19</v>
      </c>
      <c r="E16" s="34">
        <f>B16*C16/1000000</f>
        <v>5.2249999999999998E-2</v>
      </c>
      <c r="F16" s="20"/>
      <c r="G16" s="7" t="s">
        <v>12</v>
      </c>
      <c r="H16" s="34">
        <f>ROUND(Q16+T16/Раскройка!$F$2,0)</f>
        <v>926</v>
      </c>
      <c r="I16" s="34" t="s">
        <v>41</v>
      </c>
      <c r="J16" s="34">
        <v>2</v>
      </c>
      <c r="K16" s="34" t="s">
        <v>39</v>
      </c>
      <c r="L16" s="34">
        <v>3</v>
      </c>
      <c r="M16" s="34">
        <f>E16*(0.25*(VLOOKUP(I16,Покрытия!$A$2:$B$40,2,FALSE)*J16+VLOOKUP(K16,Покрытия!$A$2:$B$40,2,FALSE)*L16)+H16)</f>
        <v>118.92099999999999</v>
      </c>
      <c r="N16" s="34">
        <v>1</v>
      </c>
      <c r="O16" s="34">
        <f>M16*N16</f>
        <v>118.92099999999999</v>
      </c>
      <c r="P16" s="9"/>
      <c r="Q16" s="34">
        <f t="array" ref="Q16">INDEX(Материалы!$C$2:$C$50,MATCH(G16&amp;D16,Материалы!$A$2:$A$50&amp;Материалы!$B$2:$B$50,0))</f>
        <v>734</v>
      </c>
      <c r="R16" s="34">
        <f>FLOOR(Раскройка!$D$2/B16,1)*FLOOR(Раскройка!$C$2/C16,1)</f>
        <v>82</v>
      </c>
      <c r="S16" s="34">
        <f>MAX(Раскройка!$F$2-E16*R16,0)</f>
        <v>1.5155000000000003</v>
      </c>
      <c r="T16" s="34">
        <f>Q16*S16</f>
        <v>1112.3770000000002</v>
      </c>
    </row>
    <row r="17" spans="1:23" x14ac:dyDescent="0.25">
      <c r="A17" s="34" t="s">
        <v>112</v>
      </c>
      <c r="B17" s="34">
        <v>1045</v>
      </c>
      <c r="C17" s="34">
        <v>250</v>
      </c>
      <c r="D17" s="34">
        <v>19</v>
      </c>
      <c r="E17" s="34">
        <f>B17*C17/1000000</f>
        <v>0.26124999999999998</v>
      </c>
      <c r="F17" s="20"/>
      <c r="G17" s="7" t="s">
        <v>12</v>
      </c>
      <c r="H17" s="34">
        <f>ROUND(Q17+T17/Раскройка!$F$2,0)</f>
        <v>939</v>
      </c>
      <c r="I17" s="34" t="s">
        <v>41</v>
      </c>
      <c r="J17" s="34">
        <v>2</v>
      </c>
      <c r="K17" s="34" t="s">
        <v>39</v>
      </c>
      <c r="L17" s="34">
        <v>3</v>
      </c>
      <c r="M17" s="34">
        <f>E17*(0.25*(VLOOKUP(I17,Покрытия!$A$2:$B$40,2,FALSE)*J17+VLOOKUP(K17,Покрытия!$A$2:$B$40,2,FALSE)*L17)+H17)</f>
        <v>598.00124999999991</v>
      </c>
      <c r="N17" s="34">
        <v>1</v>
      </c>
      <c r="O17" s="34">
        <f>M17*N17</f>
        <v>598.00124999999991</v>
      </c>
      <c r="P17" s="9"/>
      <c r="Q17" s="34">
        <f t="array" ref="Q17">INDEX(Материалы!$C$2:$C$50,MATCH(G17&amp;D17,Материалы!$A$2:$A$50&amp;Материалы!$B$2:$B$50,0))</f>
        <v>734</v>
      </c>
      <c r="R17" s="34">
        <f>FLOOR(Раскройка!$D$2/B17,1)*FLOOR(Раскройка!$C$2/C17,1)</f>
        <v>16</v>
      </c>
      <c r="S17" s="34">
        <f>MAX(Раскройка!$F$2-E17*R17,0)</f>
        <v>1.62</v>
      </c>
      <c r="T17" s="34">
        <f>Q17*S17</f>
        <v>1189.0800000000002</v>
      </c>
      <c r="U17" s="9"/>
    </row>
    <row r="18" spans="1:23" x14ac:dyDescent="0.25">
      <c r="A18" s="34" t="s">
        <v>130</v>
      </c>
      <c r="B18" s="34">
        <v>710</v>
      </c>
      <c r="C18" s="34">
        <v>30</v>
      </c>
      <c r="D18" s="34">
        <v>30</v>
      </c>
      <c r="E18" s="34">
        <f>B18*C18*D18/1000000000</f>
        <v>6.3900000000000003E-4</v>
      </c>
      <c r="F18" s="34">
        <f>B18*C18/1000000</f>
        <v>2.1299999999999999E-2</v>
      </c>
      <c r="G18" s="34" t="s">
        <v>9</v>
      </c>
      <c r="H18" s="34">
        <f>ROUND(Q18+T18/Раскройка!$F$11,0)</f>
        <v>15000</v>
      </c>
      <c r="I18" s="34" t="s">
        <v>41</v>
      </c>
      <c r="J18" s="34">
        <v>0</v>
      </c>
      <c r="K18" s="34" t="s">
        <v>39</v>
      </c>
      <c r="L18" s="34">
        <v>0</v>
      </c>
      <c r="M18" s="34">
        <f>E18*H18+0.25*((VLOOKUP(I18,Покрытия!$A$2:$B$50,2,FALSE)*J18+VLOOKUP(K18,Покрытия!$A$2:$B$50,2,FALSE)*L18)*F18)</f>
        <v>9.5850000000000009</v>
      </c>
      <c r="N18" s="34">
        <v>2</v>
      </c>
      <c r="O18" s="34">
        <f>M18*N18</f>
        <v>19.170000000000002</v>
      </c>
      <c r="P18" s="9"/>
      <c r="Q18" s="34">
        <f t="array" ref="Q18">INDEX(Материалы!$C$2:$C$50,MATCH(G18,Материалы!$A$2:$A$50,0))</f>
        <v>15000</v>
      </c>
      <c r="R18" s="34">
        <f>FLOOR(Раскройка!$C$11/C18,1)*FLOOR(Раскройка!$D$11/B18,1)</f>
        <v>40</v>
      </c>
      <c r="S18" s="34">
        <f>MAX(Раскройка!$F$11-E18*R18,0)</f>
        <v>0</v>
      </c>
      <c r="T18" s="34">
        <f>Q18*S18</f>
        <v>0</v>
      </c>
      <c r="U18" s="9"/>
    </row>
    <row r="19" spans="1:23" x14ac:dyDescent="0.25">
      <c r="A19" s="34" t="s">
        <v>118</v>
      </c>
      <c r="B19" s="34">
        <v>1145</v>
      </c>
      <c r="C19" s="34">
        <v>74</v>
      </c>
      <c r="D19" s="34">
        <v>18</v>
      </c>
      <c r="E19" s="34">
        <f>B19*C19/1000000</f>
        <v>8.473E-2</v>
      </c>
      <c r="F19" s="20"/>
      <c r="G19" s="7" t="s">
        <v>3</v>
      </c>
      <c r="H19" s="34">
        <f>ROUND(Q19+T19/Раскройка!$F$2,0)</f>
        <v>472</v>
      </c>
      <c r="I19" s="34" t="s">
        <v>41</v>
      </c>
      <c r="J19" s="34">
        <v>2</v>
      </c>
      <c r="K19" s="34" t="s">
        <v>39</v>
      </c>
      <c r="L19" s="34">
        <v>3</v>
      </c>
      <c r="M19" s="34">
        <f>E19*(0.25*(VLOOKUP(I19,Покрытия!$A$2:$B$40,2,FALSE)*J19+VLOOKUP(K19,Покрытия!$A$2:$B$40,2,FALSE)*L19)+H19)</f>
        <v>154.37806</v>
      </c>
      <c r="N19" s="34">
        <v>2</v>
      </c>
      <c r="O19" s="34">
        <f>M19*N19</f>
        <v>308.75612000000001</v>
      </c>
      <c r="P19" s="9"/>
      <c r="Q19" s="34">
        <f t="array" ref="Q19">INDEX(Материалы!$C$2:$C$50,MATCH(G19&amp;D19,Материалы!$A$2:$A$50&amp;Материалы!$B$2:$B$50,0))</f>
        <v>390</v>
      </c>
      <c r="R19" s="34">
        <f>FLOOR(Раскройка!$D$2/B19,1)*FLOOR(Раскройка!$C$2/C19,1)</f>
        <v>54</v>
      </c>
      <c r="S19" s="34">
        <f>MAX(Раскройка!$F$2-E19*R19,0)</f>
        <v>1.2245799999999996</v>
      </c>
      <c r="T19" s="34">
        <f>Q19*S19</f>
        <v>477.58619999999985</v>
      </c>
      <c r="U19" s="26"/>
    </row>
    <row r="20" spans="1:23" x14ac:dyDescent="0.25">
      <c r="A20" s="27"/>
      <c r="B20" s="27" t="s">
        <v>97</v>
      </c>
      <c r="C20" s="34" t="s">
        <v>98</v>
      </c>
      <c r="D20" s="34" t="s">
        <v>58</v>
      </c>
      <c r="E20" s="16"/>
      <c r="F20" s="26"/>
      <c r="G20" s="25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26"/>
      <c r="V20" s="26"/>
      <c r="W20" s="26"/>
    </row>
    <row r="21" spans="1:23" x14ac:dyDescent="0.25">
      <c r="A21" s="34" t="s">
        <v>96</v>
      </c>
      <c r="B21" s="34">
        <v>1.145</v>
      </c>
      <c r="C21" s="34">
        <v>518</v>
      </c>
      <c r="D21" s="34">
        <f>B21*C21</f>
        <v>593.11</v>
      </c>
      <c r="E21" s="16"/>
      <c r="F21" s="26"/>
      <c r="G21" s="25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26"/>
      <c r="W21" s="26"/>
    </row>
    <row r="23" spans="1:23" x14ac:dyDescent="0.25">
      <c r="A23" s="34" t="s">
        <v>57</v>
      </c>
      <c r="B23" s="34">
        <v>920</v>
      </c>
      <c r="C23" s="34">
        <v>600</v>
      </c>
      <c r="D23" s="34">
        <v>6</v>
      </c>
      <c r="E23" s="34">
        <f t="shared" ref="E23:E25" si="6">B23*C23/1000000</f>
        <v>0.55200000000000005</v>
      </c>
      <c r="F23" s="20"/>
      <c r="G23" s="7" t="s">
        <v>3</v>
      </c>
      <c r="H23" s="34">
        <f>ROUND(Q23+T23/Раскройка!$F$2,0)</f>
        <v>119</v>
      </c>
      <c r="I23" s="34" t="s">
        <v>41</v>
      </c>
      <c r="J23" s="34">
        <v>2</v>
      </c>
      <c r="K23" s="34" t="s">
        <v>39</v>
      </c>
      <c r="L23" s="34">
        <v>3</v>
      </c>
      <c r="M23" s="34">
        <f>E23*(0.25*(VLOOKUP(I23,Покрытия!$A$2:$B$40,2,FALSE)*J23+VLOOKUP(K23,Покрытия!$A$2:$B$40,2,FALSE)*L23)+H23)</f>
        <v>810.88800000000003</v>
      </c>
      <c r="N23" s="34">
        <v>1</v>
      </c>
      <c r="O23" s="34">
        <f t="shared" ref="O23:O25" si="7">M23*N23</f>
        <v>810.88800000000003</v>
      </c>
      <c r="P23" s="9"/>
      <c r="Q23" s="34">
        <f t="array" ref="Q23">INDEX(Материалы!$C$2:$C$50,MATCH(G23&amp;D23,Материалы!$A$2:$A$50&amp;Материалы!$B$2:$B$50,0))</f>
        <v>104</v>
      </c>
      <c r="R23" s="34">
        <f>FLOOR(Раскройка!$D$2/B23,1)*FLOOR(Раскройка!$C$2/C23,1)</f>
        <v>9</v>
      </c>
      <c r="S23" s="34">
        <f>MAX(Раскройка!$F$2-E23*R23,0)</f>
        <v>0.83199999999999985</v>
      </c>
      <c r="T23" s="34">
        <f t="shared" ref="T23:T25" si="8">Q23*S23</f>
        <v>86.527999999999992</v>
      </c>
    </row>
    <row r="24" spans="1:23" x14ac:dyDescent="0.25">
      <c r="A24" s="34" t="s">
        <v>131</v>
      </c>
      <c r="B24" s="34">
        <v>600</v>
      </c>
      <c r="C24" s="34">
        <v>80</v>
      </c>
      <c r="D24" s="34">
        <v>16</v>
      </c>
      <c r="E24" s="34">
        <f t="shared" si="6"/>
        <v>4.8000000000000001E-2</v>
      </c>
      <c r="F24" s="20"/>
      <c r="G24" s="7" t="s">
        <v>3</v>
      </c>
      <c r="H24" s="34">
        <f>ROUND(Q24+T24/Раскройка!$F$2,0)</f>
        <v>387</v>
      </c>
      <c r="I24" s="34" t="s">
        <v>41</v>
      </c>
      <c r="J24" s="34">
        <v>2</v>
      </c>
      <c r="K24" s="34" t="s">
        <v>39</v>
      </c>
      <c r="L24" s="34">
        <v>3</v>
      </c>
      <c r="M24" s="34">
        <f>E24*(0.25*(VLOOKUP(I24,Покрытия!$A$2:$B$40,2,FALSE)*J24+VLOOKUP(K24,Покрытия!$A$2:$B$40,2,FALSE)*L24)+H24)</f>
        <v>83.376000000000005</v>
      </c>
      <c r="N24" s="34">
        <v>2</v>
      </c>
      <c r="O24" s="34">
        <f t="shared" si="7"/>
        <v>166.75200000000001</v>
      </c>
      <c r="P24" s="9"/>
      <c r="Q24" s="34">
        <f t="array" ref="Q24">INDEX(Материалы!$C$2:$C$50,MATCH(G24&amp;D24,Материалы!$A$2:$A$50&amp;Материалы!$B$2:$B$50,0))</f>
        <v>330</v>
      </c>
      <c r="R24" s="34">
        <f>FLOOR(Раскройка!$D$2/B24,1)*FLOOR(Раскройка!$C$2/C24,1)</f>
        <v>100</v>
      </c>
      <c r="S24" s="34">
        <f>MAX(Раскройка!$F$2-E24*R24,0)</f>
        <v>1</v>
      </c>
      <c r="T24" s="34">
        <f t="shared" si="8"/>
        <v>330</v>
      </c>
    </row>
    <row r="25" spans="1:23" x14ac:dyDescent="0.25">
      <c r="A25" s="34" t="s">
        <v>132</v>
      </c>
      <c r="B25" s="34">
        <v>920</v>
      </c>
      <c r="C25" s="34">
        <v>80</v>
      </c>
      <c r="D25" s="34">
        <v>16</v>
      </c>
      <c r="E25" s="34">
        <f t="shared" si="6"/>
        <v>7.3599999999999999E-2</v>
      </c>
      <c r="F25" s="20"/>
      <c r="G25" s="7" t="s">
        <v>3</v>
      </c>
      <c r="H25" s="34">
        <f>ROUND(Q25+T25/Раскройка!$F$2,0)</f>
        <v>346</v>
      </c>
      <c r="I25" s="34" t="s">
        <v>41</v>
      </c>
      <c r="J25" s="34">
        <v>2</v>
      </c>
      <c r="K25" s="34" t="s">
        <v>39</v>
      </c>
      <c r="L25" s="34">
        <v>3</v>
      </c>
      <c r="M25" s="34">
        <f>E25*(0.25*(VLOOKUP(I25,Покрытия!$A$2:$B$40,2,FALSE)*J25+VLOOKUP(K25,Покрытия!$A$2:$B$40,2,FALSE)*L25)+H25)</f>
        <v>124.82559999999999</v>
      </c>
      <c r="N25" s="34">
        <v>2</v>
      </c>
      <c r="O25" s="34">
        <f t="shared" si="7"/>
        <v>249.65119999999999</v>
      </c>
      <c r="P25" s="9"/>
      <c r="Q25" s="34">
        <f t="array" ref="Q25">INDEX(Материалы!$C$2:$C$50,MATCH(G25&amp;D25,Материалы!$A$2:$A$50&amp;Материалы!$B$2:$B$50,0))</f>
        <v>330</v>
      </c>
      <c r="R25" s="34">
        <f>FLOOR(Раскройка!$D$2/B25,1)*FLOOR(Раскройка!$C$2/C25,1)</f>
        <v>75</v>
      </c>
      <c r="S25" s="34">
        <f>MAX(Раскройка!$F$2-E25*R25,0)</f>
        <v>0.28000000000000025</v>
      </c>
      <c r="T25" s="34">
        <f t="shared" si="8"/>
        <v>92.400000000000077</v>
      </c>
    </row>
    <row r="26" spans="1:23" x14ac:dyDescent="0.25">
      <c r="A26" s="34" t="s">
        <v>125</v>
      </c>
      <c r="B26" s="34">
        <v>600</v>
      </c>
      <c r="C26" s="34">
        <v>37</v>
      </c>
      <c r="D26" s="34">
        <v>9</v>
      </c>
      <c r="E26" s="34">
        <f>B26*C26*D26/1000000000</f>
        <v>1.998E-4</v>
      </c>
      <c r="F26" s="34">
        <f>B26*C26/1000000</f>
        <v>2.2200000000000001E-2</v>
      </c>
      <c r="G26" s="34" t="s">
        <v>15</v>
      </c>
      <c r="H26" s="34">
        <f>ROUND(Q26+T26/Раскройка!$F$11,0)</f>
        <v>52634</v>
      </c>
      <c r="I26" s="34" t="s">
        <v>41</v>
      </c>
      <c r="J26" s="34">
        <v>2</v>
      </c>
      <c r="K26" s="34" t="s">
        <v>39</v>
      </c>
      <c r="L26" s="34">
        <v>3</v>
      </c>
      <c r="M26" s="34">
        <f>E26*H26+0.25*((VLOOKUP(I26,Покрытия!$A$2:$B$50,2,FALSE)*J26+VLOOKUP(K26,Покрытия!$A$2:$B$50,2,FALSE)*L26)*F26)</f>
        <v>40.486273199999999</v>
      </c>
      <c r="N26" s="34">
        <v>2</v>
      </c>
      <c r="O26" s="34">
        <f>M26*N26</f>
        <v>80.972546399999999</v>
      </c>
      <c r="P26" s="9"/>
      <c r="Q26" s="34">
        <f t="array" ref="Q26">INDEX(Материалы!$C$2:$C$50,MATCH(G26,Материалы!$A$2:$A$50,0))</f>
        <v>32000</v>
      </c>
      <c r="R26" s="34">
        <f>FLOOR(Раскройка!$C$11/C26,1)*FLOOR(Раскройка!$D$11/B26,1)</f>
        <v>40</v>
      </c>
      <c r="S26" s="34">
        <f>MAX(Раскройка!$F$11-E26*R26,0)</f>
        <v>1.4507999999999998E-2</v>
      </c>
      <c r="T26" s="34">
        <f>Q26*S26</f>
        <v>464.25599999999997</v>
      </c>
    </row>
    <row r="27" spans="1:23" x14ac:dyDescent="0.25">
      <c r="A27" s="34" t="s">
        <v>124</v>
      </c>
      <c r="B27" s="34">
        <v>920</v>
      </c>
      <c r="C27" s="34">
        <v>37</v>
      </c>
      <c r="D27" s="34">
        <v>9</v>
      </c>
      <c r="E27" s="34">
        <f>B27*C27*D27/1000000000</f>
        <v>3.0635999999999999E-4</v>
      </c>
      <c r="F27" s="34">
        <f>B27*C27/1000000</f>
        <v>3.4040000000000001E-2</v>
      </c>
      <c r="G27" s="34" t="s">
        <v>15</v>
      </c>
      <c r="H27" s="34">
        <f>ROUND(Q27+T27/Раскройка!$F$11,0)</f>
        <v>53543</v>
      </c>
      <c r="I27" s="34" t="s">
        <v>41</v>
      </c>
      <c r="J27" s="34">
        <v>2</v>
      </c>
      <c r="K27" s="34" t="s">
        <v>39</v>
      </c>
      <c r="L27" s="34">
        <v>3</v>
      </c>
      <c r="M27" s="34">
        <f>E27*H27+0.25*((VLOOKUP(I27,Покрытия!$A$2:$B$50,2,FALSE)*J27+VLOOKUP(K27,Покрытия!$A$2:$B$50,2,FALSE)*L27)*F27)</f>
        <v>62.357433479999997</v>
      </c>
      <c r="N27" s="34">
        <v>2</v>
      </c>
      <c r="O27" s="34">
        <f>M27*N27</f>
        <v>124.71486695999999</v>
      </c>
      <c r="P27" s="9"/>
      <c r="Q27" s="34">
        <f t="array" ref="Q27">INDEX(Материалы!$C$2:$C$50,MATCH(G27,Материалы!$A$2:$A$50,0))</f>
        <v>32000</v>
      </c>
      <c r="R27" s="34">
        <f>FLOOR(Раскройка!$C$11/C27,1)*FLOOR(Раскройка!$D$11/B27,1)</f>
        <v>24</v>
      </c>
      <c r="S27" s="34">
        <f>MAX(Раскройка!$F$11-E27*R27,0)</f>
        <v>1.5147359999999999E-2</v>
      </c>
      <c r="T27" s="34">
        <f>Q27*S27</f>
        <v>484.71551999999997</v>
      </c>
    </row>
    <row r="28" spans="1:23" x14ac:dyDescent="0.25">
      <c r="A28" s="34" t="s">
        <v>125</v>
      </c>
      <c r="B28" s="34">
        <v>600</v>
      </c>
      <c r="C28" s="34">
        <v>23</v>
      </c>
      <c r="D28" s="34">
        <v>9</v>
      </c>
      <c r="E28" s="34">
        <f>B28*C28*D28/1000000000</f>
        <v>1.2420000000000001E-4</v>
      </c>
      <c r="F28" s="34">
        <f>B28*C28/1000000</f>
        <v>1.38E-2</v>
      </c>
      <c r="G28" s="34" t="s">
        <v>15</v>
      </c>
      <c r="H28" s="34">
        <f>ROUND(Q28+T28/Раскройка!$F$11,0)</f>
        <v>52518</v>
      </c>
      <c r="I28" s="34" t="s">
        <v>41</v>
      </c>
      <c r="J28" s="34">
        <v>2</v>
      </c>
      <c r="K28" s="34" t="s">
        <v>39</v>
      </c>
      <c r="L28" s="34">
        <v>3</v>
      </c>
      <c r="M28" s="34">
        <f>E28*H28+0.25*((VLOOKUP(I28,Покрытия!$A$2:$B$50,2,FALSE)*J28+VLOOKUP(K28,Покрытия!$A$2:$B$50,2,FALSE)*L28)*F28)</f>
        <v>25.1527356</v>
      </c>
      <c r="N28" s="34">
        <v>2</v>
      </c>
      <c r="O28" s="34">
        <f>M28*N28</f>
        <v>50.305471199999999</v>
      </c>
      <c r="P28" s="9"/>
      <c r="Q28" s="34">
        <f t="array" ref="Q28">INDEX(Материалы!$C$2:$C$50,MATCH(G28,Материалы!$A$2:$A$50,0))</f>
        <v>32000</v>
      </c>
      <c r="R28" s="34">
        <f>FLOOR(Раскройка!$C$11/C28,1)*FLOOR(Раскройка!$D$11/B28,1)</f>
        <v>65</v>
      </c>
      <c r="S28" s="34">
        <f>MAX(Раскройка!$F$11-E28*R28,0)</f>
        <v>1.4426999999999999E-2</v>
      </c>
      <c r="T28" s="34">
        <f>Q28*S28</f>
        <v>461.66399999999999</v>
      </c>
    </row>
    <row r="29" spans="1:23" x14ac:dyDescent="0.25">
      <c r="A29" s="34" t="s">
        <v>124</v>
      </c>
      <c r="B29" s="34">
        <v>920</v>
      </c>
      <c r="C29" s="34">
        <v>23</v>
      </c>
      <c r="D29" s="34">
        <v>9</v>
      </c>
      <c r="E29" s="34">
        <f>B29*C29*D29/1000000000</f>
        <v>1.9044E-4</v>
      </c>
      <c r="F29" s="34">
        <f>B29*C29/1000000</f>
        <v>2.1160000000000002E-2</v>
      </c>
      <c r="G29" s="34" t="s">
        <v>15</v>
      </c>
      <c r="H29" s="34">
        <f>ROUND(Q29+T29/Раскройка!$F$11,0)</f>
        <v>53437</v>
      </c>
      <c r="I29" s="34" t="s">
        <v>41</v>
      </c>
      <c r="J29" s="34">
        <v>2</v>
      </c>
      <c r="K29" s="34" t="s">
        <v>39</v>
      </c>
      <c r="L29" s="34">
        <v>3</v>
      </c>
      <c r="M29" s="34">
        <f>E29*H29+0.25*((VLOOKUP(I29,Покрытия!$A$2:$B$50,2,FALSE)*J29+VLOOKUP(K29,Покрытия!$A$2:$B$50,2,FALSE)*L29)*F29)</f>
        <v>38.742542280000002</v>
      </c>
      <c r="N29" s="34">
        <v>2</v>
      </c>
      <c r="O29" s="34">
        <f>M29*N29</f>
        <v>77.485084560000004</v>
      </c>
      <c r="P29" s="9"/>
      <c r="Q29" s="34">
        <f t="array" ref="Q29">INDEX(Материалы!$C$2:$C$50,MATCH(G29,Материалы!$A$2:$A$50,0))</f>
        <v>32000</v>
      </c>
      <c r="R29" s="34">
        <f>FLOOR(Раскройка!$C$11/C29,1)*FLOOR(Раскройка!$D$11/B29,1)</f>
        <v>39</v>
      </c>
      <c r="S29" s="34">
        <f>MAX(Раскройка!$F$11-E29*R29,0)</f>
        <v>1.5072839999999999E-2</v>
      </c>
      <c r="T29" s="34">
        <f>Q29*S29</f>
        <v>482.33087999999998</v>
      </c>
    </row>
    <row r="31" spans="1:23" x14ac:dyDescent="0.25">
      <c r="A31" s="34" t="s">
        <v>111</v>
      </c>
      <c r="B31" s="34">
        <v>710</v>
      </c>
      <c r="C31" s="34">
        <v>50</v>
      </c>
      <c r="D31" s="34">
        <v>19</v>
      </c>
      <c r="E31" s="34">
        <f t="shared" ref="E31" si="9">B31*C31/1000000</f>
        <v>3.5499999999999997E-2</v>
      </c>
      <c r="F31" s="20"/>
      <c r="G31" s="7" t="s">
        <v>12</v>
      </c>
      <c r="H31" s="34">
        <f>ROUND(Q31+T31/Раскройка!$F$2,0)</f>
        <v>915</v>
      </c>
      <c r="I31" s="34" t="s">
        <v>41</v>
      </c>
      <c r="J31" s="34">
        <v>2</v>
      </c>
      <c r="K31" s="34" t="s">
        <v>39</v>
      </c>
      <c r="L31" s="34">
        <v>3</v>
      </c>
      <c r="M31" s="34">
        <f>E31*(0.25*(VLOOKUP(I31,Покрытия!$A$2:$B$40,2,FALSE)*J31+VLOOKUP(K31,Покрытия!$A$2:$B$40,2,FALSE)*L31)+H31)</f>
        <v>80.407499999999999</v>
      </c>
      <c r="N31" s="34">
        <v>2</v>
      </c>
      <c r="O31" s="34">
        <f t="shared" ref="O31" si="10">M31*N31</f>
        <v>160.815</v>
      </c>
      <c r="P31" s="9"/>
      <c r="Q31" s="34">
        <f t="array" ref="Q31">INDEX(Материалы!$C$2:$C$50,MATCH(G31&amp;D31,Материалы!$A$2:$A$50&amp;Материалы!$B$2:$B$50,0))</f>
        <v>734</v>
      </c>
      <c r="R31" s="34">
        <f>FLOOR(Раскройка!$D$2/B31,1)*FLOOR(Раскройка!$C$2/C31,1)</f>
        <v>123</v>
      </c>
      <c r="S31" s="34">
        <f>MAX(Раскройка!$F$2-E31*R31,0)</f>
        <v>1.4335000000000004</v>
      </c>
      <c r="T31" s="34">
        <f t="shared" ref="T31" si="11">Q31*S31</f>
        <v>1052.1890000000003</v>
      </c>
    </row>
    <row r="32" spans="1:23" x14ac:dyDescent="0.25">
      <c r="A32" s="34" t="s">
        <v>112</v>
      </c>
      <c r="B32" s="34">
        <v>1045</v>
      </c>
      <c r="C32" s="34">
        <v>50</v>
      </c>
      <c r="D32" s="34">
        <v>19</v>
      </c>
      <c r="E32" s="34">
        <f>B32*C32/1000000</f>
        <v>5.2249999999999998E-2</v>
      </c>
      <c r="F32" s="20"/>
      <c r="G32" s="7" t="s">
        <v>12</v>
      </c>
      <c r="H32" s="34">
        <f>ROUND(Q32+T32/Раскройка!$F$2,0)</f>
        <v>926</v>
      </c>
      <c r="I32" s="34" t="s">
        <v>41</v>
      </c>
      <c r="J32" s="34">
        <v>2</v>
      </c>
      <c r="K32" s="34" t="s">
        <v>39</v>
      </c>
      <c r="L32" s="34">
        <v>3</v>
      </c>
      <c r="M32" s="34">
        <f>E32*(0.25*(VLOOKUP(I32,Покрытия!$A$2:$B$40,2,FALSE)*J32+VLOOKUP(K32,Покрытия!$A$2:$B$40,2,FALSE)*L32)+H32)</f>
        <v>118.92099999999999</v>
      </c>
      <c r="N32" s="34">
        <v>1</v>
      </c>
      <c r="O32" s="34">
        <f>M32*N32</f>
        <v>118.92099999999999</v>
      </c>
      <c r="P32" s="9"/>
      <c r="Q32" s="34">
        <f t="array" ref="Q32">INDEX(Материалы!$C$2:$C$50,MATCH(G32&amp;D32,Материалы!$A$2:$A$50&amp;Материалы!$B$2:$B$50,0))</f>
        <v>734</v>
      </c>
      <c r="R32" s="34">
        <f>FLOOR(Раскройка!$D$2/B32,1)*FLOOR(Раскройка!$C$2/C32,1)</f>
        <v>82</v>
      </c>
      <c r="S32" s="34">
        <f>MAX(Раскройка!$F$2-E32*R32,0)</f>
        <v>1.5155000000000003</v>
      </c>
      <c r="T32" s="34">
        <f>Q32*S32</f>
        <v>1112.3770000000002</v>
      </c>
    </row>
    <row r="33" spans="1:20" x14ac:dyDescent="0.25">
      <c r="A33" s="34" t="s">
        <v>112</v>
      </c>
      <c r="B33" s="34">
        <v>1045</v>
      </c>
      <c r="C33" s="34">
        <v>160</v>
      </c>
      <c r="D33" s="34">
        <v>19</v>
      </c>
      <c r="E33" s="34">
        <f>B33*C33/1000000</f>
        <v>0.16719999999999999</v>
      </c>
      <c r="F33" s="20"/>
      <c r="G33" s="7" t="s">
        <v>12</v>
      </c>
      <c r="H33" s="34">
        <f>ROUND(Q33+T33/Раскройка!$F$2,0)</f>
        <v>960</v>
      </c>
      <c r="I33" s="34" t="s">
        <v>41</v>
      </c>
      <c r="J33" s="34">
        <v>2</v>
      </c>
      <c r="K33" s="34" t="s">
        <v>39</v>
      </c>
      <c r="L33" s="34">
        <v>3</v>
      </c>
      <c r="M33" s="34">
        <f>E33*(0.25*(VLOOKUP(I33,Покрытия!$A$2:$B$40,2,FALSE)*J33+VLOOKUP(K33,Покрытия!$A$2:$B$40,2,FALSE)*L33)+H33)</f>
        <v>386.23199999999997</v>
      </c>
      <c r="N33" s="34">
        <v>1</v>
      </c>
      <c r="O33" s="34">
        <f>M33*N33</f>
        <v>386.23199999999997</v>
      </c>
      <c r="P33" s="9"/>
      <c r="Q33" s="34">
        <f t="array" ref="Q33">INDEX(Материалы!$C$2:$C$50,MATCH(G33&amp;D33,Материалы!$A$2:$A$50&amp;Материалы!$B$2:$B$50,0))</f>
        <v>734</v>
      </c>
      <c r="R33" s="34">
        <f>FLOOR(Раскройка!$D$2/B33,1)*FLOOR(Раскройка!$C$2/C33,1)</f>
        <v>24</v>
      </c>
      <c r="S33" s="34">
        <f>MAX(Раскройка!$F$2-E33*R33,0)</f>
        <v>1.7872000000000003</v>
      </c>
      <c r="T33" s="34">
        <f>Q33*S33</f>
        <v>1311.8048000000003</v>
      </c>
    </row>
    <row r="34" spans="1:20" x14ac:dyDescent="0.25">
      <c r="A34" s="34" t="s">
        <v>130</v>
      </c>
      <c r="B34" s="34">
        <v>710</v>
      </c>
      <c r="C34" s="34">
        <v>30</v>
      </c>
      <c r="D34" s="34">
        <v>30</v>
      </c>
      <c r="E34" s="34">
        <f>B34*C34*D34/1000000000</f>
        <v>6.3900000000000003E-4</v>
      </c>
      <c r="F34" s="34">
        <f>B34*C34/1000000</f>
        <v>2.1299999999999999E-2</v>
      </c>
      <c r="G34" s="34" t="s">
        <v>9</v>
      </c>
      <c r="H34" s="34">
        <f>ROUND(Q34+T34/Раскройка!$F$11,0)</f>
        <v>15000</v>
      </c>
      <c r="I34" s="34" t="s">
        <v>41</v>
      </c>
      <c r="J34" s="34">
        <v>0</v>
      </c>
      <c r="K34" s="34" t="s">
        <v>39</v>
      </c>
      <c r="L34" s="34">
        <v>0</v>
      </c>
      <c r="M34" s="34">
        <f>E34*H34+0.25*((VLOOKUP(I34,Покрытия!$A$2:$B$50,2,FALSE)*J34+VLOOKUP(K34,Покрытия!$A$2:$B$50,2,FALSE)*L34)*F34)</f>
        <v>9.5850000000000009</v>
      </c>
      <c r="N34" s="34">
        <v>2</v>
      </c>
      <c r="O34" s="34">
        <f>M34*N34</f>
        <v>19.170000000000002</v>
      </c>
      <c r="P34" s="9"/>
      <c r="Q34" s="34">
        <f t="array" ref="Q34">INDEX(Материалы!$C$2:$C$50,MATCH(G34,Материалы!$A$2:$A$50,0))</f>
        <v>15000</v>
      </c>
      <c r="R34" s="34">
        <f>FLOOR(Раскройка!$C$11/C34,1)*FLOOR(Раскройка!$D$11/B34,1)</f>
        <v>40</v>
      </c>
      <c r="S34" s="34">
        <f>MAX(Раскройка!$F$11-E34*R34,0)</f>
        <v>0</v>
      </c>
      <c r="T34" s="34">
        <f>Q34*S34</f>
        <v>0</v>
      </c>
    </row>
    <row r="35" spans="1:20" x14ac:dyDescent="0.25">
      <c r="A35" s="34" t="s">
        <v>118</v>
      </c>
      <c r="B35" s="34">
        <v>1145</v>
      </c>
      <c r="C35" s="34">
        <v>74</v>
      </c>
      <c r="D35" s="34">
        <v>18</v>
      </c>
      <c r="E35" s="34">
        <f>B35*C35/1000000</f>
        <v>8.473E-2</v>
      </c>
      <c r="F35" s="20"/>
      <c r="G35" s="7" t="s">
        <v>3</v>
      </c>
      <c r="H35" s="34">
        <f>ROUND(Q35+T35/Раскройка!$F$2,0)</f>
        <v>472</v>
      </c>
      <c r="I35" s="34" t="s">
        <v>41</v>
      </c>
      <c r="J35" s="34">
        <v>2</v>
      </c>
      <c r="K35" s="34" t="s">
        <v>39</v>
      </c>
      <c r="L35" s="34">
        <v>3</v>
      </c>
      <c r="M35" s="34">
        <f>E35*(0.25*(VLOOKUP(I35,Покрытия!$A$2:$B$40,2,FALSE)*J35+VLOOKUP(K35,Покрытия!$A$2:$B$40,2,FALSE)*L35)+H35)</f>
        <v>154.37806</v>
      </c>
      <c r="N35" s="34">
        <v>2</v>
      </c>
      <c r="O35" s="34">
        <f>M35*N35</f>
        <v>308.75612000000001</v>
      </c>
      <c r="P35" s="9"/>
      <c r="Q35" s="34">
        <f t="array" ref="Q35">INDEX(Материалы!$C$2:$C$50,MATCH(G35&amp;D35,Материалы!$A$2:$A$50&amp;Материалы!$B$2:$B$50,0))</f>
        <v>390</v>
      </c>
      <c r="R35" s="34">
        <f>FLOOR(Раскройка!$D$2/B35,1)*FLOOR(Раскройка!$C$2/C35,1)</f>
        <v>54</v>
      </c>
      <c r="S35" s="34">
        <f>MAX(Раскройка!$F$2-E35*R35,0)</f>
        <v>1.2245799999999996</v>
      </c>
      <c r="T35" s="34">
        <f>Q35*S35</f>
        <v>477.58619999999985</v>
      </c>
    </row>
    <row r="36" spans="1:20" x14ac:dyDescent="0.25">
      <c r="A36" s="27"/>
      <c r="B36" s="27" t="s">
        <v>97</v>
      </c>
      <c r="C36" s="34" t="s">
        <v>98</v>
      </c>
      <c r="D36" s="34" t="s">
        <v>58</v>
      </c>
      <c r="E36" s="16"/>
      <c r="F36" s="26"/>
      <c r="G36" s="25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</row>
    <row r="37" spans="1:20" x14ac:dyDescent="0.25">
      <c r="A37" s="34" t="s">
        <v>96</v>
      </c>
      <c r="B37" s="34">
        <v>1.145</v>
      </c>
      <c r="C37" s="34">
        <v>352</v>
      </c>
      <c r="D37" s="34">
        <f>B37*C37</f>
        <v>403.04</v>
      </c>
      <c r="E37" s="16"/>
      <c r="F37" s="26"/>
      <c r="G37" s="25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9" spans="1:20" x14ac:dyDescent="0.25">
      <c r="A39" s="34" t="s">
        <v>57</v>
      </c>
      <c r="B39" s="34">
        <v>1050</v>
      </c>
      <c r="C39" s="34">
        <v>360</v>
      </c>
      <c r="D39" s="34">
        <v>6</v>
      </c>
      <c r="E39" s="34">
        <f t="shared" ref="E39" si="12">B39*C39/1000000</f>
        <v>0.378</v>
      </c>
      <c r="F39" s="20"/>
      <c r="G39" s="7" t="s">
        <v>3</v>
      </c>
      <c r="H39" s="34">
        <f>ROUND(Q39+T39/Раскройка!$F$2,0)</f>
        <v>140</v>
      </c>
      <c r="I39" s="34" t="s">
        <v>41</v>
      </c>
      <c r="J39" s="34">
        <v>2</v>
      </c>
      <c r="K39" s="34" t="s">
        <v>39</v>
      </c>
      <c r="L39" s="34">
        <v>3</v>
      </c>
      <c r="M39" s="34">
        <f>E39*(0.25*(VLOOKUP(I39,Покрытия!$A$2:$B$40,2,FALSE)*J39+VLOOKUP(K39,Покрытия!$A$2:$B$40,2,FALSE)*L39)+H39)</f>
        <v>563.22</v>
      </c>
      <c r="N39" s="34">
        <v>1</v>
      </c>
      <c r="O39" s="34">
        <f t="shared" ref="O39" si="13">M39*N39</f>
        <v>563.22</v>
      </c>
      <c r="P39" s="9"/>
      <c r="Q39" s="34">
        <f t="array" ref="Q39">INDEX(Материалы!$C$2:$C$50,MATCH(G39&amp;D39,Материалы!$A$2:$A$50&amp;Материалы!$B$2:$B$50,0))</f>
        <v>104</v>
      </c>
      <c r="R39" s="34">
        <f>FLOOR(Раскройка!$D$2/B39,1)*FLOOR(Раскройка!$C$2/C39,1)</f>
        <v>10</v>
      </c>
      <c r="S39" s="34">
        <f>MAX(Раскройка!$F$2-E39*R39,0)</f>
        <v>2.0199999999999996</v>
      </c>
      <c r="T39" s="34">
        <f t="shared" ref="T39" si="14">Q39*S39</f>
        <v>210.07999999999996</v>
      </c>
    </row>
    <row r="40" spans="1:20" x14ac:dyDescent="0.25">
      <c r="A40" s="34" t="s">
        <v>125</v>
      </c>
      <c r="B40" s="34">
        <v>360</v>
      </c>
      <c r="C40" s="34">
        <v>37</v>
      </c>
      <c r="D40" s="34">
        <v>9</v>
      </c>
      <c r="E40" s="34">
        <f>B40*C40*D40/1000000000</f>
        <v>1.1988E-4</v>
      </c>
      <c r="F40" s="34">
        <f>B40*C40/1000000</f>
        <v>1.332E-2</v>
      </c>
      <c r="G40" s="34" t="s">
        <v>15</v>
      </c>
      <c r="H40" s="34">
        <f>ROUND(Q40+T40/Раскройка!$F$11,0)</f>
        <v>53088</v>
      </c>
      <c r="I40" s="34" t="s">
        <v>41</v>
      </c>
      <c r="J40" s="34">
        <v>2</v>
      </c>
      <c r="K40" s="34" t="s">
        <v>39</v>
      </c>
      <c r="L40" s="34">
        <v>3</v>
      </c>
      <c r="M40" s="34">
        <f>E40*H40+0.25*((VLOOKUP(I40,Покрытия!$A$2:$B$50,2,FALSE)*J40+VLOOKUP(K40,Покрытия!$A$2:$B$50,2,FALSE)*L40)*F40)</f>
        <v>24.34618944</v>
      </c>
      <c r="N40" s="34">
        <v>2</v>
      </c>
      <c r="O40" s="34">
        <f>M40*N40</f>
        <v>48.69237888</v>
      </c>
      <c r="P40" s="9"/>
      <c r="Q40" s="34">
        <f t="array" ref="Q40">INDEX(Материалы!$C$2:$C$50,MATCH(G40,Материалы!$A$2:$A$50,0))</f>
        <v>32000</v>
      </c>
      <c r="R40" s="34">
        <f>FLOOR(Раскройка!$C$11/C40,1)*FLOOR(Раскройка!$D$11/B40,1)</f>
        <v>64</v>
      </c>
      <c r="S40" s="34">
        <f>MAX(Раскройка!$F$11-E40*R40,0)</f>
        <v>1.4827679999999999E-2</v>
      </c>
      <c r="T40" s="34">
        <f>Q40*S40</f>
        <v>474.48575999999997</v>
      </c>
    </row>
    <row r="41" spans="1:20" x14ac:dyDescent="0.25">
      <c r="A41" s="34" t="s">
        <v>124</v>
      </c>
      <c r="B41" s="34">
        <v>1050</v>
      </c>
      <c r="C41" s="34">
        <v>37</v>
      </c>
      <c r="D41" s="34">
        <v>9</v>
      </c>
      <c r="E41" s="34">
        <f>B41*C41*D41/1000000000</f>
        <v>3.4965000000000002E-4</v>
      </c>
      <c r="F41" s="34">
        <f>B41*C41/1000000</f>
        <v>3.8850000000000003E-2</v>
      </c>
      <c r="G41" s="34" t="s">
        <v>15</v>
      </c>
      <c r="H41" s="34">
        <f>ROUND(Q41+T41/Раскройка!$F$11,0)</f>
        <v>56044</v>
      </c>
      <c r="I41" s="34" t="s">
        <v>41</v>
      </c>
      <c r="J41" s="34">
        <v>2</v>
      </c>
      <c r="K41" s="34" t="s">
        <v>39</v>
      </c>
      <c r="L41" s="34">
        <v>3</v>
      </c>
      <c r="M41" s="34">
        <f>E41*H41+0.25*((VLOOKUP(I41,Покрытия!$A$2:$B$50,2,FALSE)*J41+VLOOKUP(K41,Покрытия!$A$2:$B$50,2,FALSE)*L41)*F41)</f>
        <v>72.043284600000007</v>
      </c>
      <c r="N41" s="34">
        <v>2</v>
      </c>
      <c r="O41" s="34">
        <f>M41*N41</f>
        <v>144.08656920000001</v>
      </c>
      <c r="P41" s="9"/>
      <c r="Q41" s="34">
        <f t="array" ref="Q41">INDEX(Материалы!$C$2:$C$50,MATCH(G41,Материалы!$A$2:$A$50,0))</f>
        <v>32000</v>
      </c>
      <c r="R41" s="34">
        <f>FLOOR(Раскройка!$C$11/C41,1)*FLOOR(Раскройка!$D$11/B41,1)</f>
        <v>16</v>
      </c>
      <c r="S41" s="34">
        <f>MAX(Раскройка!$F$11-E41*R41,0)</f>
        <v>1.69056E-2</v>
      </c>
      <c r="T41" s="34">
        <f>Q41*S41</f>
        <v>540.97919999999999</v>
      </c>
    </row>
    <row r="42" spans="1:20" x14ac:dyDescent="0.25">
      <c r="A42" s="34" t="s">
        <v>111</v>
      </c>
      <c r="B42" s="34">
        <v>710</v>
      </c>
      <c r="C42" s="34">
        <v>50</v>
      </c>
      <c r="D42" s="34">
        <v>19</v>
      </c>
      <c r="E42" s="34">
        <f t="shared" ref="E42" si="15">B42*C42/1000000</f>
        <v>3.5499999999999997E-2</v>
      </c>
      <c r="F42" s="20"/>
      <c r="G42" s="7" t="s">
        <v>12</v>
      </c>
      <c r="H42" s="34">
        <f>ROUND(Q42+T42/Раскройка!$F$2,0)</f>
        <v>915</v>
      </c>
      <c r="I42" s="34" t="s">
        <v>41</v>
      </c>
      <c r="J42" s="34">
        <v>2</v>
      </c>
      <c r="K42" s="34" t="s">
        <v>39</v>
      </c>
      <c r="L42" s="34">
        <v>3</v>
      </c>
      <c r="M42" s="34">
        <f>E42*(0.25*(VLOOKUP(I42,Покрытия!$A$2:$B$40,2,FALSE)*J42+VLOOKUP(K42,Покрытия!$A$2:$B$40,2,FALSE)*L42)+H42)</f>
        <v>80.407499999999999</v>
      </c>
      <c r="N42" s="34">
        <v>2</v>
      </c>
      <c r="O42" s="34">
        <f t="shared" ref="O42" si="16">M42*N42</f>
        <v>160.815</v>
      </c>
      <c r="P42" s="9"/>
      <c r="Q42" s="34">
        <f t="array" ref="Q42">INDEX(Материалы!$C$2:$C$50,MATCH(G42&amp;D42,Материалы!$A$2:$A$50&amp;Материалы!$B$2:$B$50,0))</f>
        <v>734</v>
      </c>
      <c r="R42" s="34">
        <f>FLOOR(Раскройка!$D$2/B42,1)*FLOOR(Раскройка!$C$2/C42,1)</f>
        <v>123</v>
      </c>
      <c r="S42" s="34">
        <f>MAX(Раскройка!$F$2-E42*R42,0)</f>
        <v>1.4335000000000004</v>
      </c>
      <c r="T42" s="34">
        <f t="shared" ref="T42" si="17">Q42*S42</f>
        <v>1052.1890000000003</v>
      </c>
    </row>
    <row r="43" spans="1:20" x14ac:dyDescent="0.25">
      <c r="A43" s="34" t="s">
        <v>112</v>
      </c>
      <c r="B43" s="34">
        <v>1195</v>
      </c>
      <c r="C43" s="34">
        <v>50</v>
      </c>
      <c r="D43" s="34">
        <v>19</v>
      </c>
      <c r="E43" s="34">
        <f>B43*C43/1000000</f>
        <v>5.9749999999999998E-2</v>
      </c>
      <c r="F43" s="20"/>
      <c r="G43" s="7" t="s">
        <v>12</v>
      </c>
      <c r="H43" s="34">
        <f>ROUND(Q43+T43/Раскройка!$F$2,0)</f>
        <v>848</v>
      </c>
      <c r="I43" s="34" t="s">
        <v>41</v>
      </c>
      <c r="J43" s="34">
        <v>2</v>
      </c>
      <c r="K43" s="34" t="s">
        <v>39</v>
      </c>
      <c r="L43" s="34">
        <v>3</v>
      </c>
      <c r="M43" s="34">
        <f>E43*(0.25*(VLOOKUP(I43,Покрытия!$A$2:$B$40,2,FALSE)*J43+VLOOKUP(K43,Покрытия!$A$2:$B$40,2,FALSE)*L43)+H43)</f>
        <v>131.3305</v>
      </c>
      <c r="N43" s="34">
        <v>1</v>
      </c>
      <c r="O43" s="34">
        <f>M43*N43</f>
        <v>131.3305</v>
      </c>
      <c r="P43" s="9"/>
      <c r="Q43" s="34">
        <f t="array" ref="Q43">INDEX(Материалы!$C$2:$C$50,MATCH(G43&amp;D43,Материалы!$A$2:$A$50&amp;Материалы!$B$2:$B$50,0))</f>
        <v>734</v>
      </c>
      <c r="R43" s="34">
        <f>FLOOR(Раскройка!$D$2/B43,1)*FLOOR(Раскройка!$C$2/C43,1)</f>
        <v>82</v>
      </c>
      <c r="S43" s="34">
        <f>MAX(Раскройка!$F$2-E43*R43,0)</f>
        <v>0.90050000000000008</v>
      </c>
      <c r="T43" s="34">
        <f>Q43*S43</f>
        <v>660.9670000000001</v>
      </c>
    </row>
    <row r="44" spans="1:20" x14ac:dyDescent="0.25">
      <c r="A44" s="34" t="s">
        <v>112</v>
      </c>
      <c r="B44" s="34">
        <v>1195</v>
      </c>
      <c r="C44" s="34">
        <v>400</v>
      </c>
      <c r="D44" s="34">
        <v>19</v>
      </c>
      <c r="E44" s="34">
        <f>B44*C44/1000000</f>
        <v>0.47799999999999998</v>
      </c>
      <c r="F44" s="20"/>
      <c r="G44" s="7" t="s">
        <v>12</v>
      </c>
      <c r="H44" s="34">
        <f>ROUND(Q44+T44/Раскройка!$F$2,0)</f>
        <v>863</v>
      </c>
      <c r="I44" s="34" t="s">
        <v>41</v>
      </c>
      <c r="J44" s="34">
        <v>2</v>
      </c>
      <c r="K44" s="34" t="s">
        <v>39</v>
      </c>
      <c r="L44" s="34">
        <v>3</v>
      </c>
      <c r="M44" s="34">
        <f>E44*(0.25*(VLOOKUP(I44,Покрытия!$A$2:$B$40,2,FALSE)*J44+VLOOKUP(K44,Покрытия!$A$2:$B$40,2,FALSE)*L44)+H44)</f>
        <v>1057.8139999999999</v>
      </c>
      <c r="N44" s="34">
        <v>1</v>
      </c>
      <c r="O44" s="34">
        <f>M44*N44</f>
        <v>1057.8139999999999</v>
      </c>
      <c r="P44" s="9"/>
      <c r="Q44" s="34">
        <f t="array" ref="Q44">INDEX(Материалы!$C$2:$C$50,MATCH(G44&amp;D44,Материалы!$A$2:$A$50&amp;Материалы!$B$2:$B$50,0))</f>
        <v>734</v>
      </c>
      <c r="R44" s="34">
        <f>FLOOR(Раскройка!$D$2/B44,1)*FLOOR(Раскройка!$C$2/C44,1)</f>
        <v>10</v>
      </c>
      <c r="S44" s="34">
        <f>MAX(Раскройка!$F$2-E44*R44,0)</f>
        <v>1.0200000000000005</v>
      </c>
      <c r="T44" s="34">
        <f>Q44*S44</f>
        <v>748.68000000000029</v>
      </c>
    </row>
    <row r="45" spans="1:20" x14ac:dyDescent="0.25">
      <c r="A45" s="34" t="s">
        <v>130</v>
      </c>
      <c r="B45" s="34">
        <v>710</v>
      </c>
      <c r="C45" s="34">
        <v>30</v>
      </c>
      <c r="D45" s="34">
        <v>30</v>
      </c>
      <c r="E45" s="34">
        <f>B45*C45*D45/1000000000</f>
        <v>6.3900000000000003E-4</v>
      </c>
      <c r="F45" s="34">
        <f>B45*C45/1000000</f>
        <v>2.1299999999999999E-2</v>
      </c>
      <c r="G45" s="34" t="s">
        <v>9</v>
      </c>
      <c r="H45" s="34">
        <f>ROUND(Q45+T45/Раскройка!$F$11,0)</f>
        <v>15000</v>
      </c>
      <c r="I45" s="34" t="s">
        <v>41</v>
      </c>
      <c r="J45" s="34">
        <v>0</v>
      </c>
      <c r="K45" s="34" t="s">
        <v>39</v>
      </c>
      <c r="L45" s="34">
        <v>0</v>
      </c>
      <c r="M45" s="34">
        <f>E45*H45+0.25*((VLOOKUP(I45,Покрытия!$A$2:$B$50,2,FALSE)*J45+VLOOKUP(K45,Покрытия!$A$2:$B$50,2,FALSE)*L45)*F45)</f>
        <v>9.5850000000000009</v>
      </c>
      <c r="N45" s="34">
        <v>2</v>
      </c>
      <c r="O45" s="34">
        <f>M45*N45</f>
        <v>19.170000000000002</v>
      </c>
      <c r="P45" s="9"/>
      <c r="Q45" s="34">
        <f t="array" ref="Q45">INDEX(Материалы!$C$2:$C$50,MATCH(G45,Материалы!$A$2:$A$50,0))</f>
        <v>15000</v>
      </c>
      <c r="R45" s="34">
        <f>FLOOR(Раскройка!$C$11/C45,1)*FLOOR(Раскройка!$D$11/B45,1)</f>
        <v>40</v>
      </c>
      <c r="S45" s="34">
        <f>MAX(Раскройка!$F$11-E45*R45,0)</f>
        <v>0</v>
      </c>
      <c r="T45" s="34">
        <f>Q45*S45</f>
        <v>0</v>
      </c>
    </row>
    <row r="46" spans="1:20" x14ac:dyDescent="0.25">
      <c r="A46" s="34" t="s">
        <v>118</v>
      </c>
      <c r="B46" s="34">
        <v>1295</v>
      </c>
      <c r="C46" s="34">
        <v>74</v>
      </c>
      <c r="D46" s="34">
        <v>18</v>
      </c>
      <c r="E46" s="34">
        <f>B46*C46/1000000</f>
        <v>9.5829999999999999E-2</v>
      </c>
      <c r="F46" s="20"/>
      <c r="G46" s="7" t="s">
        <v>3</v>
      </c>
      <c r="H46" s="34">
        <f>ROUND(Q46+T46/Раскройка!$F$2,0)</f>
        <v>432</v>
      </c>
      <c r="I46" s="34" t="s">
        <v>41</v>
      </c>
      <c r="J46" s="34">
        <v>2</v>
      </c>
      <c r="K46" s="34" t="s">
        <v>39</v>
      </c>
      <c r="L46" s="34">
        <v>3</v>
      </c>
      <c r="M46" s="34">
        <f>E46*(0.25*(VLOOKUP(I46,Покрытия!$A$2:$B$40,2,FALSE)*J46+VLOOKUP(K46,Покрытия!$A$2:$B$40,2,FALSE)*L46)+H46)</f>
        <v>170.76906</v>
      </c>
      <c r="N46" s="34">
        <v>2</v>
      </c>
      <c r="O46" s="34">
        <f>M46*N46</f>
        <v>341.53811999999999</v>
      </c>
      <c r="P46" s="9"/>
      <c r="Q46" s="34">
        <f t="array" ref="Q46">INDEX(Материалы!$C$2:$C$50,MATCH(G46&amp;D46,Материалы!$A$2:$A$50&amp;Материалы!$B$2:$B$50,0))</f>
        <v>390</v>
      </c>
      <c r="R46" s="34">
        <f>FLOOR(Раскройка!$D$2/B46,1)*FLOOR(Раскройка!$C$2/C46,1)</f>
        <v>54</v>
      </c>
      <c r="S46" s="34">
        <f>MAX(Раскройка!$F$2-E46*R46,0)</f>
        <v>0.62518000000000029</v>
      </c>
      <c r="T46" s="34">
        <f>Q46*S46</f>
        <v>243.82020000000011</v>
      </c>
    </row>
    <row r="47" spans="1:20" x14ac:dyDescent="0.25">
      <c r="A47" s="27"/>
      <c r="B47" s="27" t="s">
        <v>97</v>
      </c>
      <c r="C47" s="34" t="s">
        <v>98</v>
      </c>
      <c r="D47" s="34" t="s">
        <v>58</v>
      </c>
      <c r="E47" s="16"/>
      <c r="F47" s="26"/>
      <c r="G47" s="25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</row>
    <row r="48" spans="1:20" x14ac:dyDescent="0.25">
      <c r="A48" s="34" t="s">
        <v>96</v>
      </c>
      <c r="B48" s="34">
        <v>1.2949999999999999</v>
      </c>
      <c r="C48" s="34">
        <v>806</v>
      </c>
      <c r="D48" s="34">
        <f>B48*C48</f>
        <v>1043.77</v>
      </c>
      <c r="E48" s="16"/>
      <c r="F48" s="26"/>
      <c r="G48" s="25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</row>
  </sheetData>
  <mergeCells count="1">
    <mergeCell ref="E2:E4"/>
  </mergeCells>
  <pageMargins left="0.7" right="0.7" top="0.75" bottom="0.75" header="0.3" footer="0.3"/>
  <pageSetup paperSize="9" scale="69" fitToHeight="0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3"/>
  <sheetViews>
    <sheetView workbookViewId="0">
      <selection activeCell="A10" sqref="A10:AE10"/>
    </sheetView>
  </sheetViews>
  <sheetFormatPr defaultRowHeight="15" x14ac:dyDescent="0.25"/>
  <cols>
    <col min="1" max="1" width="25.140625" customWidth="1"/>
    <col min="7" max="7" width="15.28515625" customWidth="1"/>
    <col min="8" max="8" width="15.7109375" customWidth="1"/>
    <col min="10" max="10" width="14.140625" customWidth="1"/>
    <col min="12" max="12" width="13.28515625" customWidth="1"/>
    <col min="13" max="13" width="14.85546875" customWidth="1"/>
    <col min="17" max="20" width="0" hidden="1" customWidth="1"/>
  </cols>
  <sheetData>
    <row r="1" spans="1:22" x14ac:dyDescent="0.25">
      <c r="A1" s="43" t="s">
        <v>92</v>
      </c>
      <c r="B1" s="34" t="s">
        <v>91</v>
      </c>
      <c r="C1" s="34" t="s">
        <v>61</v>
      </c>
      <c r="D1" s="34" t="s">
        <v>58</v>
      </c>
    </row>
    <row r="2" spans="1:22" ht="16.5" customHeight="1" x14ac:dyDescent="0.25">
      <c r="A2" s="35" t="s">
        <v>136</v>
      </c>
      <c r="B2" s="42">
        <v>1</v>
      </c>
      <c r="C2" s="34">
        <f>ROUND(SUM(O5:O10)+SUM(D12:D13),0)</f>
        <v>10456</v>
      </c>
      <c r="D2" s="34">
        <f>C2*B2</f>
        <v>10456</v>
      </c>
    </row>
    <row r="4" spans="1:22" x14ac:dyDescent="0.25">
      <c r="A4" s="34" t="s">
        <v>32</v>
      </c>
      <c r="B4" s="34" t="s">
        <v>20</v>
      </c>
      <c r="C4" s="34" t="s">
        <v>19</v>
      </c>
      <c r="D4" s="34" t="s">
        <v>21</v>
      </c>
      <c r="E4" s="34" t="s">
        <v>22</v>
      </c>
      <c r="F4" s="7" t="s">
        <v>26</v>
      </c>
      <c r="G4" s="7" t="s">
        <v>49</v>
      </c>
      <c r="H4" s="34" t="s">
        <v>46</v>
      </c>
      <c r="I4" s="34" t="s">
        <v>35</v>
      </c>
      <c r="J4" s="34" t="s">
        <v>47</v>
      </c>
      <c r="K4" s="34" t="s">
        <v>35</v>
      </c>
      <c r="L4" s="34" t="s">
        <v>47</v>
      </c>
      <c r="M4" s="7" t="s">
        <v>48</v>
      </c>
      <c r="N4" s="34" t="s">
        <v>59</v>
      </c>
      <c r="O4" s="34" t="s">
        <v>58</v>
      </c>
      <c r="P4" s="9"/>
      <c r="Q4" s="7" t="s">
        <v>50</v>
      </c>
      <c r="R4" s="7" t="s">
        <v>53</v>
      </c>
      <c r="S4" s="7" t="s">
        <v>51</v>
      </c>
      <c r="T4" s="7" t="s">
        <v>52</v>
      </c>
      <c r="U4" s="9"/>
    </row>
    <row r="5" spans="1:22" x14ac:dyDescent="0.25">
      <c r="A5" s="34" t="s">
        <v>57</v>
      </c>
      <c r="B5" s="34">
        <v>975</v>
      </c>
      <c r="C5" s="34">
        <v>1275</v>
      </c>
      <c r="D5" s="34">
        <v>18</v>
      </c>
      <c r="E5" s="34">
        <f t="shared" ref="E5" si="0">B5*C5/1000000</f>
        <v>1.243125</v>
      </c>
      <c r="F5" s="20"/>
      <c r="G5" s="7" t="s">
        <v>3</v>
      </c>
      <c r="H5" s="34">
        <f>ROUND(Q5+T5/Раскройка!$F$2,0)</f>
        <v>613</v>
      </c>
      <c r="I5" s="34" t="s">
        <v>41</v>
      </c>
      <c r="J5" s="34">
        <v>2</v>
      </c>
      <c r="K5" s="34" t="s">
        <v>39</v>
      </c>
      <c r="L5" s="34">
        <v>3</v>
      </c>
      <c r="M5" s="34">
        <f>E5*(0.25*(VLOOKUP(I5,Покрытия!$A$2:$B$40,2,FALSE)*J5+VLOOKUP(K5,Покрытия!$A$2:$B$40,2,FALSE)*L5)+H5)</f>
        <v>2440.254375</v>
      </c>
      <c r="N5" s="34">
        <v>1</v>
      </c>
      <c r="O5" s="34">
        <f t="shared" ref="O5" si="1">M5*N5</f>
        <v>2440.254375</v>
      </c>
      <c r="P5" s="9"/>
      <c r="Q5" s="34">
        <f t="array" ref="Q5">INDEX(Материалы!$C$2:$C$50,MATCH(G5&amp;D5,Материалы!$A$2:$A$50&amp;Материалы!$B$2:$B$50,0))</f>
        <v>390</v>
      </c>
      <c r="R5" s="34">
        <f>FLOOR(Раскройка!$D$2/B5,1)*FLOOR(Раскройка!$C$2/C5,1)</f>
        <v>2</v>
      </c>
      <c r="S5" s="34">
        <f>MAX(Раскройка!$F$2-E5*R5,0)</f>
        <v>3.3137499999999998</v>
      </c>
      <c r="T5" s="34">
        <f t="shared" ref="T5" si="2">Q5*S5</f>
        <v>1292.3625</v>
      </c>
      <c r="U5" s="9"/>
      <c r="V5" s="16"/>
    </row>
    <row r="6" spans="1:22" x14ac:dyDescent="0.25">
      <c r="A6" s="34" t="s">
        <v>125</v>
      </c>
      <c r="B6" s="34">
        <v>975</v>
      </c>
      <c r="C6" s="34">
        <v>57</v>
      </c>
      <c r="D6" s="34">
        <v>20</v>
      </c>
      <c r="E6" s="34">
        <f>B6*C6*D6/1000000000</f>
        <v>1.1115000000000001E-3</v>
      </c>
      <c r="F6" s="34">
        <f>B6*C6/1000000</f>
        <v>5.5574999999999999E-2</v>
      </c>
      <c r="G6" s="34" t="s">
        <v>15</v>
      </c>
      <c r="H6" s="34">
        <f>ROUND(Q6+T6/Раскройка!$F$11,0)</f>
        <v>40288</v>
      </c>
      <c r="I6" s="34" t="s">
        <v>41</v>
      </c>
      <c r="J6" s="34">
        <v>2</v>
      </c>
      <c r="K6" s="34" t="s">
        <v>39</v>
      </c>
      <c r="L6" s="34">
        <v>3</v>
      </c>
      <c r="M6" s="34">
        <f>E6*H6+0.25*((VLOOKUP(I6,Покрытия!$A$2:$B$50,2,FALSE)*J6+VLOOKUP(K6,Покрытия!$A$2:$B$50,2,FALSE)*L6)*F6)</f>
        <v>119.80636200000001</v>
      </c>
      <c r="N6" s="34">
        <v>2</v>
      </c>
      <c r="O6" s="34">
        <f>M6*N6</f>
        <v>239.61272400000001</v>
      </c>
      <c r="P6" s="9"/>
      <c r="Q6" s="34">
        <f t="array" ref="Q6">INDEX(Материалы!$C$2:$C$50,MATCH(G6,Материалы!$A$2:$A$50,0))</f>
        <v>32000</v>
      </c>
      <c r="R6" s="34">
        <f>FLOOR(Раскройка!$C$11/C6,1)*FLOOR(Раскройка!$D$11/B6,1)</f>
        <v>15</v>
      </c>
      <c r="S6" s="34">
        <f>MAX(Раскройка!$F$11-E6*R6,0)</f>
        <v>5.8274999999999993E-3</v>
      </c>
      <c r="T6" s="34">
        <f>Q6*S6</f>
        <v>186.48</v>
      </c>
      <c r="U6" s="9"/>
    </row>
    <row r="7" spans="1:22" x14ac:dyDescent="0.25">
      <c r="A7" s="34" t="s">
        <v>124</v>
      </c>
      <c r="B7" s="34">
        <v>1275</v>
      </c>
      <c r="C7" s="34">
        <v>57</v>
      </c>
      <c r="D7" s="34">
        <v>20</v>
      </c>
      <c r="E7" s="34">
        <f>B7*C7*D7/1000000000</f>
        <v>1.4534999999999999E-3</v>
      </c>
      <c r="F7" s="34">
        <f>B7*C7/1000000</f>
        <v>7.2675000000000003E-2</v>
      </c>
      <c r="G7" s="34" t="s">
        <v>15</v>
      </c>
      <c r="H7" s="34">
        <f>ROUND(Q7+T7/Раскройка!$F$11,0)</f>
        <v>43328</v>
      </c>
      <c r="I7" s="34" t="s">
        <v>41</v>
      </c>
      <c r="J7" s="34">
        <v>2</v>
      </c>
      <c r="K7" s="34" t="s">
        <v>39</v>
      </c>
      <c r="L7" s="34">
        <v>3</v>
      </c>
      <c r="M7" s="34">
        <f>E7*H7+0.25*((VLOOKUP(I7,Покрытия!$A$2:$B$50,2,FALSE)*J7+VLOOKUP(K7,Покрытия!$A$2:$B$50,2,FALSE)*L7)*F7)</f>
        <v>161.08849799999999</v>
      </c>
      <c r="N7" s="34">
        <v>2</v>
      </c>
      <c r="O7" s="34">
        <f>M7*N7</f>
        <v>322.17699599999997</v>
      </c>
      <c r="P7" s="9"/>
      <c r="Q7" s="34">
        <f t="array" ref="Q7">INDEX(Материалы!$C$2:$C$50,MATCH(G7,Материалы!$A$2:$A$50,0))</f>
        <v>32000</v>
      </c>
      <c r="R7" s="34">
        <f>FLOOR(Раскройка!$C$11/C7,1)*FLOOR(Раскройка!$D$11/B7,1)</f>
        <v>10</v>
      </c>
      <c r="S7" s="34">
        <f>MAX(Раскройка!$F$11-E7*R7,0)</f>
        <v>7.9649999999999999E-3</v>
      </c>
      <c r="T7" s="34">
        <f>Q7*S7</f>
        <v>254.88</v>
      </c>
      <c r="U7" s="9"/>
    </row>
    <row r="8" spans="1:22" x14ac:dyDescent="0.25">
      <c r="A8" s="34" t="s">
        <v>125</v>
      </c>
      <c r="B8" s="34">
        <f>975-300</f>
        <v>675</v>
      </c>
      <c r="C8" s="34">
        <v>23</v>
      </c>
      <c r="D8" s="34">
        <v>11</v>
      </c>
      <c r="E8" s="34">
        <f>B8*C8*D8/1000000000</f>
        <v>1.7077499999999999E-4</v>
      </c>
      <c r="F8" s="34">
        <f>B8*C8/1000000</f>
        <v>1.5525000000000001E-2</v>
      </c>
      <c r="G8" s="34" t="s">
        <v>15</v>
      </c>
      <c r="H8" s="34">
        <f>ROUND(Q8+T8/Раскройка!$F$11,0)</f>
        <v>51370</v>
      </c>
      <c r="I8" s="34" t="s">
        <v>41</v>
      </c>
      <c r="J8" s="34">
        <v>2</v>
      </c>
      <c r="K8" s="34" t="s">
        <v>39</v>
      </c>
      <c r="L8" s="34">
        <v>3</v>
      </c>
      <c r="M8" s="34">
        <f>E8*H8+0.25*((VLOOKUP(I8,Покрытия!$A$2:$B$50,2,FALSE)*J8+VLOOKUP(K8,Покрытия!$A$2:$B$50,2,FALSE)*L8)*F8)</f>
        <v>29.731461750000001</v>
      </c>
      <c r="N8" s="34">
        <v>2</v>
      </c>
      <c r="O8" s="34">
        <f>M8*N8</f>
        <v>59.462923500000002</v>
      </c>
      <c r="P8" s="9"/>
      <c r="Q8" s="34">
        <f t="array" ref="Q8">INDEX(Материалы!$C$2:$C$50,MATCH(G8,Материалы!$A$2:$A$50,0))</f>
        <v>32000</v>
      </c>
      <c r="R8" s="34">
        <f>FLOOR(Раскройка!$C$11/C8,1)*FLOOR(Раскройка!$D$11/B8,1)</f>
        <v>52</v>
      </c>
      <c r="S8" s="34">
        <f>MAX(Раскройка!$F$11-E8*R8,0)</f>
        <v>1.36197E-2</v>
      </c>
      <c r="T8" s="34">
        <f>Q8*S8</f>
        <v>435.8304</v>
      </c>
      <c r="U8" s="9"/>
    </row>
    <row r="9" spans="1:22" x14ac:dyDescent="0.25">
      <c r="A9" s="34" t="s">
        <v>124</v>
      </c>
      <c r="B9" s="34">
        <v>975</v>
      </c>
      <c r="C9" s="34">
        <v>23</v>
      </c>
      <c r="D9" s="34">
        <v>11</v>
      </c>
      <c r="E9" s="34">
        <f>B9*C9*D9/1000000000</f>
        <v>2.4667500000000002E-4</v>
      </c>
      <c r="F9" s="34">
        <f>B9*C9/1000000</f>
        <v>2.2425E-2</v>
      </c>
      <c r="G9" s="34" t="s">
        <v>15</v>
      </c>
      <c r="H9" s="34">
        <f>ROUND(Q9+T9/Раскройка!$F$11,0)</f>
        <v>50318</v>
      </c>
      <c r="I9" s="34" t="s">
        <v>41</v>
      </c>
      <c r="J9" s="34">
        <v>2</v>
      </c>
      <c r="K9" s="34" t="s">
        <v>39</v>
      </c>
      <c r="L9" s="34">
        <v>3</v>
      </c>
      <c r="M9" s="34">
        <f>E9*H9+0.25*((VLOOKUP(I9,Покрытия!$A$2:$B$50,2,FALSE)*J9+VLOOKUP(K9,Покрытия!$A$2:$B$50,2,FALSE)*L9)*F9)</f>
        <v>42.685942650000001</v>
      </c>
      <c r="N9" s="34">
        <v>2</v>
      </c>
      <c r="O9" s="34">
        <f>M9*N9</f>
        <v>85.371885300000002</v>
      </c>
      <c r="P9" s="9"/>
      <c r="Q9" s="34">
        <f t="array" ref="Q9">INDEX(Материалы!$C$2:$C$50,MATCH(G9,Материалы!$A$2:$A$50,0))</f>
        <v>32000</v>
      </c>
      <c r="R9" s="34">
        <f>FLOOR(Раскройка!$C$11/C9,1)*FLOOR(Раскройка!$D$11/B9,1)</f>
        <v>39</v>
      </c>
      <c r="S9" s="34">
        <f>MAX(Раскройка!$F$11-E9*R9,0)</f>
        <v>1.2879674999999998E-2</v>
      </c>
      <c r="T9" s="34">
        <f>Q9*S9</f>
        <v>412.14959999999996</v>
      </c>
      <c r="U9" s="9"/>
    </row>
    <row r="10" spans="1:22" x14ac:dyDescent="0.25">
      <c r="A10" s="34" t="s">
        <v>118</v>
      </c>
      <c r="B10" s="34">
        <v>7300</v>
      </c>
      <c r="C10" s="34">
        <v>90</v>
      </c>
      <c r="D10" s="34">
        <v>55</v>
      </c>
      <c r="E10" s="34">
        <f>B10*C10*D10/1000000000</f>
        <v>3.6135E-2</v>
      </c>
      <c r="F10" s="34">
        <f>B10*C10/1000000</f>
        <v>0.65700000000000003</v>
      </c>
      <c r="G10" s="34" t="s">
        <v>15</v>
      </c>
      <c r="H10" s="34">
        <f>ROUND(Q10+T10/Раскройка!$F$11,0)</f>
        <v>64000</v>
      </c>
      <c r="I10" s="34" t="s">
        <v>41</v>
      </c>
      <c r="J10" s="34">
        <v>2</v>
      </c>
      <c r="K10" s="34" t="s">
        <v>39</v>
      </c>
      <c r="L10" s="34">
        <v>3</v>
      </c>
      <c r="M10" s="34">
        <f>E10*H10+0.25*((VLOOKUP(I10,Покрытия!$A$2:$B$50,2,FALSE)*J10+VLOOKUP(K10,Покрытия!$A$2:$B$50,2,FALSE)*L10)*F10)</f>
        <v>3199.59</v>
      </c>
      <c r="N10" s="34">
        <v>1</v>
      </c>
      <c r="O10" s="34">
        <f>M10*N10</f>
        <v>3199.59</v>
      </c>
      <c r="P10" s="9"/>
      <c r="Q10" s="34">
        <f t="array" ref="Q10">INDEX(Материалы!$C$2:$C$50,MATCH(G10,Материалы!$A$2:$A$50,0))</f>
        <v>32000</v>
      </c>
      <c r="R10" s="34">
        <f>FLOOR(Раскройка!$C$11/C10,1)*FLOOR(Раскройка!$D$11/B10,1)</f>
        <v>0</v>
      </c>
      <c r="S10" s="34">
        <f>MAX(Раскройка!$F$11-E10*R10,0)</f>
        <v>2.2499999999999999E-2</v>
      </c>
      <c r="T10" s="34">
        <f>Q10*S10</f>
        <v>720</v>
      </c>
      <c r="U10" s="9"/>
    </row>
    <row r="11" spans="1:22" x14ac:dyDescent="0.25">
      <c r="A11" s="27"/>
      <c r="B11" s="27" t="s">
        <v>97</v>
      </c>
      <c r="C11" s="34" t="s">
        <v>98</v>
      </c>
      <c r="D11" s="34" t="s">
        <v>58</v>
      </c>
    </row>
    <row r="12" spans="1:22" x14ac:dyDescent="0.25">
      <c r="A12" s="34" t="s">
        <v>96</v>
      </c>
      <c r="B12" s="34">
        <f>(1975+1675+1975+1675)/1000</f>
        <v>7.3</v>
      </c>
      <c r="C12" s="34">
        <v>518</v>
      </c>
      <c r="D12" s="34">
        <f>B12*C12</f>
        <v>3781.4</v>
      </c>
    </row>
    <row r="13" spans="1:22" x14ac:dyDescent="0.25">
      <c r="A13" s="34" t="s">
        <v>100</v>
      </c>
      <c r="B13" s="34">
        <f>(1975+1675+1975+1675)/1000</f>
        <v>7.3</v>
      </c>
      <c r="C13" s="34">
        <v>45</v>
      </c>
      <c r="D13" s="34">
        <f>B13*C13</f>
        <v>328.5</v>
      </c>
    </row>
  </sheetData>
  <pageMargins left="0.7" right="0.7" top="0.75" bottom="0.75" header="0.3" footer="0.3"/>
  <pageSetup paperSize="9" scale="73" fitToHeight="0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9"/>
  <sheetViews>
    <sheetView workbookViewId="0">
      <selection activeCell="A38" sqref="A38:D39"/>
    </sheetView>
  </sheetViews>
  <sheetFormatPr defaultRowHeight="15" x14ac:dyDescent="0.25"/>
  <cols>
    <col min="1" max="1" width="25.42578125" customWidth="1"/>
    <col min="7" max="7" width="15.85546875" customWidth="1"/>
    <col min="8" max="8" width="16.28515625" customWidth="1"/>
    <col min="10" max="10" width="13.140625" customWidth="1"/>
    <col min="12" max="12" width="14" customWidth="1"/>
    <col min="13" max="13" width="15.140625" customWidth="1"/>
    <col min="14" max="14" width="15.28515625" customWidth="1"/>
    <col min="17" max="20" width="0" hidden="1" customWidth="1"/>
  </cols>
  <sheetData>
    <row r="1" spans="1:22" x14ac:dyDescent="0.25">
      <c r="A1" s="45" t="s">
        <v>92</v>
      </c>
      <c r="B1" s="46" t="s">
        <v>91</v>
      </c>
      <c r="C1" s="46" t="s">
        <v>61</v>
      </c>
      <c r="D1" s="46" t="s">
        <v>58</v>
      </c>
    </row>
    <row r="2" spans="1:22" ht="13.5" customHeight="1" x14ac:dyDescent="0.25">
      <c r="A2" s="35" t="s">
        <v>142</v>
      </c>
      <c r="B2" s="44">
        <v>1</v>
      </c>
      <c r="C2" s="46">
        <f>ROUND(SUM(O6:O36)+D39,0)</f>
        <v>32728</v>
      </c>
      <c r="D2" s="46">
        <f>C2*B2</f>
        <v>32728</v>
      </c>
    </row>
    <row r="3" spans="1:22" x14ac:dyDescent="0.25">
      <c r="A3" s="36"/>
    </row>
    <row r="5" spans="1:22" x14ac:dyDescent="0.25">
      <c r="A5" s="46" t="s">
        <v>32</v>
      </c>
      <c r="B5" s="46" t="s">
        <v>20</v>
      </c>
      <c r="C5" s="46" t="s">
        <v>19</v>
      </c>
      <c r="D5" s="46" t="s">
        <v>21</v>
      </c>
      <c r="E5" s="46" t="s">
        <v>22</v>
      </c>
      <c r="F5" s="7" t="s">
        <v>26</v>
      </c>
      <c r="G5" s="7" t="s">
        <v>49</v>
      </c>
      <c r="H5" s="46" t="s">
        <v>46</v>
      </c>
      <c r="I5" s="46" t="s">
        <v>35</v>
      </c>
      <c r="J5" s="46" t="s">
        <v>47</v>
      </c>
      <c r="K5" s="46" t="s">
        <v>35</v>
      </c>
      <c r="L5" s="46" t="s">
        <v>47</v>
      </c>
      <c r="M5" s="7" t="s">
        <v>48</v>
      </c>
      <c r="N5" s="46" t="s">
        <v>59</v>
      </c>
      <c r="O5" s="46" t="s">
        <v>58</v>
      </c>
      <c r="P5" s="9"/>
      <c r="Q5" s="7" t="s">
        <v>50</v>
      </c>
      <c r="R5" s="7" t="s">
        <v>53</v>
      </c>
      <c r="S5" s="7" t="s">
        <v>51</v>
      </c>
      <c r="T5" s="7" t="s">
        <v>52</v>
      </c>
      <c r="U5" s="9"/>
      <c r="V5" s="9"/>
    </row>
    <row r="6" spans="1:22" x14ac:dyDescent="0.25">
      <c r="A6" s="46" t="s">
        <v>108</v>
      </c>
      <c r="B6" s="46">
        <v>1599</v>
      </c>
      <c r="C6" s="46">
        <v>1132</v>
      </c>
      <c r="D6" s="46">
        <v>6</v>
      </c>
      <c r="E6" s="46">
        <f t="shared" ref="E6:E7" si="0">B6*C6/1000000</f>
        <v>1.810068</v>
      </c>
      <c r="F6" s="20"/>
      <c r="G6" s="7" t="s">
        <v>3</v>
      </c>
      <c r="H6" s="46">
        <f>ROUND(Q6+T6/Раскройка!$F$2,0)</f>
        <v>176</v>
      </c>
      <c r="I6" s="46" t="s">
        <v>41</v>
      </c>
      <c r="J6" s="46">
        <v>2</v>
      </c>
      <c r="K6" s="46" t="s">
        <v>39</v>
      </c>
      <c r="L6" s="46">
        <v>3</v>
      </c>
      <c r="M6" s="46">
        <f>E6*(0.25*(VLOOKUP(I6,Покрытия!$A$2:$B$40,2,FALSE)*J6+VLOOKUP(K6,Покрытия!$A$2:$B$40,2,FALSE)*L6)+H6)</f>
        <v>2762.1637679999999</v>
      </c>
      <c r="N6" s="46">
        <v>1</v>
      </c>
      <c r="O6" s="46">
        <f t="shared" ref="O6:O7" si="1">M6*N6</f>
        <v>2762.1637679999999</v>
      </c>
      <c r="P6" s="9"/>
      <c r="Q6" s="46">
        <f t="array" ref="Q6">INDEX(Материалы!$C$2:$C$50,MATCH(G6&amp;D6,Материалы!$A$2:$A$50&amp;Материалы!$B$2:$B$50,0))</f>
        <v>104</v>
      </c>
      <c r="R6" s="46">
        <f>FLOOR(Раскройка!$D$2/B6,1)*FLOOR(Раскройка!$C$2/C6,1)</f>
        <v>1</v>
      </c>
      <c r="S6" s="46">
        <f>MAX(Раскройка!$F$2-E6*R6,0)</f>
        <v>3.9899319999999996</v>
      </c>
      <c r="T6" s="46">
        <f t="shared" ref="T6:T7" si="2">Q6*S6</f>
        <v>414.95292799999993</v>
      </c>
      <c r="U6" s="9"/>
      <c r="V6" s="9"/>
    </row>
    <row r="7" spans="1:22" x14ac:dyDescent="0.25">
      <c r="A7" s="46" t="s">
        <v>107</v>
      </c>
      <c r="B7" s="46">
        <v>1599</v>
      </c>
      <c r="C7" s="46">
        <v>444</v>
      </c>
      <c r="D7" s="46">
        <v>19</v>
      </c>
      <c r="E7" s="46">
        <f t="shared" si="0"/>
        <v>0.70995600000000003</v>
      </c>
      <c r="F7" s="20"/>
      <c r="G7" s="7" t="s">
        <v>12</v>
      </c>
      <c r="H7" s="46">
        <f>ROUND(Q7+T7/Раскройка!$F$2,0)</f>
        <v>1109</v>
      </c>
      <c r="I7" s="46" t="s">
        <v>41</v>
      </c>
      <c r="J7" s="46">
        <v>2</v>
      </c>
      <c r="K7" s="46" t="s">
        <v>39</v>
      </c>
      <c r="L7" s="46">
        <v>3</v>
      </c>
      <c r="M7" s="46">
        <f>E7*(0.25*(VLOOKUP(I7,Покрытия!$A$2:$B$40,2,FALSE)*J7+VLOOKUP(K7,Покрытия!$A$2:$B$40,2,FALSE)*L7)+H7)</f>
        <v>1745.781804</v>
      </c>
      <c r="N7" s="46">
        <v>2</v>
      </c>
      <c r="O7" s="46">
        <f t="shared" si="1"/>
        <v>3491.5636079999999</v>
      </c>
      <c r="P7" s="9"/>
      <c r="Q7" s="46">
        <f t="array" ref="Q7">INDEX(Материалы!$C$2:$C$50,MATCH(G7&amp;D7,Материалы!$A$2:$A$50&amp;Материалы!$B$2:$B$50,0))</f>
        <v>734</v>
      </c>
      <c r="R7" s="46">
        <f>FLOOR(Раскройка!$D$2/B7,1)*FLOOR(Раскройка!$C$2/C7,1)</f>
        <v>4</v>
      </c>
      <c r="S7" s="46">
        <f>MAX(Раскройка!$F$2-E7*R7,0)</f>
        <v>2.9601759999999997</v>
      </c>
      <c r="T7" s="46">
        <f t="shared" si="2"/>
        <v>2172.7691839999998</v>
      </c>
      <c r="U7" s="9"/>
    </row>
    <row r="8" spans="1:22" x14ac:dyDescent="0.25">
      <c r="A8" s="46" t="s">
        <v>137</v>
      </c>
      <c r="B8" s="46">
        <v>1132</v>
      </c>
      <c r="C8" s="46">
        <v>444</v>
      </c>
      <c r="D8" s="46">
        <v>19</v>
      </c>
      <c r="E8" s="46">
        <f t="shared" ref="E8" si="3">B8*C8/1000000</f>
        <v>0.50260800000000005</v>
      </c>
      <c r="F8" s="20"/>
      <c r="G8" s="7" t="s">
        <v>12</v>
      </c>
      <c r="H8" s="46">
        <f>ROUND(Q8+T8/Раскройка!$F$2,0)</f>
        <v>959</v>
      </c>
      <c r="I8" s="46" t="s">
        <v>41</v>
      </c>
      <c r="J8" s="46">
        <v>2</v>
      </c>
      <c r="K8" s="46" t="s">
        <v>39</v>
      </c>
      <c r="L8" s="46">
        <v>3</v>
      </c>
      <c r="M8" s="46">
        <f>E8*(0.25*(VLOOKUP(I8,Покрытия!$A$2:$B$40,2,FALSE)*J8+VLOOKUP(K8,Покрытия!$A$2:$B$40,2,FALSE)*L8)+H8)</f>
        <v>1160.521872</v>
      </c>
      <c r="N8" s="46">
        <v>2</v>
      </c>
      <c r="O8" s="46">
        <f t="shared" ref="O8" si="4">M8*N8</f>
        <v>2321.0437440000001</v>
      </c>
      <c r="P8" s="9"/>
      <c r="Q8" s="46">
        <f t="array" ref="Q8">INDEX(Материалы!$C$2:$C$50,MATCH(G8&amp;D8,Материалы!$A$2:$A$50&amp;Материалы!$B$2:$B$50,0))</f>
        <v>734</v>
      </c>
      <c r="R8" s="46">
        <f>FLOOR(Раскройка!$D$2/B8,1)*FLOOR(Раскройка!$C$2/C8,1)</f>
        <v>8</v>
      </c>
      <c r="S8" s="46">
        <f>MAX(Раскройка!$F$2-E8*R8,0)</f>
        <v>1.7791359999999994</v>
      </c>
      <c r="T8" s="46">
        <f t="shared" ref="T8" si="5">Q8*S8</f>
        <v>1305.8858239999995</v>
      </c>
    </row>
    <row r="9" spans="1:22" x14ac:dyDescent="0.25">
      <c r="A9" s="46" t="s">
        <v>111</v>
      </c>
      <c r="B9" s="46">
        <v>2300</v>
      </c>
      <c r="C9" s="46">
        <v>31</v>
      </c>
      <c r="D9" s="46">
        <v>38</v>
      </c>
      <c r="E9" s="46">
        <f>B9*C9*D9/1000000000</f>
        <v>2.7093999999999998E-3</v>
      </c>
      <c r="F9" s="46">
        <f>B9*C9/1000000</f>
        <v>7.1300000000000002E-2</v>
      </c>
      <c r="G9" s="46" t="s">
        <v>15</v>
      </c>
      <c r="H9" s="46">
        <f>ROUND(Q9+T9/Раскройка!$F$11,0)</f>
        <v>32000</v>
      </c>
      <c r="I9" s="46" t="s">
        <v>41</v>
      </c>
      <c r="J9" s="46">
        <v>2</v>
      </c>
      <c r="K9" s="46" t="s">
        <v>39</v>
      </c>
      <c r="L9" s="46">
        <v>3</v>
      </c>
      <c r="M9" s="46">
        <f>E9*H9+0.25*((VLOOKUP(I9,Покрытия!$A$2:$B$50,2,FALSE)*J9+VLOOKUP(K9,Покрытия!$A$2:$B$50,2,FALSE)*L9)*F9)</f>
        <v>182.95580000000001</v>
      </c>
      <c r="N9" s="46">
        <v>2</v>
      </c>
      <c r="O9" s="46">
        <f>M9*N9</f>
        <v>365.91160000000002</v>
      </c>
      <c r="P9" s="9"/>
      <c r="Q9" s="46">
        <f t="array" ref="Q9">INDEX(Материалы!$C$2:$C$50,MATCH(G9,Материалы!$A$2:$A$50,0))</f>
        <v>32000</v>
      </c>
      <c r="R9" s="46">
        <f>FLOOR(Раскройка!$C$11/C9,1)*FLOOR(Раскройка!$D$11/B9,1)</f>
        <v>9</v>
      </c>
      <c r="S9" s="46">
        <f>MAX(Раскройка!$F$11-E9*R9,0)</f>
        <v>0</v>
      </c>
      <c r="T9" s="46">
        <f>Q9*S9</f>
        <v>0</v>
      </c>
      <c r="U9" s="9"/>
    </row>
    <row r="10" spans="1:22" x14ac:dyDescent="0.25">
      <c r="A10" s="46" t="s">
        <v>112</v>
      </c>
      <c r="B10" s="46">
        <v>1132</v>
      </c>
      <c r="C10" s="46">
        <v>31</v>
      </c>
      <c r="D10" s="46">
        <v>38</v>
      </c>
      <c r="E10" s="46">
        <f>B10*C10*D10/1000000000</f>
        <v>1.333496E-3</v>
      </c>
      <c r="F10" s="46">
        <f>B10*C10/1000000</f>
        <v>3.5091999999999998E-2</v>
      </c>
      <c r="G10" s="46" t="s">
        <v>15</v>
      </c>
      <c r="H10" s="46">
        <f>ROUND(Q10+T10/Раскройка!$F$11,0)</f>
        <v>32000</v>
      </c>
      <c r="I10" s="46" t="s">
        <v>41</v>
      </c>
      <c r="J10" s="46">
        <v>2</v>
      </c>
      <c r="K10" s="46" t="s">
        <v>39</v>
      </c>
      <c r="L10" s="46">
        <v>3</v>
      </c>
      <c r="M10" s="46">
        <f>E10*H10+0.25*((VLOOKUP(I10,Покрытия!$A$2:$B$50,2,FALSE)*J10+VLOOKUP(K10,Покрытия!$A$2:$B$50,2,FALSE)*L10)*F10)</f>
        <v>90.046071999999995</v>
      </c>
      <c r="N10" s="46">
        <v>2</v>
      </c>
      <c r="O10" s="46">
        <f>M10*N10</f>
        <v>180.09214399999999</v>
      </c>
      <c r="P10" s="9"/>
      <c r="Q10" s="46">
        <f t="array" ref="Q10">INDEX(Материалы!$C$2:$C$50,MATCH(G10,Материалы!$A$2:$A$50,0))</f>
        <v>32000</v>
      </c>
      <c r="R10" s="46">
        <f>FLOOR(Раскройка!$C$11/C10,1)*FLOOR(Раскройка!$D$11/B10,1)</f>
        <v>18</v>
      </c>
      <c r="S10" s="46">
        <f>MAX(Раскройка!$F$11-E10*R10,0)</f>
        <v>0</v>
      </c>
      <c r="T10" s="46">
        <f>Q10*S10</f>
        <v>0</v>
      </c>
      <c r="U10" s="9"/>
    </row>
    <row r="11" spans="1:22" x14ac:dyDescent="0.25">
      <c r="A11" s="46" t="s">
        <v>138</v>
      </c>
      <c r="B11" s="46">
        <v>590</v>
      </c>
      <c r="C11" s="46">
        <v>57</v>
      </c>
      <c r="D11" s="46">
        <v>25</v>
      </c>
      <c r="E11" s="46">
        <f t="shared" ref="E11" si="6">B11*C11/1000000</f>
        <v>3.363E-2</v>
      </c>
      <c r="F11" s="20"/>
      <c r="G11" s="7" t="s">
        <v>12</v>
      </c>
      <c r="H11" s="46">
        <f>ROUND(Q11+T11/Раскройка!$F$2,0)</f>
        <v>1125</v>
      </c>
      <c r="I11" s="46" t="s">
        <v>41</v>
      </c>
      <c r="J11" s="46">
        <v>2</v>
      </c>
      <c r="K11" s="46" t="s">
        <v>39</v>
      </c>
      <c r="L11" s="46">
        <v>3</v>
      </c>
      <c r="M11" s="46">
        <f>E11*(0.25*(VLOOKUP(I11,Покрытия!$A$2:$B$40,2,FALSE)*J11+VLOOKUP(K11,Покрытия!$A$2:$B$40,2,FALSE)*L11)+H11)</f>
        <v>83.234250000000003</v>
      </c>
      <c r="N11" s="46">
        <v>2</v>
      </c>
      <c r="O11" s="46">
        <f t="shared" ref="O11" si="7">M11*N11</f>
        <v>166.46850000000001</v>
      </c>
      <c r="P11" s="9"/>
      <c r="Q11" s="46">
        <f t="array" ref="Q11">INDEX(Материалы!$C$2:$C$50,MATCH(G11&amp;D11,Материалы!$A$2:$A$50&amp;Материалы!$B$2:$B$50,0))</f>
        <v>966</v>
      </c>
      <c r="R11" s="46">
        <f>FLOOR(Раскройка!$D$2/B11,1)*FLOOR(Раскройка!$C$2/C11,1)</f>
        <v>144</v>
      </c>
      <c r="S11" s="46">
        <f>MAX(Раскройка!$F$2-E11*R11,0)</f>
        <v>0.95727999999999991</v>
      </c>
      <c r="T11" s="46">
        <f t="shared" ref="T11" si="8">Q11*S11</f>
        <v>924.7324799999999</v>
      </c>
      <c r="U11" s="9"/>
    </row>
    <row r="12" spans="1:22" x14ac:dyDescent="0.25">
      <c r="A12" s="46" t="s">
        <v>139</v>
      </c>
      <c r="B12" s="46">
        <f>1132/2</f>
        <v>566</v>
      </c>
      <c r="C12" s="46">
        <v>57</v>
      </c>
      <c r="D12" s="46">
        <v>25</v>
      </c>
      <c r="E12" s="46">
        <f t="shared" ref="E12:E13" si="9">B12*C12/1000000</f>
        <v>3.2261999999999999E-2</v>
      </c>
      <c r="F12" s="20"/>
      <c r="G12" s="7" t="s">
        <v>12</v>
      </c>
      <c r="H12" s="46">
        <f>ROUND(Q12+T12/Раскройка!$F$2,0)</f>
        <v>1158</v>
      </c>
      <c r="I12" s="46" t="s">
        <v>41</v>
      </c>
      <c r="J12" s="46">
        <v>2</v>
      </c>
      <c r="K12" s="46" t="s">
        <v>39</v>
      </c>
      <c r="L12" s="46">
        <v>3</v>
      </c>
      <c r="M12" s="46">
        <f>E12*(0.25*(VLOOKUP(I12,Покрытия!$A$2:$B$40,2,FALSE)*J12+VLOOKUP(K12,Покрытия!$A$2:$B$40,2,FALSE)*L12)+H12)</f>
        <v>80.913095999999996</v>
      </c>
      <c r="N12" s="46">
        <v>2</v>
      </c>
      <c r="O12" s="46">
        <f t="shared" ref="O12:O13" si="10">M12*N12</f>
        <v>161.82619199999999</v>
      </c>
      <c r="P12" s="9"/>
      <c r="Q12" s="46">
        <f t="array" ref="Q12">INDEX(Материалы!$C$2:$C$50,MATCH(G12&amp;D12,Материалы!$A$2:$A$50&amp;Материалы!$B$2:$B$50,0))</f>
        <v>966</v>
      </c>
      <c r="R12" s="46">
        <f>FLOOR(Раскройка!$D$2/B12,1)*FLOOR(Раскройка!$C$2/C12,1)</f>
        <v>144</v>
      </c>
      <c r="S12" s="46">
        <f>MAX(Раскройка!$F$2-E12*R12,0)</f>
        <v>1.1542719999999997</v>
      </c>
      <c r="T12" s="46">
        <f t="shared" ref="T12:T13" si="11">Q12*S12</f>
        <v>1115.0267519999998</v>
      </c>
      <c r="U12" s="9"/>
    </row>
    <row r="13" spans="1:22" x14ac:dyDescent="0.25">
      <c r="A13" s="46" t="s">
        <v>57</v>
      </c>
      <c r="B13" s="46">
        <v>590</v>
      </c>
      <c r="C13" s="46">
        <v>566</v>
      </c>
      <c r="D13" s="46">
        <v>10</v>
      </c>
      <c r="E13" s="46">
        <f t="shared" si="9"/>
        <v>0.33394000000000001</v>
      </c>
      <c r="F13" s="20"/>
      <c r="G13" s="7" t="s">
        <v>3</v>
      </c>
      <c r="H13" s="46">
        <f>ROUND(Q13+T13/Раскройка!$F$2,0)</f>
        <v>224</v>
      </c>
      <c r="I13" s="46" t="s">
        <v>41</v>
      </c>
      <c r="J13" s="46">
        <v>2</v>
      </c>
      <c r="K13" s="46" t="s">
        <v>39</v>
      </c>
      <c r="L13" s="46">
        <v>3</v>
      </c>
      <c r="M13" s="46">
        <f>E13*(0.25*(VLOOKUP(I13,Покрытия!$A$2:$B$40,2,FALSE)*J13+VLOOKUP(K13,Покрытия!$A$2:$B$40,2,FALSE)*L13)+H13)</f>
        <v>525.62156000000004</v>
      </c>
      <c r="N13" s="46">
        <v>2</v>
      </c>
      <c r="O13" s="46">
        <f t="shared" si="10"/>
        <v>1051.2431200000001</v>
      </c>
      <c r="P13" s="9"/>
      <c r="Q13" s="46">
        <f t="array" ref="Q13">INDEX(Материалы!$C$2:$C$50,MATCH(G13&amp;D13,Материалы!$A$2:$A$50&amp;Материалы!$B$2:$B$50,0))</f>
        <v>171</v>
      </c>
      <c r="R13" s="46">
        <f>FLOOR(Раскройка!$D$2/B13,1)*FLOOR(Раскройка!$C$2/C13,1)</f>
        <v>12</v>
      </c>
      <c r="S13" s="46">
        <f>MAX(Раскройка!$F$2-E13*R13,0)</f>
        <v>1.7927200000000001</v>
      </c>
      <c r="T13" s="46">
        <f t="shared" si="11"/>
        <v>306.55511999999999</v>
      </c>
      <c r="U13" s="9"/>
      <c r="V13" s="9"/>
    </row>
    <row r="14" spans="1:22" x14ac:dyDescent="0.25">
      <c r="A14" s="46" t="s">
        <v>113</v>
      </c>
      <c r="B14" s="46">
        <v>2300</v>
      </c>
      <c r="C14" s="46">
        <v>77</v>
      </c>
      <c r="D14" s="46">
        <v>18</v>
      </c>
      <c r="E14" s="46">
        <f t="shared" ref="E14" si="12">B14*C14/1000000</f>
        <v>0.17710000000000001</v>
      </c>
      <c r="F14" s="20"/>
      <c r="G14" s="7" t="s">
        <v>12</v>
      </c>
      <c r="H14" s="46">
        <f>ROUND(Q14+T14/Раскройка!$F$2,0)</f>
        <v>603</v>
      </c>
      <c r="I14" s="46" t="s">
        <v>41</v>
      </c>
      <c r="J14" s="46">
        <v>2</v>
      </c>
      <c r="K14" s="46" t="s">
        <v>39</v>
      </c>
      <c r="L14" s="46">
        <v>3</v>
      </c>
      <c r="M14" s="46">
        <f>E14*(0.25*(VLOOKUP(I14,Покрытия!$A$2:$B$40,2,FALSE)*J14+VLOOKUP(K14,Покрытия!$A$2:$B$40,2,FALSE)*L14)+H14)</f>
        <v>345.87630000000001</v>
      </c>
      <c r="N14" s="46">
        <v>2</v>
      </c>
      <c r="O14" s="46">
        <f t="shared" ref="O14" si="13">M14*N14</f>
        <v>691.75260000000003</v>
      </c>
      <c r="P14" s="9"/>
      <c r="Q14" s="46">
        <f t="array" ref="Q14">INDEX(Материалы!$C$2:$C$50,MATCH(G14&amp;D14,Материалы!$A$2:$A$50&amp;Материалы!$B$2:$B$50,0))</f>
        <v>500</v>
      </c>
      <c r="R14" s="46">
        <f>FLOOR(Раскройка!$D$2/B14,1)*FLOOR(Раскройка!$C$2/C14,1)</f>
        <v>26</v>
      </c>
      <c r="S14" s="46">
        <f>MAX(Раскройка!$F$2-E14*R14,0)</f>
        <v>1.1953999999999994</v>
      </c>
      <c r="T14" s="46">
        <f t="shared" ref="T14" si="14">Q14*S14</f>
        <v>597.6999999999997</v>
      </c>
      <c r="U14" s="9"/>
    </row>
    <row r="15" spans="1:22" x14ac:dyDescent="0.25">
      <c r="A15" s="46" t="s">
        <v>140</v>
      </c>
      <c r="B15" s="46">
        <v>590</v>
      </c>
      <c r="C15" s="46">
        <v>20</v>
      </c>
      <c r="D15" s="46">
        <v>10</v>
      </c>
      <c r="E15" s="46">
        <f>B15*C15*D15/1000000000</f>
        <v>1.18E-4</v>
      </c>
      <c r="F15" s="46">
        <f>B15*C15/1000000</f>
        <v>1.18E-2</v>
      </c>
      <c r="G15" s="46" t="s">
        <v>15</v>
      </c>
      <c r="H15" s="46">
        <f>ROUND(Q15+T15/Раскройка!$F$11,0)</f>
        <v>51413</v>
      </c>
      <c r="I15" s="46" t="s">
        <v>41</v>
      </c>
      <c r="J15" s="46">
        <v>2</v>
      </c>
      <c r="K15" s="46" t="s">
        <v>39</v>
      </c>
      <c r="L15" s="46">
        <v>3</v>
      </c>
      <c r="M15" s="46">
        <f>E15*H15+0.25*((VLOOKUP(I15,Покрытия!$A$2:$B$50,2,FALSE)*J15+VLOOKUP(K15,Покрытия!$A$2:$B$50,2,FALSE)*L15)*F15)</f>
        <v>21.996734</v>
      </c>
      <c r="N15" s="46">
        <v>2</v>
      </c>
      <c r="O15" s="46">
        <f>M15*N15</f>
        <v>43.993468</v>
      </c>
      <c r="P15" s="9"/>
      <c r="Q15" s="46">
        <f t="array" ref="Q15">INDEX(Материалы!$C$2:$C$50,MATCH(G15,Материалы!$A$2:$A$50,0))</f>
        <v>32000</v>
      </c>
      <c r="R15" s="46">
        <f>FLOOR(Раскройка!$C$11/C15,1)*FLOOR(Раскройка!$D$11/B15,1)</f>
        <v>75</v>
      </c>
      <c r="S15" s="46">
        <f>MAX(Раскройка!$F$11-E15*R15,0)</f>
        <v>1.3649999999999999E-2</v>
      </c>
      <c r="T15" s="46">
        <f>Q15*S15</f>
        <v>436.79999999999995</v>
      </c>
      <c r="U15" s="9"/>
    </row>
    <row r="16" spans="1:22" x14ac:dyDescent="0.25">
      <c r="A16" s="46" t="s">
        <v>141</v>
      </c>
      <c r="B16" s="46">
        <v>566</v>
      </c>
      <c r="C16" s="46">
        <v>20</v>
      </c>
      <c r="D16" s="46">
        <v>10</v>
      </c>
      <c r="E16" s="46">
        <f>B16*C16*D16/1000000000</f>
        <v>1.132E-4</v>
      </c>
      <c r="F16" s="46">
        <f>B16*C16/1000000</f>
        <v>1.132E-2</v>
      </c>
      <c r="G16" s="46" t="s">
        <v>15</v>
      </c>
      <c r="H16" s="46">
        <f>ROUND(Q16+T16/Раскройка!$F$11,0)</f>
        <v>51925</v>
      </c>
      <c r="I16" s="46" t="s">
        <v>41</v>
      </c>
      <c r="J16" s="46">
        <v>2</v>
      </c>
      <c r="K16" s="46" t="s">
        <v>39</v>
      </c>
      <c r="L16" s="46">
        <v>3</v>
      </c>
      <c r="M16" s="46">
        <f>E16*H16+0.25*((VLOOKUP(I16,Покрытия!$A$2:$B$50,2,FALSE)*J16+VLOOKUP(K16,Покрытия!$A$2:$B$50,2,FALSE)*L16)*F16)</f>
        <v>21.15991</v>
      </c>
      <c r="N16" s="46">
        <v>2</v>
      </c>
      <c r="O16" s="46">
        <f>M16*N16</f>
        <v>42.31982</v>
      </c>
      <c r="P16" s="9"/>
      <c r="Q16" s="46">
        <f t="array" ref="Q16">INDEX(Материалы!$C$2:$C$50,MATCH(G16,Материалы!$A$2:$A$50,0))</f>
        <v>32000</v>
      </c>
      <c r="R16" s="46">
        <f>FLOOR(Раскройка!$C$11/C16,1)*FLOOR(Раскройка!$D$11/B16,1)</f>
        <v>75</v>
      </c>
      <c r="S16" s="46">
        <f>MAX(Раскройка!$F$11-E16*R16,0)</f>
        <v>1.401E-2</v>
      </c>
      <c r="T16" s="46">
        <f>Q16*S16</f>
        <v>448.32</v>
      </c>
      <c r="U16" s="9"/>
    </row>
    <row r="17" spans="1:22" x14ac:dyDescent="0.25">
      <c r="A17" s="46" t="s">
        <v>113</v>
      </c>
      <c r="B17" s="46">
        <v>2300</v>
      </c>
      <c r="C17" s="46">
        <v>77</v>
      </c>
      <c r="D17" s="46">
        <v>10</v>
      </c>
      <c r="E17" s="46">
        <f t="shared" ref="E17" si="15">B17*C17/1000000</f>
        <v>0.17710000000000001</v>
      </c>
      <c r="F17" s="20"/>
      <c r="G17" s="7" t="s">
        <v>3</v>
      </c>
      <c r="H17" s="46">
        <f>ROUND(Q17+T17/Раскройка!$F$2,0)</f>
        <v>206</v>
      </c>
      <c r="I17" s="46" t="s">
        <v>41</v>
      </c>
      <c r="J17" s="46">
        <v>2</v>
      </c>
      <c r="K17" s="46" t="s">
        <v>39</v>
      </c>
      <c r="L17" s="46">
        <v>3</v>
      </c>
      <c r="M17" s="46">
        <f>E17*(0.25*(VLOOKUP(I17,Покрытия!$A$2:$B$40,2,FALSE)*J17+VLOOKUP(K17,Покрытия!$A$2:$B$40,2,FALSE)*L17)+H17)</f>
        <v>275.56760000000003</v>
      </c>
      <c r="N17" s="46">
        <v>2</v>
      </c>
      <c r="O17" s="46">
        <f t="shared" ref="O17" si="16">M17*N17</f>
        <v>551.13520000000005</v>
      </c>
      <c r="P17" s="9"/>
      <c r="Q17" s="46">
        <f t="array" ref="Q17">INDEX(Материалы!$C$2:$C$50,MATCH(G17&amp;D17,Материалы!$A$2:$A$50&amp;Материалы!$B$2:$B$50,0))</f>
        <v>171</v>
      </c>
      <c r="R17" s="46">
        <f>FLOOR(Раскройка!$D$2/B17,1)*FLOOR(Раскройка!$C$2/C17,1)</f>
        <v>26</v>
      </c>
      <c r="S17" s="46">
        <f>MAX(Раскройка!$F$2-E17*R17,0)</f>
        <v>1.1953999999999994</v>
      </c>
      <c r="T17" s="46">
        <f t="shared" ref="T17" si="17">Q17*S17</f>
        <v>204.41339999999988</v>
      </c>
      <c r="U17" s="9"/>
    </row>
    <row r="19" spans="1:22" x14ac:dyDescent="0.25">
      <c r="A19" s="47" t="s">
        <v>34</v>
      </c>
      <c r="B19" s="47">
        <v>100</v>
      </c>
      <c r="C19" s="47">
        <v>80</v>
      </c>
      <c r="D19" s="47">
        <v>50</v>
      </c>
      <c r="E19" s="47">
        <f>B19*C19*D19/1000000000</f>
        <v>4.0000000000000002E-4</v>
      </c>
      <c r="F19" s="47">
        <f>B19*C19/1000000</f>
        <v>8.0000000000000002E-3</v>
      </c>
      <c r="G19" s="47" t="s">
        <v>15</v>
      </c>
      <c r="H19" s="47">
        <f>ROUND(Q19+T19/Раскройка!$F$11,0)</f>
        <v>32000</v>
      </c>
      <c r="I19" s="47" t="s">
        <v>41</v>
      </c>
      <c r="J19" s="47">
        <v>2</v>
      </c>
      <c r="K19" s="47" t="s">
        <v>39</v>
      </c>
      <c r="L19" s="47">
        <v>3</v>
      </c>
      <c r="M19" s="47">
        <f>E19*H19+0.25*((VLOOKUP(I19,Покрытия!$A$2:$B$50,2,FALSE)*J19+VLOOKUP(K19,Покрытия!$A$2:$B$50,2,FALSE)*L19)*F19)</f>
        <v>23.6</v>
      </c>
      <c r="N19" s="47">
        <v>2</v>
      </c>
      <c r="O19" s="47">
        <f>M19*N19</f>
        <v>47.2</v>
      </c>
      <c r="P19" s="9"/>
      <c r="Q19" s="47">
        <f t="array" ref="Q19">INDEX(Материалы!$C$2:$C$50,MATCH(G19,Материалы!$A$2:$A$50,0))</f>
        <v>32000</v>
      </c>
      <c r="R19" s="47">
        <f>FLOOR(Раскройка!$C$11/C19,1)*FLOOR(Раскройка!$D$11/B19,1)</f>
        <v>90</v>
      </c>
      <c r="S19" s="47">
        <f>MAX(Раскройка!$F$11-E19*R19,0)</f>
        <v>0</v>
      </c>
      <c r="T19" s="47">
        <f>Q19*S19</f>
        <v>0</v>
      </c>
      <c r="U19" s="9"/>
    </row>
    <row r="20" spans="1:22" x14ac:dyDescent="0.25">
      <c r="A20" s="47" t="s">
        <v>34</v>
      </c>
      <c r="B20" s="47">
        <v>100</v>
      </c>
      <c r="C20" s="47">
        <v>40</v>
      </c>
      <c r="D20" s="47">
        <v>30</v>
      </c>
      <c r="E20" s="47">
        <f>B20*C20*D20/1000000000</f>
        <v>1.2E-4</v>
      </c>
      <c r="F20" s="47">
        <f>B20*C20/1000000</f>
        <v>4.0000000000000001E-3</v>
      </c>
      <c r="G20" s="47" t="s">
        <v>15</v>
      </c>
      <c r="H20" s="47">
        <f>ROUND(Q20+T20/Раскройка!$F$11,0)</f>
        <v>32000</v>
      </c>
      <c r="I20" s="47" t="s">
        <v>41</v>
      </c>
      <c r="J20" s="47">
        <v>2</v>
      </c>
      <c r="K20" s="47" t="s">
        <v>39</v>
      </c>
      <c r="L20" s="47">
        <v>3</v>
      </c>
      <c r="M20" s="47">
        <f>E20*H20+0.25*((VLOOKUP(I20,Покрытия!$A$2:$B$50,2,FALSE)*J20+VLOOKUP(K20,Покрытия!$A$2:$B$50,2,FALSE)*L20)*F20)</f>
        <v>9.24</v>
      </c>
      <c r="N20" s="47">
        <v>2</v>
      </c>
      <c r="O20" s="47">
        <f>M20*N20</f>
        <v>18.48</v>
      </c>
      <c r="P20" s="9"/>
      <c r="Q20" s="47">
        <f t="array" ref="Q20">INDEX(Материалы!$C$2:$C$50,MATCH(G20,Материалы!$A$2:$A$50,0))</f>
        <v>32000</v>
      </c>
      <c r="R20" s="47">
        <f>FLOOR(Раскройка!$C$11/C20,1)*FLOOR(Раскройка!$D$11/B20,1)</f>
        <v>210</v>
      </c>
      <c r="S20" s="47">
        <f>MAX(Раскройка!$F$11-E20*R20,0)</f>
        <v>0</v>
      </c>
      <c r="T20" s="47">
        <f>Q20*S20</f>
        <v>0</v>
      </c>
      <c r="U20" s="9"/>
    </row>
    <row r="21" spans="1:22" x14ac:dyDescent="0.25">
      <c r="A21" s="47" t="s">
        <v>3</v>
      </c>
      <c r="B21" s="47">
        <v>100</v>
      </c>
      <c r="C21" s="47">
        <v>80</v>
      </c>
      <c r="D21" s="47">
        <v>12</v>
      </c>
      <c r="E21" s="47">
        <f t="shared" ref="E21" si="18">B21*C21/1000000</f>
        <v>8.0000000000000002E-3</v>
      </c>
      <c r="F21" s="20"/>
      <c r="G21" s="7" t="s">
        <v>3</v>
      </c>
      <c r="H21" s="47">
        <f>ROUND(Q21+T21/Раскройка!$F$2,0)</f>
        <v>300</v>
      </c>
      <c r="I21" s="47" t="s">
        <v>41</v>
      </c>
      <c r="J21" s="47">
        <v>2</v>
      </c>
      <c r="K21" s="47" t="s">
        <v>39</v>
      </c>
      <c r="L21" s="47">
        <v>3</v>
      </c>
      <c r="M21" s="47">
        <f>E21*(0.25*(VLOOKUP(I21,Покрытия!$A$2:$B$40,2,FALSE)*J21+VLOOKUP(K21,Покрытия!$A$2:$B$40,2,FALSE)*L21)+H21)</f>
        <v>13.200000000000001</v>
      </c>
      <c r="N21" s="47">
        <v>4</v>
      </c>
      <c r="O21" s="47">
        <f t="shared" ref="O21" si="19">M21*N21</f>
        <v>52.800000000000004</v>
      </c>
      <c r="P21" s="9"/>
      <c r="Q21" s="47">
        <f t="array" ref="Q21">INDEX(Материалы!$C$2:$C$50,MATCH(G21&amp;D21,Материалы!$A$2:$A$50&amp;Материалы!$B$2:$B$50,0))</f>
        <v>290</v>
      </c>
      <c r="R21" s="47">
        <f>FLOOR(Раскройка!$D$2/B21,1)*FLOOR(Раскройка!$C$2/C21,1)</f>
        <v>700</v>
      </c>
      <c r="S21" s="47">
        <f>MAX(Раскройка!$F$2-E21*R21,0)</f>
        <v>0.19999999999999929</v>
      </c>
      <c r="T21" s="47">
        <f t="shared" ref="T21" si="20">Q21*S21</f>
        <v>57.999999999999794</v>
      </c>
      <c r="U21" s="9"/>
    </row>
    <row r="22" spans="1:22" x14ac:dyDescent="0.25">
      <c r="A22" s="47" t="s">
        <v>3</v>
      </c>
      <c r="B22" s="47">
        <v>100</v>
      </c>
      <c r="C22" s="47">
        <v>80</v>
      </c>
      <c r="D22" s="47">
        <v>6</v>
      </c>
      <c r="E22" s="47">
        <f t="shared" ref="E22" si="21">B22*C22/1000000</f>
        <v>8.0000000000000002E-3</v>
      </c>
      <c r="F22" s="20"/>
      <c r="G22" s="7" t="s">
        <v>3</v>
      </c>
      <c r="H22" s="47">
        <f>ROUND(Q22+T22/Раскройка!$F$2,0)</f>
        <v>108</v>
      </c>
      <c r="I22" s="47" t="s">
        <v>41</v>
      </c>
      <c r="J22" s="47">
        <v>2</v>
      </c>
      <c r="K22" s="47" t="s">
        <v>39</v>
      </c>
      <c r="L22" s="47">
        <v>3</v>
      </c>
      <c r="M22" s="47">
        <f>E22*(0.25*(VLOOKUP(I22,Покрытия!$A$2:$B$40,2,FALSE)*J22+VLOOKUP(K22,Покрытия!$A$2:$B$40,2,FALSE)*L22)+H22)</f>
        <v>11.664</v>
      </c>
      <c r="N22" s="47">
        <v>2</v>
      </c>
      <c r="O22" s="47">
        <f t="shared" ref="O22" si="22">M22*N22</f>
        <v>23.327999999999999</v>
      </c>
      <c r="P22" s="9"/>
      <c r="Q22" s="47">
        <f t="array" ref="Q22">INDEX(Материалы!$C$2:$C$50,MATCH(G22&amp;D22,Материалы!$A$2:$A$50&amp;Материалы!$B$2:$B$50,0))</f>
        <v>104</v>
      </c>
      <c r="R22" s="47">
        <f>FLOOR(Раскройка!$D$2/B22,1)*FLOOR(Раскройка!$C$2/C22,1)</f>
        <v>700</v>
      </c>
      <c r="S22" s="47">
        <f>MAX(Раскройка!$F$2-E22*R22,0)</f>
        <v>0.19999999999999929</v>
      </c>
      <c r="T22" s="47">
        <f t="shared" ref="T22" si="23">Q22*S22</f>
        <v>20.799999999999926</v>
      </c>
      <c r="U22" s="9"/>
    </row>
    <row r="24" spans="1:22" x14ac:dyDescent="0.25">
      <c r="A24" s="47" t="s">
        <v>34</v>
      </c>
      <c r="B24" s="47">
        <f>77+77+475+475+1132</f>
        <v>2236</v>
      </c>
      <c r="C24" s="47">
        <v>22</v>
      </c>
      <c r="D24" s="47">
        <v>30</v>
      </c>
      <c r="E24" s="47">
        <f>B24*C24*D24/1000000000</f>
        <v>1.47576E-3</v>
      </c>
      <c r="F24" s="47">
        <f>B24*C24/1000000</f>
        <v>4.9192E-2</v>
      </c>
      <c r="G24" s="47" t="s">
        <v>15</v>
      </c>
      <c r="H24" s="47">
        <f>ROUND(Q24+T24/Раскройка!$F$11,0)</f>
        <v>36715</v>
      </c>
      <c r="I24" s="47" t="s">
        <v>41</v>
      </c>
      <c r="J24" s="47">
        <v>2</v>
      </c>
      <c r="K24" s="47" t="s">
        <v>39</v>
      </c>
      <c r="L24" s="47">
        <v>3</v>
      </c>
      <c r="M24" s="47">
        <f>E24*H24+0.25*((VLOOKUP(I24,Покрытия!$A$2:$B$50,2,FALSE)*J24+VLOOKUP(K24,Покрытия!$A$2:$B$50,2,FALSE)*L24)*F24)</f>
        <v>120.59172839999999</v>
      </c>
      <c r="N24" s="47">
        <v>1</v>
      </c>
      <c r="O24" s="47">
        <f>M24*N24</f>
        <v>120.59172839999999</v>
      </c>
      <c r="P24" s="9"/>
      <c r="Q24" s="47">
        <f t="array" ref="Q24">INDEX(Материалы!$C$2:$C$50,MATCH(G24,Материалы!$A$2:$A$50,0))</f>
        <v>32000</v>
      </c>
      <c r="R24" s="47">
        <f>FLOOR(Раскройка!$C$11/C24,1)*FLOOR(Раскройка!$D$11/B24,1)</f>
        <v>13</v>
      </c>
      <c r="S24" s="47">
        <f>MAX(Раскройка!$F$11-E24*R24,0)</f>
        <v>3.3151199999999978E-3</v>
      </c>
      <c r="T24" s="47">
        <f>Q24*S24</f>
        <v>106.08383999999992</v>
      </c>
      <c r="U24" s="9"/>
    </row>
    <row r="25" spans="1:22" x14ac:dyDescent="0.25">
      <c r="A25" s="47" t="s">
        <v>34</v>
      </c>
      <c r="B25" s="47">
        <v>2236</v>
      </c>
      <c r="C25" s="47">
        <v>77</v>
      </c>
      <c r="D25" s="47">
        <v>61</v>
      </c>
      <c r="E25" s="47">
        <f>B25*C25*D25/1000000000</f>
        <v>1.0502492E-2</v>
      </c>
      <c r="F25" s="47">
        <f>B25*C25/1000000</f>
        <v>0.17217199999999999</v>
      </c>
      <c r="G25" s="47" t="s">
        <v>15</v>
      </c>
      <c r="H25" s="47">
        <f>ROUND(Q25+T25/Раскройка!$F$11,0)</f>
        <v>32000</v>
      </c>
      <c r="I25" s="47" t="s">
        <v>41</v>
      </c>
      <c r="J25" s="47">
        <v>2</v>
      </c>
      <c r="K25" s="47" t="s">
        <v>39</v>
      </c>
      <c r="L25" s="47">
        <v>3</v>
      </c>
      <c r="M25" s="47">
        <f>E25*H25+0.25*((VLOOKUP(I25,Покрытия!$A$2:$B$50,2,FALSE)*J25+VLOOKUP(K25,Покрытия!$A$2:$B$50,2,FALSE)*L25)*F25)</f>
        <v>568.51194399999997</v>
      </c>
      <c r="N25" s="47">
        <v>1</v>
      </c>
      <c r="O25" s="47">
        <f>M25*N25</f>
        <v>568.51194399999997</v>
      </c>
      <c r="P25" s="9"/>
      <c r="Q25" s="47">
        <f t="array" ref="Q25">INDEX(Материалы!$C$2:$C$50,MATCH(G25,Материалы!$A$2:$A$50,0))</f>
        <v>32000</v>
      </c>
      <c r="R25" s="47">
        <f>FLOOR(Раскройка!$C$11/C25,1)*FLOOR(Раскройка!$D$11/B25,1)</f>
        <v>3</v>
      </c>
      <c r="S25" s="47">
        <f>MAX(Раскройка!$F$11-E25*R25,0)</f>
        <v>0</v>
      </c>
      <c r="T25" s="47">
        <f>Q25*S25</f>
        <v>0</v>
      </c>
      <c r="U25" s="9"/>
    </row>
    <row r="26" spans="1:22" x14ac:dyDescent="0.25">
      <c r="A26" s="47" t="s">
        <v>3</v>
      </c>
      <c r="B26" s="47">
        <v>2236</v>
      </c>
      <c r="C26" s="47">
        <v>77</v>
      </c>
      <c r="D26" s="47">
        <v>19</v>
      </c>
      <c r="E26" s="47">
        <f>B26*C26/1000000</f>
        <v>0.17217199999999999</v>
      </c>
      <c r="F26" s="20"/>
      <c r="G26" s="7" t="s">
        <v>12</v>
      </c>
      <c r="H26" s="47">
        <f>ROUND(Q26+T26/Раскройка!$F$2,0)</f>
        <v>901</v>
      </c>
      <c r="I26" s="47" t="s">
        <v>41</v>
      </c>
      <c r="J26" s="47">
        <v>2</v>
      </c>
      <c r="K26" s="47" t="s">
        <v>39</v>
      </c>
      <c r="L26" s="47">
        <v>3</v>
      </c>
      <c r="M26" s="47">
        <f>E26*(0.25*(VLOOKUP(I26,Покрытия!$A$2:$B$40,2,FALSE)*J26+VLOOKUP(K26,Покрытия!$A$2:$B$40,2,FALSE)*L26)+H26)</f>
        <v>387.55917199999999</v>
      </c>
      <c r="N26" s="47">
        <v>1</v>
      </c>
      <c r="O26" s="47">
        <f>M26*N26</f>
        <v>387.55917199999999</v>
      </c>
      <c r="P26" s="9"/>
      <c r="Q26" s="47">
        <f t="array" ref="Q26">INDEX(Материалы!$C$2:$C$50,MATCH(G26&amp;D26,Материалы!$A$2:$A$50&amp;Материалы!$B$2:$B$50,0))</f>
        <v>734</v>
      </c>
      <c r="R26" s="47">
        <f>FLOOR(Раскройка!$D$2/B26,1)*FLOOR(Раскройка!$C$2/C26,1)</f>
        <v>26</v>
      </c>
      <c r="S26" s="47">
        <f>MAX(Раскройка!$F$2-E26*R26,0)</f>
        <v>1.3235280000000005</v>
      </c>
      <c r="T26" s="47">
        <f>Q26*S26</f>
        <v>971.46955200000036</v>
      </c>
      <c r="U26" s="9"/>
    </row>
    <row r="28" spans="1:22" x14ac:dyDescent="0.25">
      <c r="A28" s="47" t="s">
        <v>108</v>
      </c>
      <c r="B28" s="47">
        <v>590</v>
      </c>
      <c r="C28" s="47">
        <v>1132</v>
      </c>
      <c r="D28" s="47">
        <v>6</v>
      </c>
      <c r="E28" s="47">
        <f t="shared" ref="E28:E30" si="24">B28*C28/1000000</f>
        <v>0.66788000000000003</v>
      </c>
      <c r="F28" s="20"/>
      <c r="G28" s="7" t="s">
        <v>3</v>
      </c>
      <c r="H28" s="47">
        <f>ROUND(Q28+T28/Раскройка!$F$2,0)</f>
        <v>160</v>
      </c>
      <c r="I28" s="47" t="s">
        <v>41</v>
      </c>
      <c r="J28" s="47">
        <v>2</v>
      </c>
      <c r="K28" s="47" t="s">
        <v>39</v>
      </c>
      <c r="L28" s="47">
        <v>3</v>
      </c>
      <c r="M28" s="47">
        <f>E28*(0.25*(VLOOKUP(I28,Покрытия!$A$2:$B$40,2,FALSE)*J28+VLOOKUP(K28,Покрытия!$A$2:$B$40,2,FALSE)*L28)+H28)</f>
        <v>1008.4988000000001</v>
      </c>
      <c r="N28" s="47">
        <v>1</v>
      </c>
      <c r="O28" s="47">
        <f t="shared" ref="O28:O30" si="25">M28*N28</f>
        <v>1008.4988000000001</v>
      </c>
      <c r="P28" s="9"/>
      <c r="Q28" s="47">
        <f t="array" ref="Q28">INDEX(Материалы!$C$2:$C$50,MATCH(G28&amp;D28,Материалы!$A$2:$A$50&amp;Материалы!$B$2:$B$50,0))</f>
        <v>104</v>
      </c>
      <c r="R28" s="47">
        <f>FLOOR(Раскройка!$D$2/B28,1)*FLOOR(Раскройка!$C$2/C28,1)</f>
        <v>4</v>
      </c>
      <c r="S28" s="47">
        <f>MAX(Раскройка!$F$2-E28*R28,0)</f>
        <v>3.1284799999999997</v>
      </c>
      <c r="T28" s="47">
        <f t="shared" ref="T28:T30" si="26">Q28*S28</f>
        <v>325.36191999999994</v>
      </c>
      <c r="U28" s="9"/>
      <c r="V28" s="9"/>
    </row>
    <row r="29" spans="1:22" x14ac:dyDescent="0.25">
      <c r="A29" s="47" t="s">
        <v>107</v>
      </c>
      <c r="B29" s="47">
        <v>590</v>
      </c>
      <c r="C29" s="47">
        <v>444</v>
      </c>
      <c r="D29" s="47">
        <v>19</v>
      </c>
      <c r="E29" s="47">
        <f t="shared" si="24"/>
        <v>0.26196000000000003</v>
      </c>
      <c r="F29" s="20"/>
      <c r="G29" s="7" t="s">
        <v>12</v>
      </c>
      <c r="H29" s="47">
        <f>ROUND(Q29+T29/Раскройка!$F$2,0)</f>
        <v>938</v>
      </c>
      <c r="I29" s="47" t="s">
        <v>41</v>
      </c>
      <c r="J29" s="47">
        <v>2</v>
      </c>
      <c r="K29" s="47" t="s">
        <v>39</v>
      </c>
      <c r="L29" s="47">
        <v>3</v>
      </c>
      <c r="M29" s="47">
        <f>E29*(0.25*(VLOOKUP(I29,Покрытия!$A$2:$B$40,2,FALSE)*J29+VLOOKUP(K29,Покрытия!$A$2:$B$40,2,FALSE)*L29)+H29)</f>
        <v>599.36448000000007</v>
      </c>
      <c r="N29" s="47">
        <v>2</v>
      </c>
      <c r="O29" s="47">
        <f t="shared" si="25"/>
        <v>1198.7289600000001</v>
      </c>
      <c r="P29" s="9"/>
      <c r="Q29" s="47">
        <f t="array" ref="Q29">INDEX(Материалы!$C$2:$C$50,MATCH(G29&amp;D29,Материалы!$A$2:$A$50&amp;Материалы!$B$2:$B$50,0))</f>
        <v>734</v>
      </c>
      <c r="R29" s="47">
        <f>FLOOR(Раскройка!$D$2/B29,1)*FLOOR(Раскройка!$C$2/C29,1)</f>
        <v>16</v>
      </c>
      <c r="S29" s="47">
        <f>MAX(Раскройка!$F$2-E29*R29,0)</f>
        <v>1.6086399999999994</v>
      </c>
      <c r="T29" s="47">
        <f t="shared" si="26"/>
        <v>1180.7417599999997</v>
      </c>
      <c r="U29" s="9"/>
    </row>
    <row r="30" spans="1:22" x14ac:dyDescent="0.25">
      <c r="A30" s="47" t="s">
        <v>137</v>
      </c>
      <c r="B30" s="47">
        <v>1132</v>
      </c>
      <c r="C30" s="47">
        <v>444</v>
      </c>
      <c r="D30" s="47">
        <v>19</v>
      </c>
      <c r="E30" s="47">
        <f t="shared" si="24"/>
        <v>0.50260800000000005</v>
      </c>
      <c r="F30" s="20"/>
      <c r="G30" s="7" t="s">
        <v>12</v>
      </c>
      <c r="H30" s="47">
        <f>ROUND(Q30+T30/Раскройка!$F$2,0)</f>
        <v>959</v>
      </c>
      <c r="I30" s="47" t="s">
        <v>41</v>
      </c>
      <c r="J30" s="47">
        <v>2</v>
      </c>
      <c r="K30" s="47" t="s">
        <v>39</v>
      </c>
      <c r="L30" s="47">
        <v>3</v>
      </c>
      <c r="M30" s="47">
        <f>E30*(0.25*(VLOOKUP(I30,Покрытия!$A$2:$B$40,2,FALSE)*J30+VLOOKUP(K30,Покрытия!$A$2:$B$40,2,FALSE)*L30)+H30)</f>
        <v>1160.521872</v>
      </c>
      <c r="N30" s="47">
        <v>2</v>
      </c>
      <c r="O30" s="47">
        <f t="shared" si="25"/>
        <v>2321.0437440000001</v>
      </c>
      <c r="P30" s="9"/>
      <c r="Q30" s="47">
        <f t="array" ref="Q30">INDEX(Материалы!$C$2:$C$50,MATCH(G30&amp;D30,Материалы!$A$2:$A$50&amp;Материалы!$B$2:$B$50,0))</f>
        <v>734</v>
      </c>
      <c r="R30" s="47">
        <f>FLOOR(Раскройка!$D$2/B30,1)*FLOOR(Раскройка!$C$2/C30,1)</f>
        <v>8</v>
      </c>
      <c r="S30" s="47">
        <f>MAX(Раскройка!$F$2-E30*R30,0)</f>
        <v>1.7791359999999994</v>
      </c>
      <c r="T30" s="47">
        <f t="shared" si="26"/>
        <v>1305.8858239999995</v>
      </c>
    </row>
    <row r="32" spans="1:22" x14ac:dyDescent="0.25">
      <c r="A32" s="47" t="s">
        <v>109</v>
      </c>
      <c r="B32" s="47">
        <v>1132</v>
      </c>
      <c r="C32" s="47">
        <v>444</v>
      </c>
      <c r="D32" s="47">
        <v>12</v>
      </c>
      <c r="E32" s="47">
        <f t="shared" ref="E32:E33" si="27">B32*C32/1000000</f>
        <v>0.50260800000000005</v>
      </c>
      <c r="F32" s="20"/>
      <c r="G32" s="7" t="s">
        <v>3</v>
      </c>
      <c r="H32" s="47">
        <f>ROUND(Q32+T32/Раскройка!$F$2,0)</f>
        <v>379</v>
      </c>
      <c r="I32" s="47" t="s">
        <v>41</v>
      </c>
      <c r="J32" s="47">
        <v>2</v>
      </c>
      <c r="K32" s="47" t="s">
        <v>39</v>
      </c>
      <c r="L32" s="47">
        <v>3</v>
      </c>
      <c r="M32" s="47">
        <f>E32*(0.25*(VLOOKUP(I32,Покрытия!$A$2:$B$40,2,FALSE)*J32+VLOOKUP(K32,Покрытия!$A$2:$B$40,2,FALSE)*L32)+H32)</f>
        <v>869.00923200000011</v>
      </c>
      <c r="N32" s="47">
        <v>8</v>
      </c>
      <c r="O32" s="47">
        <f t="shared" ref="O32:O33" si="28">M32*N32</f>
        <v>6952.0738560000009</v>
      </c>
      <c r="P32" s="9"/>
      <c r="Q32" s="47">
        <f t="array" ref="Q32">INDEX(Материалы!$C$2:$C$50,MATCH(G32&amp;D32,Материалы!$A$2:$A$50&amp;Материалы!$B$2:$B$50,0))</f>
        <v>290</v>
      </c>
      <c r="R32" s="47">
        <f>FLOOR(Раскройка!$D$2/B32,1)*FLOOR(Раскройка!$C$2/C32,1)</f>
        <v>8</v>
      </c>
      <c r="S32" s="47">
        <f>MAX(Раскройка!$F$2-E32*R32,0)</f>
        <v>1.7791359999999994</v>
      </c>
      <c r="T32" s="47">
        <f t="shared" ref="T32:T33" si="29">Q32*S32</f>
        <v>515.94943999999987</v>
      </c>
      <c r="U32" s="9"/>
    </row>
    <row r="33" spans="1:21" x14ac:dyDescent="0.25">
      <c r="A33" s="47" t="s">
        <v>109</v>
      </c>
      <c r="B33" s="47">
        <v>1132</v>
      </c>
      <c r="C33" s="47">
        <v>444</v>
      </c>
      <c r="D33" s="47">
        <v>6</v>
      </c>
      <c r="E33" s="47">
        <f t="shared" si="27"/>
        <v>0.50260800000000005</v>
      </c>
      <c r="F33" s="20"/>
      <c r="G33" s="7" t="s">
        <v>3</v>
      </c>
      <c r="H33" s="47">
        <f>ROUND(Q33+T33/Раскройка!$F$2,0)</f>
        <v>136</v>
      </c>
      <c r="I33" s="47" t="s">
        <v>41</v>
      </c>
      <c r="J33" s="47">
        <v>2</v>
      </c>
      <c r="K33" s="47" t="s">
        <v>39</v>
      </c>
      <c r="L33" s="47">
        <v>3</v>
      </c>
      <c r="M33" s="47">
        <f>E33*(0.25*(VLOOKUP(I33,Покрытия!$A$2:$B$40,2,FALSE)*J33+VLOOKUP(K33,Покрытия!$A$2:$B$40,2,FALSE)*L33)+H33)</f>
        <v>746.87548800000013</v>
      </c>
      <c r="N33" s="47">
        <v>4</v>
      </c>
      <c r="O33" s="47">
        <f t="shared" si="28"/>
        <v>2987.5019520000005</v>
      </c>
      <c r="P33" s="9"/>
      <c r="Q33" s="47">
        <f t="array" ref="Q33">INDEX(Материалы!$C$2:$C$50,MATCH(G33&amp;D33,Материалы!$A$2:$A$50&amp;Материалы!$B$2:$B$50,0))</f>
        <v>104</v>
      </c>
      <c r="R33" s="47">
        <f>FLOOR(Раскройка!$D$2/B33,1)*FLOOR(Раскройка!$C$2/C33,1)</f>
        <v>8</v>
      </c>
      <c r="S33" s="47">
        <f>MAX(Раскройка!$F$2-E33*R33,0)</f>
        <v>1.7791359999999994</v>
      </c>
      <c r="T33" s="47">
        <f t="shared" si="29"/>
        <v>185.03014399999995</v>
      </c>
      <c r="U33" s="9"/>
    </row>
    <row r="35" spans="1:21" x14ac:dyDescent="0.25">
      <c r="A35" s="47" t="s">
        <v>109</v>
      </c>
      <c r="B35" s="47">
        <v>1132</v>
      </c>
      <c r="C35" s="47">
        <v>424</v>
      </c>
      <c r="D35" s="47">
        <v>10</v>
      </c>
      <c r="E35" s="47">
        <f t="shared" ref="E35" si="30">B35*C35/1000000</f>
        <v>0.47996800000000001</v>
      </c>
      <c r="F35" s="20"/>
      <c r="G35" s="7" t="s">
        <v>3</v>
      </c>
      <c r="H35" s="47">
        <f>ROUND(Q35+T35/Раскройка!$F$2,0)</f>
        <v>229</v>
      </c>
      <c r="I35" s="47" t="s">
        <v>41</v>
      </c>
      <c r="J35" s="47">
        <v>2</v>
      </c>
      <c r="K35" s="47" t="s">
        <v>39</v>
      </c>
      <c r="L35" s="47">
        <v>3</v>
      </c>
      <c r="M35" s="47">
        <f>E35*(0.25*(VLOOKUP(I35,Покрытия!$A$2:$B$40,2,FALSE)*J35+VLOOKUP(K35,Покрытия!$A$2:$B$40,2,FALSE)*L35)+H35)</f>
        <v>757.86947199999997</v>
      </c>
      <c r="N35" s="47">
        <v>2</v>
      </c>
      <c r="O35" s="47">
        <f t="shared" ref="O35" si="31">M35*N35</f>
        <v>1515.7389439999999</v>
      </c>
      <c r="P35" s="9"/>
      <c r="Q35" s="47">
        <f t="array" ref="Q35">INDEX(Материалы!$C$2:$C$50,MATCH(G35&amp;D35,Материалы!$A$2:$A$50&amp;Материалы!$B$2:$B$50,0))</f>
        <v>171</v>
      </c>
      <c r="R35" s="47">
        <f>FLOOR(Раскройка!$D$2/B35,1)*FLOOR(Раскройка!$C$2/C35,1)</f>
        <v>8</v>
      </c>
      <c r="S35" s="47">
        <f>MAX(Раскройка!$F$2-E35*R35,0)</f>
        <v>1.9602559999999998</v>
      </c>
      <c r="T35" s="47">
        <f t="shared" ref="T35" si="32">Q35*S35</f>
        <v>335.20377599999995</v>
      </c>
      <c r="U35" s="9"/>
    </row>
    <row r="36" spans="1:21" x14ac:dyDescent="0.25">
      <c r="A36" s="47" t="s">
        <v>34</v>
      </c>
      <c r="B36" s="47">
        <v>1132</v>
      </c>
      <c r="C36" s="47">
        <v>20</v>
      </c>
      <c r="D36" s="47">
        <v>20</v>
      </c>
      <c r="E36" s="47">
        <f>B36*C36*D36/1000000000</f>
        <v>4.528E-4</v>
      </c>
      <c r="F36" s="47">
        <f>B36*C36/1000000</f>
        <v>2.264E-2</v>
      </c>
      <c r="G36" s="47" t="s">
        <v>15</v>
      </c>
      <c r="H36" s="47">
        <f>ROUND(Q36+T36/Раскройка!$F$11,0)</f>
        <v>44681</v>
      </c>
      <c r="I36" s="47" t="s">
        <v>41</v>
      </c>
      <c r="J36" s="47">
        <v>2</v>
      </c>
      <c r="K36" s="47" t="s">
        <v>39</v>
      </c>
      <c r="L36" s="47">
        <v>3</v>
      </c>
      <c r="M36" s="47">
        <f>E36*H36+0.25*((VLOOKUP(I36,Покрытия!$A$2:$B$50,2,FALSE)*J36+VLOOKUP(K36,Покрытия!$A$2:$B$50,2,FALSE)*L36)*F36)</f>
        <v>50.7955568</v>
      </c>
      <c r="N36" s="47">
        <v>1</v>
      </c>
      <c r="O36" s="47">
        <f>M36*N36</f>
        <v>50.7955568</v>
      </c>
      <c r="P36" s="9"/>
      <c r="Q36" s="47">
        <f t="array" ref="Q36">INDEX(Материалы!$C$2:$C$50,MATCH(G36,Материалы!$A$2:$A$50,0))</f>
        <v>32000</v>
      </c>
      <c r="R36" s="47">
        <f>FLOOR(Раскройка!$C$11/C36,1)*FLOOR(Раскройка!$D$11/B36,1)</f>
        <v>30</v>
      </c>
      <c r="S36" s="47">
        <f>MAX(Раскройка!$F$11-E36*R36,0)</f>
        <v>8.9159999999999986E-3</v>
      </c>
      <c r="T36" s="47">
        <f>Q36*S36</f>
        <v>285.31199999999995</v>
      </c>
      <c r="U36" s="9"/>
    </row>
    <row r="38" spans="1:21" x14ac:dyDescent="0.25">
      <c r="A38" s="27"/>
      <c r="B38" s="27" t="s">
        <v>97</v>
      </c>
      <c r="C38" s="47" t="s">
        <v>98</v>
      </c>
      <c r="D38" s="47" t="s">
        <v>58</v>
      </c>
    </row>
    <row r="39" spans="1:21" x14ac:dyDescent="0.25">
      <c r="A39" s="47" t="s">
        <v>96</v>
      </c>
      <c r="B39" s="47">
        <f>((1930+2155)*2-1132)/1000</f>
        <v>7.0380000000000003</v>
      </c>
      <c r="C39" s="47">
        <v>518</v>
      </c>
      <c r="D39" s="47">
        <f>B39*C39</f>
        <v>3645.6840000000002</v>
      </c>
    </row>
  </sheetData>
  <pageMargins left="0.7" right="0.7" top="0.75" bottom="0.75" header="0.3" footer="0.3"/>
  <pageSetup paperSize="9" scale="70" fitToHeight="0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10"/>
  <sheetViews>
    <sheetView workbookViewId="0">
      <selection sqref="A1:D3"/>
    </sheetView>
  </sheetViews>
  <sheetFormatPr defaultRowHeight="15" x14ac:dyDescent="0.25"/>
  <cols>
    <col min="1" max="1" width="24.7109375" customWidth="1"/>
    <col min="7" max="7" width="16.140625" customWidth="1"/>
    <col min="8" max="8" width="15.5703125" customWidth="1"/>
    <col min="10" max="10" width="14.5703125" customWidth="1"/>
    <col min="12" max="12" width="15.7109375" customWidth="1"/>
    <col min="13" max="13" width="16.140625" customWidth="1"/>
    <col min="14" max="14" width="17.85546875" customWidth="1"/>
    <col min="17" max="20" width="0" hidden="1" customWidth="1"/>
  </cols>
  <sheetData>
    <row r="1" spans="1:22" x14ac:dyDescent="0.25">
      <c r="A1" s="49" t="s">
        <v>92</v>
      </c>
      <c r="B1" s="50" t="s">
        <v>91</v>
      </c>
      <c r="C1" s="50" t="s">
        <v>61</v>
      </c>
      <c r="D1" s="50" t="s">
        <v>58</v>
      </c>
    </row>
    <row r="2" spans="1:22" ht="12" customHeight="1" x14ac:dyDescent="0.25">
      <c r="A2" s="35" t="s">
        <v>143</v>
      </c>
      <c r="B2" s="48">
        <v>1</v>
      </c>
      <c r="C2" s="50">
        <f>ROUND(SUM(O7:O56)+D48,0)</f>
        <v>67856</v>
      </c>
      <c r="D2" s="50">
        <f>C2*B2</f>
        <v>67856</v>
      </c>
      <c r="E2" s="88">
        <f>SUM(D2:D4)</f>
        <v>128288</v>
      </c>
    </row>
    <row r="3" spans="1:22" x14ac:dyDescent="0.25">
      <c r="A3" s="35" t="s">
        <v>149</v>
      </c>
      <c r="B3" s="48">
        <v>1</v>
      </c>
      <c r="C3" s="50">
        <f>ROUND(SUM(O59:O100)+D103,0)</f>
        <v>57551</v>
      </c>
      <c r="D3" s="50">
        <f>C3*B3</f>
        <v>57551</v>
      </c>
      <c r="E3" s="89"/>
    </row>
    <row r="4" spans="1:22" x14ac:dyDescent="0.25">
      <c r="A4" s="35" t="s">
        <v>155</v>
      </c>
      <c r="B4" s="48">
        <v>1</v>
      </c>
      <c r="C4" s="50">
        <f>ROUND(SUM(O105:O108)+D110,0)</f>
        <v>2881</v>
      </c>
      <c r="D4" s="50">
        <f>C4*B4</f>
        <v>2881</v>
      </c>
      <c r="E4" s="90"/>
    </row>
    <row r="6" spans="1:22" x14ac:dyDescent="0.25">
      <c r="A6" s="50" t="s">
        <v>32</v>
      </c>
      <c r="B6" s="50" t="s">
        <v>20</v>
      </c>
      <c r="C6" s="50" t="s">
        <v>19</v>
      </c>
      <c r="D6" s="50" t="s">
        <v>21</v>
      </c>
      <c r="E6" s="50" t="s">
        <v>22</v>
      </c>
      <c r="F6" s="7" t="s">
        <v>26</v>
      </c>
      <c r="G6" s="7" t="s">
        <v>49</v>
      </c>
      <c r="H6" s="50" t="s">
        <v>46</v>
      </c>
      <c r="I6" s="50" t="s">
        <v>35</v>
      </c>
      <c r="J6" s="50" t="s">
        <v>47</v>
      </c>
      <c r="K6" s="50" t="s">
        <v>35</v>
      </c>
      <c r="L6" s="50" t="s">
        <v>47</v>
      </c>
      <c r="M6" s="7" t="s">
        <v>48</v>
      </c>
      <c r="N6" s="50" t="s">
        <v>59</v>
      </c>
      <c r="O6" s="50" t="s">
        <v>58</v>
      </c>
      <c r="P6" s="9"/>
      <c r="Q6" s="7" t="s">
        <v>50</v>
      </c>
      <c r="R6" s="7" t="s">
        <v>53</v>
      </c>
      <c r="S6" s="7" t="s">
        <v>51</v>
      </c>
      <c r="T6" s="7" t="s">
        <v>52</v>
      </c>
      <c r="U6" s="9"/>
      <c r="V6" s="9"/>
    </row>
    <row r="7" spans="1:22" x14ac:dyDescent="0.25">
      <c r="A7" s="50" t="s">
        <v>108</v>
      </c>
      <c r="B7" s="50">
        <v>460</v>
      </c>
      <c r="C7" s="50">
        <v>1256</v>
      </c>
      <c r="D7" s="50">
        <v>6</v>
      </c>
      <c r="E7" s="50">
        <f t="shared" ref="E7:E9" si="0">B7*C7/1000000</f>
        <v>0.57776000000000005</v>
      </c>
      <c r="F7" s="20"/>
      <c r="G7" s="7" t="s">
        <v>3</v>
      </c>
      <c r="H7" s="50">
        <f>ROUND(Q7+T7/Раскройка!$F$2,0)</f>
        <v>146</v>
      </c>
      <c r="I7" s="50" t="s">
        <v>41</v>
      </c>
      <c r="J7" s="50">
        <v>2</v>
      </c>
      <c r="K7" s="50" t="s">
        <v>39</v>
      </c>
      <c r="L7" s="50">
        <v>4</v>
      </c>
      <c r="M7" s="50">
        <f>E7*(0.25*(VLOOKUP(I7,Покрытия!$A$2:$B$40,2,FALSE)*J7+VLOOKUP(K7,Покрытия!$A$2:$B$40,2,FALSE)*L7)+H7)</f>
        <v>1037.65696</v>
      </c>
      <c r="N7" s="50">
        <v>1</v>
      </c>
      <c r="O7" s="50">
        <f t="shared" ref="O7:O9" si="1">M7*N7</f>
        <v>1037.65696</v>
      </c>
      <c r="P7" s="9"/>
      <c r="Q7" s="50">
        <f t="array" ref="Q7">INDEX(Материалы!$C$2:$C$50,MATCH(G7&amp;D7,Материалы!$A$2:$A$50&amp;Материалы!$B$2:$B$50,0))</f>
        <v>104</v>
      </c>
      <c r="R7" s="50">
        <f>FLOOR(Раскройка!$D$2/B7,1)*FLOOR(Раскройка!$C$2/C7,1)</f>
        <v>6</v>
      </c>
      <c r="S7" s="50">
        <f>MAX(Раскройка!$F$2-E7*R7,0)</f>
        <v>2.3334399999999995</v>
      </c>
      <c r="T7" s="50">
        <f t="shared" ref="T7:T9" si="2">Q7*S7</f>
        <v>242.67775999999995</v>
      </c>
      <c r="U7" s="9"/>
      <c r="V7" s="9"/>
    </row>
    <row r="8" spans="1:22" x14ac:dyDescent="0.25">
      <c r="A8" s="50" t="s">
        <v>107</v>
      </c>
      <c r="B8" s="50">
        <v>460</v>
      </c>
      <c r="C8" s="50">
        <v>569</v>
      </c>
      <c r="D8" s="50">
        <v>19</v>
      </c>
      <c r="E8" s="50">
        <f t="shared" si="0"/>
        <v>0.26173999999999997</v>
      </c>
      <c r="F8" s="20"/>
      <c r="G8" s="7" t="s">
        <v>12</v>
      </c>
      <c r="H8" s="50">
        <f>ROUND(Q8+T8/Раскройка!$F$2,0)</f>
        <v>872</v>
      </c>
      <c r="I8" s="50" t="s">
        <v>41</v>
      </c>
      <c r="J8" s="50">
        <v>2</v>
      </c>
      <c r="K8" s="50" t="s">
        <v>39</v>
      </c>
      <c r="L8" s="50">
        <v>4</v>
      </c>
      <c r="M8" s="50">
        <f>E8*(0.25*(VLOOKUP(I8,Покрытия!$A$2:$B$40,2,FALSE)*J8+VLOOKUP(K8,Покрытия!$A$2:$B$40,2,FALSE)*L8)+H8)</f>
        <v>660.10827999999992</v>
      </c>
      <c r="N8" s="50">
        <v>2</v>
      </c>
      <c r="O8" s="50">
        <f t="shared" si="1"/>
        <v>1320.2165599999998</v>
      </c>
      <c r="P8" s="9"/>
      <c r="Q8" s="50">
        <f t="array" ref="Q8">INDEX(Материалы!$C$2:$C$50,MATCH(G8&amp;D8,Материалы!$A$2:$A$50&amp;Материалы!$B$2:$B$50,0))</f>
        <v>734</v>
      </c>
      <c r="R8" s="50">
        <f>FLOOR(Раскройка!$D$2/B8,1)*FLOOR(Раскройка!$C$2/C8,1)</f>
        <v>18</v>
      </c>
      <c r="S8" s="50">
        <f>MAX(Раскройка!$F$2-E8*R8,0)</f>
        <v>1.0886800000000001</v>
      </c>
      <c r="T8" s="50">
        <f t="shared" si="2"/>
        <v>799.09112000000005</v>
      </c>
      <c r="U8" s="9"/>
    </row>
    <row r="9" spans="1:22" x14ac:dyDescent="0.25">
      <c r="A9" s="50" t="s">
        <v>137</v>
      </c>
      <c r="B9" s="50">
        <v>569</v>
      </c>
      <c r="C9" s="50">
        <v>1256</v>
      </c>
      <c r="D9" s="50">
        <v>19</v>
      </c>
      <c r="E9" s="50">
        <f t="shared" si="0"/>
        <v>0.71466399999999997</v>
      </c>
      <c r="F9" s="20"/>
      <c r="G9" s="7" t="s">
        <v>12</v>
      </c>
      <c r="H9" s="50">
        <f>ROUND(Q9+T9/Раскройка!$F$2,0)</f>
        <v>1106</v>
      </c>
      <c r="I9" s="50" t="s">
        <v>41</v>
      </c>
      <c r="J9" s="50">
        <v>2</v>
      </c>
      <c r="K9" s="50" t="s">
        <v>39</v>
      </c>
      <c r="L9" s="50">
        <v>4</v>
      </c>
      <c r="M9" s="50">
        <f>E9*(0.25*(VLOOKUP(I9,Покрытия!$A$2:$B$40,2,FALSE)*J9+VLOOKUP(K9,Покрытия!$A$2:$B$40,2,FALSE)*L9)+H9)</f>
        <v>1969.6139839999998</v>
      </c>
      <c r="N9" s="50">
        <v>2</v>
      </c>
      <c r="O9" s="50">
        <f t="shared" si="1"/>
        <v>3939.2279679999997</v>
      </c>
      <c r="P9" s="9"/>
      <c r="Q9" s="50">
        <f t="array" ref="Q9">INDEX(Материалы!$C$2:$C$50,MATCH(G9&amp;D9,Материалы!$A$2:$A$50&amp;Материалы!$B$2:$B$50,0))</f>
        <v>734</v>
      </c>
      <c r="R9" s="50">
        <f>FLOOR(Раскройка!$D$2/B9,1)*FLOOR(Раскройка!$C$2/C9,1)</f>
        <v>4</v>
      </c>
      <c r="S9" s="50">
        <f>MAX(Раскройка!$F$2-E9*R9,0)</f>
        <v>2.941344</v>
      </c>
      <c r="T9" s="50">
        <f t="shared" si="2"/>
        <v>2158.946496</v>
      </c>
    </row>
    <row r="10" spans="1:22" x14ac:dyDescent="0.25">
      <c r="A10" s="50" t="s">
        <v>108</v>
      </c>
      <c r="B10" s="50">
        <v>1742</v>
      </c>
      <c r="C10" s="50">
        <v>1256</v>
      </c>
      <c r="D10" s="50">
        <v>6</v>
      </c>
      <c r="E10" s="50">
        <f t="shared" ref="E10:E12" si="3">B10*C10/1000000</f>
        <v>2.1879520000000001</v>
      </c>
      <c r="F10" s="20"/>
      <c r="G10" s="7" t="s">
        <v>3</v>
      </c>
      <c r="H10" s="50">
        <f>ROUND(Q10+T10/Раскройка!$F$2,0)</f>
        <v>169</v>
      </c>
      <c r="I10" s="50" t="s">
        <v>41</v>
      </c>
      <c r="J10" s="50">
        <v>2</v>
      </c>
      <c r="K10" s="50" t="s">
        <v>39</v>
      </c>
      <c r="L10" s="50">
        <v>4</v>
      </c>
      <c r="M10" s="50">
        <f>E10*(0.25*(VLOOKUP(I10,Покрытия!$A$2:$B$40,2,FALSE)*J10+VLOOKUP(K10,Покрытия!$A$2:$B$40,2,FALSE)*L10)+H10)</f>
        <v>3979.8846880000001</v>
      </c>
      <c r="N10" s="50">
        <v>1</v>
      </c>
      <c r="O10" s="50">
        <f t="shared" ref="O10:O12" si="4">M10*N10</f>
        <v>3979.8846880000001</v>
      </c>
      <c r="P10" s="9"/>
      <c r="Q10" s="50">
        <f t="array" ref="Q10">INDEX(Материалы!$C$2:$C$50,MATCH(G10&amp;D10,Материалы!$A$2:$A$50&amp;Материалы!$B$2:$B$50,0))</f>
        <v>104</v>
      </c>
      <c r="R10" s="50">
        <f>FLOOR(Раскройка!$D$2/B10,1)*FLOOR(Раскройка!$C$2/C10,1)</f>
        <v>1</v>
      </c>
      <c r="S10" s="50">
        <f>MAX(Раскройка!$F$2-E10*R10,0)</f>
        <v>3.6120479999999997</v>
      </c>
      <c r="T10" s="50">
        <f t="shared" ref="T10:T12" si="5">Q10*S10</f>
        <v>375.65299199999998</v>
      </c>
      <c r="U10" s="9"/>
    </row>
    <row r="11" spans="1:22" x14ac:dyDescent="0.25">
      <c r="A11" s="50" t="s">
        <v>107</v>
      </c>
      <c r="B11" s="50">
        <v>1742</v>
      </c>
      <c r="C11" s="50">
        <v>569</v>
      </c>
      <c r="D11" s="50">
        <v>19</v>
      </c>
      <c r="E11" s="50">
        <f t="shared" si="3"/>
        <v>0.99119800000000002</v>
      </c>
      <c r="F11" s="20"/>
      <c r="G11" s="7" t="s">
        <v>12</v>
      </c>
      <c r="H11" s="50">
        <f>ROUND(Q11+T11/Раскройка!$F$2,0)</f>
        <v>1092</v>
      </c>
      <c r="I11" s="50" t="s">
        <v>41</v>
      </c>
      <c r="J11" s="50">
        <v>2</v>
      </c>
      <c r="K11" s="50" t="s">
        <v>39</v>
      </c>
      <c r="L11" s="50">
        <v>4</v>
      </c>
      <c r="M11" s="50">
        <f>E11*(0.25*(VLOOKUP(I11,Покрытия!$A$2:$B$40,2,FALSE)*J11+VLOOKUP(K11,Покрытия!$A$2:$B$40,2,FALSE)*L11)+H11)</f>
        <v>2717.864916</v>
      </c>
      <c r="N11" s="50">
        <v>2</v>
      </c>
      <c r="O11" s="50">
        <f t="shared" si="4"/>
        <v>5435.729832</v>
      </c>
      <c r="P11" s="9"/>
      <c r="Q11" s="50">
        <f t="array" ref="Q11">INDEX(Материалы!$C$2:$C$50,MATCH(G11&amp;D11,Материалы!$A$2:$A$50&amp;Материалы!$B$2:$B$50,0))</f>
        <v>734</v>
      </c>
      <c r="R11" s="50">
        <f>FLOOR(Раскройка!$D$2/B11,1)*FLOOR(Раскройка!$C$2/C11,1)</f>
        <v>3</v>
      </c>
      <c r="S11" s="50">
        <f>MAX(Раскройка!$F$2-E11*R11,0)</f>
        <v>2.8264059999999995</v>
      </c>
      <c r="T11" s="50">
        <f t="shared" si="5"/>
        <v>2074.5820039999999</v>
      </c>
      <c r="U11" s="9"/>
    </row>
    <row r="12" spans="1:22" x14ac:dyDescent="0.25">
      <c r="A12" s="50" t="s">
        <v>137</v>
      </c>
      <c r="B12" s="50">
        <v>569</v>
      </c>
      <c r="C12" s="50">
        <v>1256</v>
      </c>
      <c r="D12" s="50">
        <v>19</v>
      </c>
      <c r="E12" s="50">
        <f t="shared" si="3"/>
        <v>0.71466399999999997</v>
      </c>
      <c r="F12" s="20"/>
      <c r="G12" s="7" t="s">
        <v>12</v>
      </c>
      <c r="H12" s="50">
        <f>ROUND(Q12+T12/Раскройка!$F$2,0)</f>
        <v>1106</v>
      </c>
      <c r="I12" s="50" t="s">
        <v>41</v>
      </c>
      <c r="J12" s="50">
        <v>2</v>
      </c>
      <c r="K12" s="50" t="s">
        <v>39</v>
      </c>
      <c r="L12" s="50">
        <v>4</v>
      </c>
      <c r="M12" s="50">
        <f>E12*(0.25*(VLOOKUP(I12,Покрытия!$A$2:$B$40,2,FALSE)*J12+VLOOKUP(K12,Покрытия!$A$2:$B$40,2,FALSE)*L12)+H12)</f>
        <v>1969.6139839999998</v>
      </c>
      <c r="N12" s="50">
        <v>2</v>
      </c>
      <c r="O12" s="50">
        <f t="shared" si="4"/>
        <v>3939.2279679999997</v>
      </c>
      <c r="P12" s="9"/>
      <c r="Q12" s="50">
        <f t="array" ref="Q12">INDEX(Материалы!$C$2:$C$50,MATCH(G12&amp;D12,Материалы!$A$2:$A$50&amp;Материалы!$B$2:$B$50,0))</f>
        <v>734</v>
      </c>
      <c r="R12" s="50">
        <f>FLOOR(Раскройка!$D$2/B12,1)*FLOOR(Раскройка!$C$2/C12,1)</f>
        <v>4</v>
      </c>
      <c r="S12" s="50">
        <f>MAX(Раскройка!$F$2-E12*R12,0)</f>
        <v>2.941344</v>
      </c>
      <c r="T12" s="50">
        <f t="shared" si="5"/>
        <v>2158.946496</v>
      </c>
    </row>
    <row r="13" spans="1:22" x14ac:dyDescent="0.25">
      <c r="A13" s="50" t="s">
        <v>108</v>
      </c>
      <c r="B13" s="50">
        <v>330</v>
      </c>
      <c r="C13" s="50">
        <v>1256</v>
      </c>
      <c r="D13" s="50">
        <v>6</v>
      </c>
      <c r="E13" s="50">
        <f t="shared" ref="E13:E15" si="6">B13*C13/1000000</f>
        <v>0.41448000000000002</v>
      </c>
      <c r="F13" s="20"/>
      <c r="G13" s="7" t="s">
        <v>3</v>
      </c>
      <c r="H13" s="50">
        <f>ROUND(Q13+T13/Раскройка!$F$2,0)</f>
        <v>149</v>
      </c>
      <c r="I13" s="50" t="s">
        <v>41</v>
      </c>
      <c r="J13" s="50">
        <v>2</v>
      </c>
      <c r="K13" s="50" t="s">
        <v>39</v>
      </c>
      <c r="L13" s="50">
        <v>4</v>
      </c>
      <c r="M13" s="50">
        <f>E13*(0.25*(VLOOKUP(I13,Покрытия!$A$2:$B$40,2,FALSE)*J13+VLOOKUP(K13,Покрытия!$A$2:$B$40,2,FALSE)*L13)+H13)</f>
        <v>745.64952000000005</v>
      </c>
      <c r="N13" s="50">
        <v>1</v>
      </c>
      <c r="O13" s="50">
        <f t="shared" ref="O13:O15" si="7">M13*N13</f>
        <v>745.64952000000005</v>
      </c>
      <c r="P13" s="9"/>
      <c r="Q13" s="50">
        <f t="array" ref="Q13">INDEX(Материалы!$C$2:$C$50,MATCH(G13&amp;D13,Материалы!$A$2:$A$50&amp;Материалы!$B$2:$B$50,0))</f>
        <v>104</v>
      </c>
      <c r="R13" s="50">
        <f>FLOOR(Раскройка!$D$2/B13,1)*FLOOR(Раскройка!$C$2/C13,1)</f>
        <v>8</v>
      </c>
      <c r="S13" s="50">
        <f>MAX(Раскройка!$F$2-E13*R13,0)</f>
        <v>2.4841599999999997</v>
      </c>
      <c r="T13" s="50">
        <f t="shared" ref="T13:T15" si="8">Q13*S13</f>
        <v>258.35263999999995</v>
      </c>
      <c r="U13" s="9"/>
    </row>
    <row r="14" spans="1:22" x14ac:dyDescent="0.25">
      <c r="A14" s="50" t="s">
        <v>107</v>
      </c>
      <c r="B14" s="50">
        <v>330</v>
      </c>
      <c r="C14" s="50">
        <v>569</v>
      </c>
      <c r="D14" s="50">
        <v>19</v>
      </c>
      <c r="E14" s="50">
        <f t="shared" si="6"/>
        <v>0.18776999999999999</v>
      </c>
      <c r="F14" s="20"/>
      <c r="G14" s="7" t="s">
        <v>12</v>
      </c>
      <c r="H14" s="50">
        <f>ROUND(Q14+T14/Раскройка!$F$2,0)</f>
        <v>898</v>
      </c>
      <c r="I14" s="50" t="s">
        <v>41</v>
      </c>
      <c r="J14" s="50">
        <v>2</v>
      </c>
      <c r="K14" s="50" t="s">
        <v>39</v>
      </c>
      <c r="L14" s="50">
        <v>4</v>
      </c>
      <c r="M14" s="50">
        <f>E14*(0.25*(VLOOKUP(I14,Покрытия!$A$2:$B$40,2,FALSE)*J14+VLOOKUP(K14,Покрытия!$A$2:$B$40,2,FALSE)*L14)+H14)</f>
        <v>478.43795999999998</v>
      </c>
      <c r="N14" s="50">
        <v>2</v>
      </c>
      <c r="O14" s="50">
        <f t="shared" si="7"/>
        <v>956.87591999999995</v>
      </c>
      <c r="P14" s="9"/>
      <c r="Q14" s="50">
        <f t="array" ref="Q14">INDEX(Материалы!$C$2:$C$50,MATCH(G14&amp;D14,Материалы!$A$2:$A$50&amp;Материалы!$B$2:$B$50,0))</f>
        <v>734</v>
      </c>
      <c r="R14" s="50">
        <f>FLOOR(Раскройка!$D$2/B14,1)*FLOOR(Раскройка!$C$2/C14,1)</f>
        <v>24</v>
      </c>
      <c r="S14" s="50">
        <f>MAX(Раскройка!$F$2-E14*R14,0)</f>
        <v>1.29352</v>
      </c>
      <c r="T14" s="50">
        <f t="shared" si="8"/>
        <v>949.44367999999997</v>
      </c>
      <c r="U14" s="9"/>
    </row>
    <row r="15" spans="1:22" x14ac:dyDescent="0.25">
      <c r="A15" s="50" t="s">
        <v>137</v>
      </c>
      <c r="B15" s="50">
        <v>569</v>
      </c>
      <c r="C15" s="50">
        <v>1256</v>
      </c>
      <c r="D15" s="50">
        <v>19</v>
      </c>
      <c r="E15" s="50">
        <f t="shared" si="6"/>
        <v>0.71466399999999997</v>
      </c>
      <c r="F15" s="20"/>
      <c r="G15" s="7" t="s">
        <v>12</v>
      </c>
      <c r="H15" s="50">
        <f>ROUND(Q15+T15/Раскройка!$F$2,0)</f>
        <v>1106</v>
      </c>
      <c r="I15" s="50" t="s">
        <v>41</v>
      </c>
      <c r="J15" s="50">
        <v>2</v>
      </c>
      <c r="K15" s="50" t="s">
        <v>39</v>
      </c>
      <c r="L15" s="50">
        <v>4</v>
      </c>
      <c r="M15" s="50">
        <f>E15*(0.25*(VLOOKUP(I15,Покрытия!$A$2:$B$40,2,FALSE)*J15+VLOOKUP(K15,Покрытия!$A$2:$B$40,2,FALSE)*L15)+H15)</f>
        <v>1969.6139839999998</v>
      </c>
      <c r="N15" s="50">
        <v>2</v>
      </c>
      <c r="O15" s="50">
        <f t="shared" si="7"/>
        <v>3939.2279679999997</v>
      </c>
      <c r="P15" s="9"/>
      <c r="Q15" s="50">
        <f t="array" ref="Q15">INDEX(Материалы!$C$2:$C$50,MATCH(G15&amp;D15,Материалы!$A$2:$A$50&amp;Материалы!$B$2:$B$50,0))</f>
        <v>734</v>
      </c>
      <c r="R15" s="50">
        <f>FLOOR(Раскройка!$D$2/B15,1)*FLOOR(Раскройка!$C$2/C15,1)</f>
        <v>4</v>
      </c>
      <c r="S15" s="50">
        <f>MAX(Раскройка!$F$2-E15*R15,0)</f>
        <v>2.941344</v>
      </c>
      <c r="T15" s="50">
        <f t="shared" si="8"/>
        <v>2158.946496</v>
      </c>
    </row>
    <row r="16" spans="1:22" x14ac:dyDescent="0.25">
      <c r="A16" s="50" t="s">
        <v>145</v>
      </c>
      <c r="B16" s="50">
        <v>1256</v>
      </c>
      <c r="C16" s="50">
        <v>23</v>
      </c>
      <c r="D16" s="50">
        <v>10</v>
      </c>
      <c r="E16" s="50">
        <f>B16*C16*D16/1000000000</f>
        <v>2.8887999999999999E-4</v>
      </c>
      <c r="F16" s="50">
        <f>B16*C16/1000000</f>
        <v>2.8888E-2</v>
      </c>
      <c r="G16" s="50" t="s">
        <v>15</v>
      </c>
      <c r="H16" s="50">
        <f>ROUND(Q16+T16/Раскройка!$F$11,0)</f>
        <v>53318</v>
      </c>
      <c r="I16" s="50" t="s">
        <v>41</v>
      </c>
      <c r="J16" s="50">
        <v>2</v>
      </c>
      <c r="K16" s="50" t="s">
        <v>39</v>
      </c>
      <c r="L16" s="50">
        <v>4</v>
      </c>
      <c r="M16" s="50">
        <f>E16*H16+0.25*((VLOOKUP(I16,Покрытия!$A$2:$B$50,2,FALSE)*J16+VLOOKUP(K16,Покрытия!$A$2:$B$50,2,FALSE)*L16)*F16)</f>
        <v>63.06770384</v>
      </c>
      <c r="N16" s="50">
        <v>1</v>
      </c>
      <c r="O16" s="50">
        <f>M16*N16</f>
        <v>63.06770384</v>
      </c>
      <c r="P16" s="9"/>
      <c r="Q16" s="50">
        <f t="array" ref="Q16">INDEX(Материалы!$C$2:$C$50,MATCH(G16,Материалы!$A$2:$A$50,0))</f>
        <v>32000</v>
      </c>
      <c r="R16" s="50">
        <f>FLOOR(Раскройка!$C$11/C16,1)*FLOOR(Раскройка!$D$11/B16,1)</f>
        <v>26</v>
      </c>
      <c r="S16" s="50">
        <f>MAX(Раскройка!$F$11-E16*R16,0)</f>
        <v>1.498912E-2</v>
      </c>
      <c r="T16" s="50">
        <f>Q16*S16</f>
        <v>479.65183999999999</v>
      </c>
      <c r="U16" s="9"/>
    </row>
    <row r="17" spans="1:21" x14ac:dyDescent="0.25">
      <c r="A17" s="50" t="s">
        <v>144</v>
      </c>
      <c r="B17" s="50">
        <f>27+395+50+270+32+1402+50+292+27</f>
        <v>2545</v>
      </c>
      <c r="C17" s="50">
        <v>23</v>
      </c>
      <c r="D17" s="50">
        <v>10</v>
      </c>
      <c r="E17" s="50">
        <f>B17*C17*D17/1000000000</f>
        <v>5.8535E-4</v>
      </c>
      <c r="F17" s="50">
        <f>B17*C17/1000000</f>
        <v>5.8534999999999997E-2</v>
      </c>
      <c r="G17" s="50" t="s">
        <v>15</v>
      </c>
      <c r="H17" s="50">
        <f>ROUND(Q17+T17/Раскройка!$F$11,0)</f>
        <v>53178</v>
      </c>
      <c r="I17" s="50" t="s">
        <v>41</v>
      </c>
      <c r="J17" s="50">
        <v>2</v>
      </c>
      <c r="K17" s="50" t="s">
        <v>39</v>
      </c>
      <c r="L17" s="50">
        <v>4</v>
      </c>
      <c r="M17" s="50">
        <f>E17*H17+0.25*((VLOOKUP(I17,Покрытия!$A$2:$B$50,2,FALSE)*J17+VLOOKUP(K17,Покрытия!$A$2:$B$50,2,FALSE)*L17)*F17)</f>
        <v>127.7104923</v>
      </c>
      <c r="N17" s="50">
        <v>2</v>
      </c>
      <c r="O17" s="50">
        <f>M17*N17</f>
        <v>255.4209846</v>
      </c>
      <c r="P17" s="9"/>
      <c r="Q17" s="50">
        <f t="array" ref="Q17">INDEX(Материалы!$C$2:$C$50,MATCH(G17,Материалы!$A$2:$A$50,0))</f>
        <v>32000</v>
      </c>
      <c r="R17" s="50">
        <f>FLOOR(Раскройка!$C$11/C17,1)*FLOOR(Раскройка!$D$11/B17,1)</f>
        <v>13</v>
      </c>
      <c r="S17" s="50">
        <f>MAX(Раскройка!$F$11-E17*R17,0)</f>
        <v>1.489045E-2</v>
      </c>
      <c r="T17" s="50">
        <f>Q17*S17</f>
        <v>476.49439999999998</v>
      </c>
      <c r="U17" s="9"/>
    </row>
    <row r="18" spans="1:21" x14ac:dyDescent="0.25">
      <c r="A18" s="50" t="s">
        <v>146</v>
      </c>
      <c r="B18" s="50">
        <v>1256</v>
      </c>
      <c r="C18" s="50">
        <v>32</v>
      </c>
      <c r="D18" s="50">
        <v>32</v>
      </c>
      <c r="E18" s="50">
        <f>B18*C18*D18/1000000000</f>
        <v>1.2861439999999999E-3</v>
      </c>
      <c r="F18" s="50">
        <f>B18*C18/1000000</f>
        <v>4.0191999999999999E-2</v>
      </c>
      <c r="G18" s="50" t="s">
        <v>15</v>
      </c>
      <c r="H18" s="50">
        <f>ROUND(Q18+T18/Раскройка!$F$11,0)</f>
        <v>32000</v>
      </c>
      <c r="I18" s="50" t="s">
        <v>41</v>
      </c>
      <c r="J18" s="50">
        <v>2</v>
      </c>
      <c r="K18" s="50" t="s">
        <v>39</v>
      </c>
      <c r="L18" s="50">
        <v>4</v>
      </c>
      <c r="M18" s="50">
        <f>E18*H18+0.25*((VLOOKUP(I18,Покрытия!$A$2:$B$50,2,FALSE)*J18+VLOOKUP(K18,Покрытия!$A$2:$B$50,2,FALSE)*L18)*F18)</f>
        <v>107.47340800000001</v>
      </c>
      <c r="N18" s="50">
        <v>1</v>
      </c>
      <c r="O18" s="50">
        <f>M18*N18</f>
        <v>107.47340800000001</v>
      </c>
      <c r="P18" s="9"/>
      <c r="Q18" s="50">
        <f t="array" ref="Q18">INDEX(Материалы!$C$2:$C$50,MATCH(G18,Материалы!$A$2:$A$50,0))</f>
        <v>32000</v>
      </c>
      <c r="R18" s="50">
        <f>FLOOR(Раскройка!$C$11/C18,1)*FLOOR(Раскройка!$D$11/B18,1)</f>
        <v>18</v>
      </c>
      <c r="S18" s="50">
        <f>MAX(Раскройка!$F$11-E18*R18,0)</f>
        <v>0</v>
      </c>
      <c r="T18" s="50">
        <f>Q18*S18</f>
        <v>0</v>
      </c>
    </row>
    <row r="19" spans="1:21" x14ac:dyDescent="0.25">
      <c r="A19" s="50" t="s">
        <v>146</v>
      </c>
      <c r="B19" s="50">
        <v>569</v>
      </c>
      <c r="C19" s="50">
        <v>1256</v>
      </c>
      <c r="D19" s="50">
        <v>16</v>
      </c>
      <c r="E19" s="50">
        <f t="shared" ref="E19" si="9">B19*C19/1000000</f>
        <v>0.71466399999999997</v>
      </c>
      <c r="F19" s="20"/>
      <c r="G19" s="7" t="s">
        <v>3</v>
      </c>
      <c r="H19" s="50">
        <f>ROUND(Q19+T19/Раскройка!$F$2,0)</f>
        <v>497</v>
      </c>
      <c r="I19" s="50" t="s">
        <v>41</v>
      </c>
      <c r="J19" s="50">
        <v>2</v>
      </c>
      <c r="K19" s="50" t="s">
        <v>39</v>
      </c>
      <c r="L19" s="50">
        <v>4</v>
      </c>
      <c r="M19" s="50">
        <f>E19*(0.25*(VLOOKUP(I19,Покрытия!$A$2:$B$40,2,FALSE)*J19+VLOOKUP(K19,Покрытия!$A$2:$B$40,2,FALSE)*L19)+H19)</f>
        <v>1534.3836079999999</v>
      </c>
      <c r="N19" s="50">
        <v>2</v>
      </c>
      <c r="O19" s="50">
        <f t="shared" ref="O19" si="10">M19*N19</f>
        <v>3068.7672159999997</v>
      </c>
      <c r="P19" s="9"/>
      <c r="Q19" s="50">
        <f t="array" ref="Q19">INDEX(Материалы!$C$2:$C$50,MATCH(G19&amp;D19,Материалы!$A$2:$A$50&amp;Материалы!$B$2:$B$50,0))</f>
        <v>330</v>
      </c>
      <c r="R19" s="50">
        <f>FLOOR(Раскройка!$D$2/B19,1)*FLOOR(Раскройка!$C$2/C19,1)</f>
        <v>4</v>
      </c>
      <c r="S19" s="50">
        <f>MAX(Раскройка!$F$2-E19*R19,0)</f>
        <v>2.941344</v>
      </c>
      <c r="T19" s="50">
        <f t="shared" ref="T19" si="11">Q19*S19</f>
        <v>970.64351999999997</v>
      </c>
      <c r="U19" s="9"/>
    </row>
    <row r="21" spans="1:21" x14ac:dyDescent="0.25">
      <c r="A21" s="50" t="s">
        <v>82</v>
      </c>
      <c r="B21" s="50">
        <f>27+395+50+270+32+1402+50+292+27</f>
        <v>2545</v>
      </c>
      <c r="C21" s="50">
        <v>41</v>
      </c>
      <c r="D21" s="50">
        <v>31</v>
      </c>
      <c r="E21" s="50">
        <f>B21*C21*D21/1000000000</f>
        <v>3.2346950000000001E-3</v>
      </c>
      <c r="F21" s="50">
        <f>B21*C21/1000000</f>
        <v>0.10434499999999999</v>
      </c>
      <c r="G21" s="50" t="s">
        <v>15</v>
      </c>
      <c r="H21" s="50">
        <f>ROUND(Q21+T21/Раскройка!$F$11,0)</f>
        <v>32000</v>
      </c>
      <c r="I21" s="50" t="s">
        <v>41</v>
      </c>
      <c r="J21" s="50">
        <v>2</v>
      </c>
      <c r="K21" s="50" t="s">
        <v>39</v>
      </c>
      <c r="L21" s="50">
        <v>4</v>
      </c>
      <c r="M21" s="50">
        <f>E21*H21+0.25*((VLOOKUP(I21,Покрытия!$A$2:$B$50,2,FALSE)*J21+VLOOKUP(K21,Покрытия!$A$2:$B$50,2,FALSE)*L21)*F21)</f>
        <v>275.67948999999999</v>
      </c>
      <c r="N21" s="50">
        <v>2</v>
      </c>
      <c r="O21" s="50">
        <f>M21*N21</f>
        <v>551.35897999999997</v>
      </c>
      <c r="P21" s="9"/>
      <c r="Q21" s="50">
        <f t="array" ref="Q21">INDEX(Материалы!$C$2:$C$50,MATCH(G21,Материалы!$A$2:$A$50,0))</f>
        <v>32000</v>
      </c>
      <c r="R21" s="50">
        <f>FLOOR(Раскройка!$C$11/C21,1)*FLOOR(Раскройка!$D$11/B21,1)</f>
        <v>7</v>
      </c>
      <c r="S21" s="50">
        <f>MAX(Раскройка!$F$11-E21*R21,0)</f>
        <v>0</v>
      </c>
      <c r="T21" s="50">
        <f>Q21*S21</f>
        <v>0</v>
      </c>
    </row>
    <row r="22" spans="1:21" x14ac:dyDescent="0.25">
      <c r="A22" s="50" t="s">
        <v>81</v>
      </c>
      <c r="B22" s="50">
        <f>300+594+300</f>
        <v>1194</v>
      </c>
      <c r="C22" s="50">
        <v>41</v>
      </c>
      <c r="D22" s="50">
        <v>32</v>
      </c>
      <c r="E22" s="50">
        <f>B22*C22*D22/1000000000</f>
        <v>1.566528E-3</v>
      </c>
      <c r="F22" s="50">
        <f>B22*C22/1000000</f>
        <v>4.8953999999999998E-2</v>
      </c>
      <c r="G22" s="50" t="s">
        <v>15</v>
      </c>
      <c r="H22" s="50">
        <f>ROUND(Q22+T22/Раскройка!$F$11,0)</f>
        <v>32809</v>
      </c>
      <c r="I22" s="50" t="s">
        <v>41</v>
      </c>
      <c r="J22" s="50">
        <v>2</v>
      </c>
      <c r="K22" s="50" t="s">
        <v>39</v>
      </c>
      <c r="L22" s="50">
        <v>4</v>
      </c>
      <c r="M22" s="50">
        <f>E22*H22+0.25*((VLOOKUP(I22,Покрытия!$A$2:$B$50,2,FALSE)*J22+VLOOKUP(K22,Покрытия!$A$2:$B$50,2,FALSE)*L22)*F22)</f>
        <v>132.170317152</v>
      </c>
      <c r="N22" s="50">
        <v>1</v>
      </c>
      <c r="O22" s="50">
        <f>M22*N22</f>
        <v>132.170317152</v>
      </c>
      <c r="P22" s="9"/>
      <c r="Q22" s="50">
        <f t="array" ref="Q22">INDEX(Материалы!$C$2:$C$50,MATCH(G22,Материалы!$A$2:$A$50,0))</f>
        <v>32000</v>
      </c>
      <c r="R22" s="50">
        <f>FLOOR(Раскройка!$C$11/C22,1)*FLOOR(Раскройка!$D$11/B22,1)</f>
        <v>14</v>
      </c>
      <c r="S22" s="50">
        <f>MAX(Раскройка!$F$11-E22*R22,0)</f>
        <v>5.6860799999999823E-4</v>
      </c>
      <c r="T22" s="50">
        <f>Q22*S22</f>
        <v>18.195455999999943</v>
      </c>
    </row>
    <row r="23" spans="1:21" x14ac:dyDescent="0.25">
      <c r="A23" s="50" t="s">
        <v>81</v>
      </c>
      <c r="B23" s="50">
        <f>300+594+300</f>
        <v>1194</v>
      </c>
      <c r="C23" s="50">
        <v>41</v>
      </c>
      <c r="D23" s="50">
        <v>50</v>
      </c>
      <c r="E23" s="50">
        <f>B23*C23*D23/1000000000</f>
        <v>2.4477000000000001E-3</v>
      </c>
      <c r="F23" s="50">
        <f>B23*C23/1000000</f>
        <v>4.8953999999999998E-2</v>
      </c>
      <c r="G23" s="50" t="s">
        <v>15</v>
      </c>
      <c r="H23" s="50">
        <f>ROUND(Q23+T23/Раскройка!$F$11,0)</f>
        <v>32000</v>
      </c>
      <c r="I23" s="50" t="s">
        <v>41</v>
      </c>
      <c r="J23" s="50">
        <v>2</v>
      </c>
      <c r="K23" s="50" t="s">
        <v>39</v>
      </c>
      <c r="L23" s="50">
        <v>4</v>
      </c>
      <c r="M23" s="50">
        <f>E23*H23+0.25*((VLOOKUP(I23,Покрытия!$A$2:$B$50,2,FALSE)*J23+VLOOKUP(K23,Покрытия!$A$2:$B$50,2,FALSE)*L23)*F23)</f>
        <v>159.10050000000001</v>
      </c>
      <c r="N23" s="50">
        <v>2</v>
      </c>
      <c r="O23" s="50">
        <f>M23*N23</f>
        <v>318.20100000000002</v>
      </c>
      <c r="P23" s="9"/>
      <c r="Q23" s="50">
        <f t="array" ref="Q23">INDEX(Материалы!$C$2:$C$50,MATCH(G23,Материалы!$A$2:$A$50,0))</f>
        <v>32000</v>
      </c>
      <c r="R23" s="50">
        <f>FLOOR(Раскройка!$C$11/C23,1)*FLOOR(Раскройка!$D$11/B23,1)</f>
        <v>14</v>
      </c>
      <c r="S23" s="50">
        <f>MAX(Раскройка!$F$11-E23*R23,0)</f>
        <v>0</v>
      </c>
      <c r="T23" s="50">
        <f>Q23*S23</f>
        <v>0</v>
      </c>
    </row>
    <row r="24" spans="1:21" x14ac:dyDescent="0.25">
      <c r="A24" s="50" t="s">
        <v>81</v>
      </c>
      <c r="B24" s="50">
        <f>300+594+300</f>
        <v>1194</v>
      </c>
      <c r="C24" s="50">
        <v>41</v>
      </c>
      <c r="D24" s="50">
        <v>27</v>
      </c>
      <c r="E24" s="50">
        <f>B24*C24*D24/1000000000</f>
        <v>1.3217579999999999E-3</v>
      </c>
      <c r="F24" s="50">
        <f>B24*C24/1000000</f>
        <v>4.8953999999999998E-2</v>
      </c>
      <c r="G24" s="50" t="s">
        <v>15</v>
      </c>
      <c r="H24" s="50">
        <f>ROUND(Q24+T24/Раскройка!$F$11,0)</f>
        <v>37682</v>
      </c>
      <c r="I24" s="50" t="s">
        <v>41</v>
      </c>
      <c r="J24" s="50">
        <v>2</v>
      </c>
      <c r="K24" s="50" t="s">
        <v>39</v>
      </c>
      <c r="L24" s="50">
        <v>4</v>
      </c>
      <c r="M24" s="50">
        <f>E24*H24+0.25*((VLOOKUP(I24,Покрытия!$A$2:$B$50,2,FALSE)*J24+VLOOKUP(K24,Покрытия!$A$2:$B$50,2,FALSE)*L24)*F24)</f>
        <v>130.580584956</v>
      </c>
      <c r="N24" s="50">
        <v>2</v>
      </c>
      <c r="O24" s="50">
        <f>M24*N24</f>
        <v>261.16116991199999</v>
      </c>
      <c r="P24" s="9"/>
      <c r="Q24" s="50">
        <f t="array" ref="Q24">INDEX(Материалы!$C$2:$C$50,MATCH(G24,Материалы!$A$2:$A$50,0))</f>
        <v>32000</v>
      </c>
      <c r="R24" s="50">
        <f>FLOOR(Раскройка!$C$11/C24,1)*FLOOR(Раскройка!$D$11/B24,1)</f>
        <v>14</v>
      </c>
      <c r="S24" s="50">
        <f>MAX(Раскройка!$F$11-E24*R24,0)</f>
        <v>3.995387999999999E-3</v>
      </c>
      <c r="T24" s="50">
        <f>Q24*S24</f>
        <v>127.85241599999996</v>
      </c>
    </row>
    <row r="26" spans="1:21" x14ac:dyDescent="0.25">
      <c r="A26" s="50" t="s">
        <v>82</v>
      </c>
      <c r="B26" s="50">
        <v>395</v>
      </c>
      <c r="C26" s="50">
        <v>50</v>
      </c>
      <c r="D26" s="50">
        <v>25</v>
      </c>
      <c r="E26" s="50">
        <f t="shared" ref="E26" si="12">B26*C26/1000000</f>
        <v>1.975E-2</v>
      </c>
      <c r="F26" s="20"/>
      <c r="G26" s="7" t="s">
        <v>12</v>
      </c>
      <c r="H26" s="50">
        <f>ROUND(Q26+T26/Раскройка!$F$2,0)</f>
        <v>988</v>
      </c>
      <c r="I26" s="50" t="s">
        <v>41</v>
      </c>
      <c r="J26" s="50">
        <v>2</v>
      </c>
      <c r="K26" s="50" t="s">
        <v>39</v>
      </c>
      <c r="L26" s="50">
        <v>4</v>
      </c>
      <c r="M26" s="50">
        <f>E26*(0.25*(VLOOKUP(I26,Покрытия!$A$2:$B$40,2,FALSE)*J26+VLOOKUP(K26,Покрытия!$A$2:$B$40,2,FALSE)*L26)+H26)</f>
        <v>52.100500000000004</v>
      </c>
      <c r="N26" s="50">
        <v>4</v>
      </c>
      <c r="O26" s="50">
        <f t="shared" ref="O26" si="13">M26*N26</f>
        <v>208.40200000000002</v>
      </c>
      <c r="P26" s="9"/>
      <c r="Q26" s="50">
        <f t="array" ref="Q26">INDEX(Материалы!$C$2:$C$50,MATCH(G26&amp;D26,Материалы!$A$2:$A$50&amp;Материалы!$B$2:$B$50,0))</f>
        <v>966</v>
      </c>
      <c r="R26" s="50">
        <f>FLOOR(Раскройка!$D$2/B26,1)*FLOOR(Раскройка!$C$2/C26,1)</f>
        <v>287</v>
      </c>
      <c r="S26" s="50">
        <f>MAX(Раскройка!$F$2-E26*R26,0)</f>
        <v>0.13174999999999937</v>
      </c>
      <c r="T26" s="50">
        <f t="shared" ref="T26" si="14">Q26*S26</f>
        <v>127.27049999999939</v>
      </c>
      <c r="U26" s="9"/>
    </row>
    <row r="27" spans="1:21" x14ac:dyDescent="0.25">
      <c r="A27" s="50" t="s">
        <v>81</v>
      </c>
      <c r="B27" s="50">
        <v>628</v>
      </c>
      <c r="C27" s="50">
        <v>50</v>
      </c>
      <c r="D27" s="50">
        <v>25</v>
      </c>
      <c r="E27" s="50">
        <f t="shared" ref="E27" si="15">B27*C27/1000000</f>
        <v>3.1399999999999997E-2</v>
      </c>
      <c r="F27" s="20"/>
      <c r="G27" s="7" t="s">
        <v>12</v>
      </c>
      <c r="H27" s="50">
        <f>ROUND(Q27+T27/Раскройка!$F$2,0)</f>
        <v>1074</v>
      </c>
      <c r="I27" s="50" t="s">
        <v>41</v>
      </c>
      <c r="J27" s="50">
        <v>2</v>
      </c>
      <c r="K27" s="50" t="s">
        <v>39</v>
      </c>
      <c r="L27" s="50">
        <v>4</v>
      </c>
      <c r="M27" s="50">
        <f>E27*(0.25*(VLOOKUP(I27,Покрытия!$A$2:$B$40,2,FALSE)*J27+VLOOKUP(K27,Покрытия!$A$2:$B$40,2,FALSE)*L27)+H27)</f>
        <v>85.533599999999993</v>
      </c>
      <c r="N27" s="50">
        <v>4</v>
      </c>
      <c r="O27" s="50">
        <f t="shared" ref="O27" si="16">M27*N27</f>
        <v>342.13439999999997</v>
      </c>
      <c r="P27" s="9"/>
      <c r="Q27" s="50">
        <f t="array" ref="Q27">INDEX(Материалы!$C$2:$C$50,MATCH(G27&amp;D27,Материалы!$A$2:$A$50&amp;Материалы!$B$2:$B$50,0))</f>
        <v>966</v>
      </c>
      <c r="R27" s="50">
        <f>FLOOR(Раскройка!$D$2/B27,1)*FLOOR(Раскройка!$C$2/C27,1)</f>
        <v>164</v>
      </c>
      <c r="S27" s="50">
        <f>MAX(Раскройка!$F$2-E27*R27,0)</f>
        <v>0.65040000000000031</v>
      </c>
      <c r="T27" s="50">
        <f t="shared" ref="T27" si="17">Q27*S27</f>
        <v>628.2864000000003</v>
      </c>
      <c r="U27" s="9"/>
    </row>
    <row r="28" spans="1:21" x14ac:dyDescent="0.25">
      <c r="A28" s="50" t="s">
        <v>144</v>
      </c>
      <c r="B28" s="50">
        <v>395</v>
      </c>
      <c r="C28" s="50">
        <v>26.5</v>
      </c>
      <c r="D28" s="50">
        <v>16</v>
      </c>
      <c r="E28" s="50">
        <f>B28*C28*D28/1000000000</f>
        <v>1.6747999999999999E-4</v>
      </c>
      <c r="F28" s="50">
        <f>B28*C28/1000000</f>
        <v>1.0467499999999999E-2</v>
      </c>
      <c r="G28" s="50" t="s">
        <v>15</v>
      </c>
      <c r="H28" s="50">
        <f>ROUND(Q28+T28/Раскройка!$F$11,0)</f>
        <v>45659</v>
      </c>
      <c r="I28" s="50" t="s">
        <v>41</v>
      </c>
      <c r="J28" s="50">
        <v>2</v>
      </c>
      <c r="K28" s="50" t="s">
        <v>39</v>
      </c>
      <c r="L28" s="50">
        <v>4</v>
      </c>
      <c r="M28" s="50">
        <f>E28*H28+0.25*((VLOOKUP(I28,Покрытия!$A$2:$B$50,2,FALSE)*J28+VLOOKUP(K28,Покрытия!$A$2:$B$50,2,FALSE)*L28)*F28)</f>
        <v>24.918344319999999</v>
      </c>
      <c r="N28" s="50">
        <v>4</v>
      </c>
      <c r="O28" s="50">
        <f>M28*N28</f>
        <v>99.673377279999997</v>
      </c>
      <c r="P28" s="9"/>
      <c r="Q28" s="50">
        <f t="array" ref="Q28">INDEX(Материалы!$C$2:$C$50,MATCH(G28,Материалы!$A$2:$A$50,0))</f>
        <v>32000</v>
      </c>
      <c r="R28" s="50">
        <f>FLOOR(Раскройка!$C$11/C28,1)*FLOOR(Раскройка!$D$11/B28,1)</f>
        <v>77</v>
      </c>
      <c r="S28" s="50">
        <f>MAX(Раскройка!$F$11-E28*R28,0)</f>
        <v>9.6040399999999995E-3</v>
      </c>
      <c r="T28" s="50">
        <f>Q28*S28</f>
        <v>307.32927999999998</v>
      </c>
    </row>
    <row r="29" spans="1:21" x14ac:dyDescent="0.25">
      <c r="A29" s="50" t="s">
        <v>145</v>
      </c>
      <c r="B29" s="50">
        <v>628</v>
      </c>
      <c r="C29" s="50">
        <v>26.5</v>
      </c>
      <c r="D29" s="50">
        <v>16</v>
      </c>
      <c r="E29" s="50">
        <f>B29*C29*D29/1000000000</f>
        <v>2.6627200000000001E-4</v>
      </c>
      <c r="F29" s="50">
        <f>B29*C29/1000000</f>
        <v>1.6642000000000001E-2</v>
      </c>
      <c r="G29" s="50" t="s">
        <v>15</v>
      </c>
      <c r="H29" s="50">
        <f>ROUND(Q29+T29/Раскройка!$F$11,0)</f>
        <v>47337</v>
      </c>
      <c r="I29" s="50" t="s">
        <v>41</v>
      </c>
      <c r="J29" s="50">
        <v>2</v>
      </c>
      <c r="K29" s="50" t="s">
        <v>39</v>
      </c>
      <c r="L29" s="50">
        <v>4</v>
      </c>
      <c r="M29" s="50">
        <f>E29*H29+0.25*((VLOOKUP(I29,Покрытия!$A$2:$B$50,2,FALSE)*J29+VLOOKUP(K29,Покрытия!$A$2:$B$50,2,FALSE)*L29)*F29)</f>
        <v>40.063817664000005</v>
      </c>
      <c r="N29" s="50">
        <v>4</v>
      </c>
      <c r="O29" s="50">
        <f>M29*N29</f>
        <v>160.25527065600002</v>
      </c>
      <c r="P29" s="9"/>
      <c r="Q29" s="50">
        <f t="array" ref="Q29">INDEX(Материалы!$C$2:$C$50,MATCH(G29,Материалы!$A$2:$A$50,0))</f>
        <v>32000</v>
      </c>
      <c r="R29" s="50">
        <f>FLOOR(Раскройка!$C$11/C29,1)*FLOOR(Раскройка!$D$11/B29,1)</f>
        <v>44</v>
      </c>
      <c r="S29" s="50">
        <f>MAX(Раскройка!$F$11-E29*R29,0)</f>
        <v>1.0784031999999999E-2</v>
      </c>
      <c r="T29" s="50">
        <f>Q29*S29</f>
        <v>345.08902399999999</v>
      </c>
    </row>
    <row r="30" spans="1:21" x14ac:dyDescent="0.25">
      <c r="A30" s="50" t="s">
        <v>57</v>
      </c>
      <c r="B30" s="50">
        <v>395</v>
      </c>
      <c r="C30" s="50">
        <v>628</v>
      </c>
      <c r="D30" s="50">
        <v>12</v>
      </c>
      <c r="E30" s="50">
        <f t="shared" ref="E30" si="18">B30*C30/1000000</f>
        <v>0.24806</v>
      </c>
      <c r="F30" s="20"/>
      <c r="G30" s="7" t="s">
        <v>12</v>
      </c>
      <c r="H30" s="50">
        <f>ROUND(Q30+T30/Раскройка!$F$2,0)</f>
        <v>542</v>
      </c>
      <c r="I30" s="50" t="s">
        <v>41</v>
      </c>
      <c r="J30" s="50">
        <v>2</v>
      </c>
      <c r="K30" s="50" t="s">
        <v>39</v>
      </c>
      <c r="L30" s="50">
        <v>4</v>
      </c>
      <c r="M30" s="50">
        <f>E30*(0.25*(VLOOKUP(I30,Покрытия!$A$2:$B$40,2,FALSE)*J30+VLOOKUP(K30,Покрытия!$A$2:$B$40,2,FALSE)*L30)+H30)</f>
        <v>543.74752000000001</v>
      </c>
      <c r="N30" s="50">
        <v>2</v>
      </c>
      <c r="O30" s="50">
        <f t="shared" ref="O30" si="19">M30*N30</f>
        <v>1087.49504</v>
      </c>
      <c r="P30" s="9"/>
      <c r="Q30" s="50">
        <f t="array" ref="Q30">INDEX(Материалы!$C$2:$C$50,MATCH(G30&amp;D30,Материалы!$A$2:$A$50&amp;Материалы!$B$2:$B$50,0))</f>
        <v>492</v>
      </c>
      <c r="R30" s="50">
        <f>FLOOR(Раскройка!$D$2/B30,1)*FLOOR(Раскройка!$C$2/C30,1)</f>
        <v>21</v>
      </c>
      <c r="S30" s="50">
        <f>MAX(Раскройка!$F$2-E30*R30,0)</f>
        <v>0.59073999999999938</v>
      </c>
      <c r="T30" s="50">
        <f t="shared" ref="T30" si="20">Q30*S30</f>
        <v>290.64407999999969</v>
      </c>
    </row>
    <row r="32" spans="1:21" x14ac:dyDescent="0.25">
      <c r="A32" s="50" t="s">
        <v>82</v>
      </c>
      <c r="B32" s="50">
        <v>330</v>
      </c>
      <c r="C32" s="50">
        <v>50</v>
      </c>
      <c r="D32" s="50">
        <v>25</v>
      </c>
      <c r="E32" s="50">
        <f t="shared" ref="E32:E33" si="21">B32*C32/1000000</f>
        <v>1.6500000000000001E-2</v>
      </c>
      <c r="F32" s="20"/>
      <c r="G32" s="7" t="s">
        <v>12</v>
      </c>
      <c r="H32" s="50">
        <f>ROUND(Q32+T32/Раскройка!$F$2,0)</f>
        <v>1031</v>
      </c>
      <c r="I32" s="50" t="s">
        <v>41</v>
      </c>
      <c r="J32" s="50">
        <v>2</v>
      </c>
      <c r="K32" s="50" t="s">
        <v>39</v>
      </c>
      <c r="L32" s="50">
        <v>4</v>
      </c>
      <c r="M32" s="50">
        <f>E32*(0.25*(VLOOKUP(I32,Покрытия!$A$2:$B$40,2,FALSE)*J32+VLOOKUP(K32,Покрытия!$A$2:$B$40,2,FALSE)*L32)+H32)</f>
        <v>44.236499999999999</v>
      </c>
      <c r="N32" s="50">
        <v>4</v>
      </c>
      <c r="O32" s="50">
        <f t="shared" ref="O32:O33" si="22">M32*N32</f>
        <v>176.946</v>
      </c>
      <c r="P32" s="9"/>
      <c r="Q32" s="50">
        <f t="array" ref="Q32">INDEX(Материалы!$C$2:$C$50,MATCH(G32&amp;D32,Материалы!$A$2:$A$50&amp;Материалы!$B$2:$B$50,0))</f>
        <v>966</v>
      </c>
      <c r="R32" s="50">
        <f>FLOOR(Раскройка!$D$2/B32,1)*FLOOR(Раскройка!$C$2/C32,1)</f>
        <v>328</v>
      </c>
      <c r="S32" s="50">
        <f>MAX(Раскройка!$F$2-E32*R32,0)</f>
        <v>0.3879999999999999</v>
      </c>
      <c r="T32" s="50">
        <f t="shared" ref="T32:T33" si="23">Q32*S32</f>
        <v>374.80799999999988</v>
      </c>
    </row>
    <row r="33" spans="1:21" x14ac:dyDescent="0.25">
      <c r="A33" s="50" t="s">
        <v>81</v>
      </c>
      <c r="B33" s="50">
        <v>628</v>
      </c>
      <c r="C33" s="50">
        <v>50</v>
      </c>
      <c r="D33" s="50">
        <v>25</v>
      </c>
      <c r="E33" s="50">
        <f t="shared" si="21"/>
        <v>3.1399999999999997E-2</v>
      </c>
      <c r="F33" s="20"/>
      <c r="G33" s="7" t="s">
        <v>12</v>
      </c>
      <c r="H33" s="50">
        <f>ROUND(Q33+T33/Раскройка!$F$2,0)</f>
        <v>1074</v>
      </c>
      <c r="I33" s="50" t="s">
        <v>41</v>
      </c>
      <c r="J33" s="50">
        <v>2</v>
      </c>
      <c r="K33" s="50" t="s">
        <v>39</v>
      </c>
      <c r="L33" s="50">
        <v>4</v>
      </c>
      <c r="M33" s="50">
        <f>E33*(0.25*(VLOOKUP(I33,Покрытия!$A$2:$B$40,2,FALSE)*J33+VLOOKUP(K33,Покрытия!$A$2:$B$40,2,FALSE)*L33)+H33)</f>
        <v>85.533599999999993</v>
      </c>
      <c r="N33" s="50">
        <v>4</v>
      </c>
      <c r="O33" s="50">
        <f t="shared" si="22"/>
        <v>342.13439999999997</v>
      </c>
      <c r="P33" s="9"/>
      <c r="Q33" s="50">
        <f t="array" ref="Q33">INDEX(Материалы!$C$2:$C$50,MATCH(G33&amp;D33,Материалы!$A$2:$A$50&amp;Материалы!$B$2:$B$50,0))</f>
        <v>966</v>
      </c>
      <c r="R33" s="50">
        <f>FLOOR(Раскройка!$D$2/B33,1)*FLOOR(Раскройка!$C$2/C33,1)</f>
        <v>164</v>
      </c>
      <c r="S33" s="50">
        <f>MAX(Раскройка!$F$2-E33*R33,0)</f>
        <v>0.65040000000000031</v>
      </c>
      <c r="T33" s="50">
        <f t="shared" si="23"/>
        <v>628.2864000000003</v>
      </c>
    </row>
    <row r="34" spans="1:21" x14ac:dyDescent="0.25">
      <c r="A34" s="50" t="s">
        <v>144</v>
      </c>
      <c r="B34" s="50">
        <v>330</v>
      </c>
      <c r="C34" s="50">
        <v>26.5</v>
      </c>
      <c r="D34" s="50">
        <v>16</v>
      </c>
      <c r="E34" s="50">
        <f>B34*C34*D34/1000000000</f>
        <v>1.3992E-4</v>
      </c>
      <c r="F34" s="50">
        <f>B34*C34/1000000</f>
        <v>8.7449999999999993E-3</v>
      </c>
      <c r="G34" s="50" t="s">
        <v>15</v>
      </c>
      <c r="H34" s="50">
        <f>ROUND(Q34+T34/Раскройка!$F$11,0)</f>
        <v>44299</v>
      </c>
      <c r="I34" s="50" t="s">
        <v>41</v>
      </c>
      <c r="J34" s="50">
        <v>2</v>
      </c>
      <c r="K34" s="50" t="s">
        <v>39</v>
      </c>
      <c r="L34" s="50">
        <v>4</v>
      </c>
      <c r="M34" s="50">
        <f>E34*H34+0.25*((VLOOKUP(I34,Покрытия!$A$2:$B$50,2,FALSE)*J34+VLOOKUP(K34,Покрытия!$A$2:$B$50,2,FALSE)*L34)*F34)</f>
        <v>20.627566080000001</v>
      </c>
      <c r="N34" s="50">
        <v>4</v>
      </c>
      <c r="O34" s="50">
        <f>M34*N34</f>
        <v>82.510264320000005</v>
      </c>
      <c r="P34" s="9"/>
      <c r="Q34" s="50">
        <f t="array" ref="Q34">INDEX(Материалы!$C$2:$C$50,MATCH(G34,Материалы!$A$2:$A$50,0))</f>
        <v>32000</v>
      </c>
      <c r="R34" s="50">
        <f>FLOOR(Раскройка!$C$11/C34,1)*FLOOR(Раскройка!$D$11/B34,1)</f>
        <v>99</v>
      </c>
      <c r="S34" s="50">
        <f>MAX(Раскройка!$F$11-E34*R34,0)</f>
        <v>8.6479199999999982E-3</v>
      </c>
      <c r="T34" s="50">
        <f>Q34*S34</f>
        <v>276.73343999999992</v>
      </c>
    </row>
    <row r="35" spans="1:21" x14ac:dyDescent="0.25">
      <c r="A35" s="50" t="s">
        <v>145</v>
      </c>
      <c r="B35" s="50">
        <v>628</v>
      </c>
      <c r="C35" s="50">
        <v>26.5</v>
      </c>
      <c r="D35" s="50">
        <v>16</v>
      </c>
      <c r="E35" s="50">
        <f>B35*C35*D35/1000000000</f>
        <v>2.6627200000000001E-4</v>
      </c>
      <c r="F35" s="50">
        <f>B35*C35/1000000</f>
        <v>1.6642000000000001E-2</v>
      </c>
      <c r="G35" s="50" t="s">
        <v>15</v>
      </c>
      <c r="H35" s="50">
        <f>ROUND(Q35+T35/Раскройка!$F$11,0)</f>
        <v>47337</v>
      </c>
      <c r="I35" s="50" t="s">
        <v>41</v>
      </c>
      <c r="J35" s="50">
        <v>2</v>
      </c>
      <c r="K35" s="50" t="s">
        <v>39</v>
      </c>
      <c r="L35" s="50">
        <v>4</v>
      </c>
      <c r="M35" s="50">
        <f>E35*H35+0.25*((VLOOKUP(I35,Покрытия!$A$2:$B$50,2,FALSE)*J35+VLOOKUP(K35,Покрытия!$A$2:$B$50,2,FALSE)*L35)*F35)</f>
        <v>40.063817664000005</v>
      </c>
      <c r="N35" s="50">
        <v>4</v>
      </c>
      <c r="O35" s="50">
        <f>M35*N35</f>
        <v>160.25527065600002</v>
      </c>
      <c r="P35" s="9"/>
      <c r="Q35" s="50">
        <f t="array" ref="Q35">INDEX(Материалы!$C$2:$C$50,MATCH(G35,Материалы!$A$2:$A$50,0))</f>
        <v>32000</v>
      </c>
      <c r="R35" s="50">
        <f>FLOOR(Раскройка!$C$11/C35,1)*FLOOR(Раскройка!$D$11/B35,1)</f>
        <v>44</v>
      </c>
      <c r="S35" s="50">
        <f>MAX(Раскройка!$F$11-E35*R35,0)</f>
        <v>1.0784031999999999E-2</v>
      </c>
      <c r="T35" s="50">
        <f>Q35*S35</f>
        <v>345.08902399999999</v>
      </c>
    </row>
    <row r="36" spans="1:21" x14ac:dyDescent="0.25">
      <c r="A36" s="50" t="s">
        <v>57</v>
      </c>
      <c r="B36" s="50">
        <v>330</v>
      </c>
      <c r="C36" s="50">
        <v>628</v>
      </c>
      <c r="D36" s="50">
        <v>12</v>
      </c>
      <c r="E36" s="50">
        <f t="shared" ref="E36" si="24">B36*C36/1000000</f>
        <v>0.20724000000000001</v>
      </c>
      <c r="F36" s="20"/>
      <c r="G36" s="7" t="s">
        <v>12</v>
      </c>
      <c r="H36" s="50">
        <f>ROUND(Q36+T36/Раскройка!$F$2,0)</f>
        <v>562</v>
      </c>
      <c r="I36" s="50" t="s">
        <v>41</v>
      </c>
      <c r="J36" s="50">
        <v>2</v>
      </c>
      <c r="K36" s="50" t="s">
        <v>39</v>
      </c>
      <c r="L36" s="50">
        <v>4</v>
      </c>
      <c r="M36" s="50">
        <f>E36*(0.25*(VLOOKUP(I36,Покрытия!$A$2:$B$40,2,FALSE)*J36+VLOOKUP(K36,Покрытия!$A$2:$B$40,2,FALSE)*L36)+H36)</f>
        <v>458.41488000000004</v>
      </c>
      <c r="N36" s="50">
        <v>2</v>
      </c>
      <c r="O36" s="50">
        <f t="shared" ref="O36" si="25">M36*N36</f>
        <v>916.82976000000008</v>
      </c>
      <c r="P36" s="9"/>
      <c r="Q36" s="50">
        <f t="array" ref="Q36">INDEX(Материалы!$C$2:$C$50,MATCH(G36&amp;D36,Материалы!$A$2:$A$50&amp;Материалы!$B$2:$B$50,0))</f>
        <v>492</v>
      </c>
      <c r="R36" s="50">
        <f>FLOOR(Раскройка!$D$2/B36,1)*FLOOR(Раскройка!$C$2/C36,1)</f>
        <v>24</v>
      </c>
      <c r="S36" s="50">
        <f>MAX(Раскройка!$F$2-E36*R36,0)</f>
        <v>0.82623999999999942</v>
      </c>
      <c r="T36" s="50">
        <f t="shared" ref="T36" si="26">Q36*S36</f>
        <v>406.51007999999973</v>
      </c>
    </row>
    <row r="38" spans="1:21" x14ac:dyDescent="0.25">
      <c r="A38" s="50" t="s">
        <v>82</v>
      </c>
      <c r="B38" s="50">
        <v>1742</v>
      </c>
      <c r="C38" s="50">
        <v>50</v>
      </c>
      <c r="D38" s="50">
        <v>25</v>
      </c>
      <c r="E38" s="50">
        <f t="shared" ref="E38:E39" si="27">B38*C38/1000000</f>
        <v>8.7099999999999997E-2</v>
      </c>
      <c r="F38" s="20"/>
      <c r="G38" s="7" t="s">
        <v>12</v>
      </c>
      <c r="H38" s="50">
        <f>ROUND(Q38+T38/Раскройка!$F$2,0)</f>
        <v>1337</v>
      </c>
      <c r="I38" s="50" t="s">
        <v>41</v>
      </c>
      <c r="J38" s="50">
        <v>2</v>
      </c>
      <c r="K38" s="50" t="s">
        <v>39</v>
      </c>
      <c r="L38" s="50">
        <v>4</v>
      </c>
      <c r="M38" s="50">
        <f>E38*(0.25*(VLOOKUP(I38,Покрытия!$A$2:$B$40,2,FALSE)*J38+VLOOKUP(K38,Покрытия!$A$2:$B$40,2,FALSE)*L38)+H38)</f>
        <v>260.16769999999997</v>
      </c>
      <c r="N38" s="50">
        <v>4</v>
      </c>
      <c r="O38" s="50">
        <f t="shared" ref="O38:O39" si="28">M38*N38</f>
        <v>1040.6707999999999</v>
      </c>
      <c r="P38" s="9"/>
      <c r="Q38" s="50">
        <f t="array" ref="Q38">INDEX(Материалы!$C$2:$C$50,MATCH(G38&amp;D38,Материалы!$A$2:$A$50&amp;Материалы!$B$2:$B$50,0))</f>
        <v>966</v>
      </c>
      <c r="R38" s="50">
        <f>FLOOR(Раскройка!$D$2/B38,1)*FLOOR(Раскройка!$C$2/C38,1)</f>
        <v>41</v>
      </c>
      <c r="S38" s="50">
        <f>MAX(Раскройка!$F$2-E38*R38,0)</f>
        <v>2.2288999999999999</v>
      </c>
      <c r="T38" s="50">
        <f t="shared" ref="T38:T39" si="29">Q38*S38</f>
        <v>2153.1174000000001</v>
      </c>
    </row>
    <row r="39" spans="1:21" x14ac:dyDescent="0.25">
      <c r="A39" s="50" t="s">
        <v>81</v>
      </c>
      <c r="B39" s="50">
        <v>628</v>
      </c>
      <c r="C39" s="50">
        <v>50</v>
      </c>
      <c r="D39" s="50">
        <v>25</v>
      </c>
      <c r="E39" s="50">
        <f t="shared" si="27"/>
        <v>3.1399999999999997E-2</v>
      </c>
      <c r="F39" s="20"/>
      <c r="G39" s="7" t="s">
        <v>12</v>
      </c>
      <c r="H39" s="50">
        <f>ROUND(Q39+T39/Раскройка!$F$2,0)</f>
        <v>1074</v>
      </c>
      <c r="I39" s="50" t="s">
        <v>41</v>
      </c>
      <c r="J39" s="50">
        <v>2</v>
      </c>
      <c r="K39" s="50" t="s">
        <v>39</v>
      </c>
      <c r="L39" s="50">
        <v>4</v>
      </c>
      <c r="M39" s="50">
        <f>E39*(0.25*(VLOOKUP(I39,Покрытия!$A$2:$B$40,2,FALSE)*J39+VLOOKUP(K39,Покрытия!$A$2:$B$40,2,FALSE)*L39)+H39)</f>
        <v>85.533599999999993</v>
      </c>
      <c r="N39" s="50">
        <v>4</v>
      </c>
      <c r="O39" s="50">
        <f t="shared" si="28"/>
        <v>342.13439999999997</v>
      </c>
      <c r="P39" s="9"/>
      <c r="Q39" s="50">
        <f t="array" ref="Q39">INDEX(Материалы!$C$2:$C$50,MATCH(G39&amp;D39,Материалы!$A$2:$A$50&amp;Материалы!$B$2:$B$50,0))</f>
        <v>966</v>
      </c>
      <c r="R39" s="50">
        <f>FLOOR(Раскройка!$D$2/B39,1)*FLOOR(Раскройка!$C$2/C39,1)</f>
        <v>164</v>
      </c>
      <c r="S39" s="50">
        <f>MAX(Раскройка!$F$2-E39*R39,0)</f>
        <v>0.65040000000000031</v>
      </c>
      <c r="T39" s="50">
        <f t="shared" si="29"/>
        <v>628.2864000000003</v>
      </c>
    </row>
    <row r="40" spans="1:21" x14ac:dyDescent="0.25">
      <c r="A40" s="50" t="s">
        <v>144</v>
      </c>
      <c r="B40" s="50">
        <v>1742</v>
      </c>
      <c r="C40" s="50">
        <v>20</v>
      </c>
      <c r="D40" s="50">
        <v>10</v>
      </c>
      <c r="E40" s="50">
        <f>B40*C40*D40/1000000000</f>
        <v>3.4840000000000001E-4</v>
      </c>
      <c r="F40" s="50">
        <f>B40*C40/1000000</f>
        <v>3.4840000000000003E-2</v>
      </c>
      <c r="G40" s="50" t="s">
        <v>15</v>
      </c>
      <c r="H40" s="50">
        <f>ROUND(Q40+T40/Раскройка!$F$11,0)</f>
        <v>56567</v>
      </c>
      <c r="I40" s="50" t="s">
        <v>41</v>
      </c>
      <c r="J40" s="50">
        <v>2</v>
      </c>
      <c r="K40" s="50" t="s">
        <v>39</v>
      </c>
      <c r="L40" s="50">
        <v>4</v>
      </c>
      <c r="M40" s="50">
        <f>E40*H40+0.25*((VLOOKUP(I40,Покрытия!$A$2:$B$50,2,FALSE)*J40+VLOOKUP(K40,Покрытия!$A$2:$B$50,2,FALSE)*L40)*F40)</f>
        <v>77.193942800000002</v>
      </c>
      <c r="N40" s="50">
        <v>4</v>
      </c>
      <c r="O40" s="50">
        <f>M40*N40</f>
        <v>308.77577120000001</v>
      </c>
      <c r="P40" s="9"/>
      <c r="Q40" s="50">
        <f t="array" ref="Q40">INDEX(Материалы!$C$2:$C$50,MATCH(G40,Материалы!$A$2:$A$50,0))</f>
        <v>32000</v>
      </c>
      <c r="R40" s="50">
        <f>FLOOR(Раскройка!$C$11/C40,1)*FLOOR(Раскройка!$D$11/B40,1)</f>
        <v>15</v>
      </c>
      <c r="S40" s="50">
        <f>MAX(Раскройка!$F$11-E40*R40,0)</f>
        <v>1.7273999999999998E-2</v>
      </c>
      <c r="T40" s="50">
        <f>Q40*S40</f>
        <v>552.76799999999992</v>
      </c>
    </row>
    <row r="41" spans="1:21" x14ac:dyDescent="0.25">
      <c r="A41" s="50" t="s">
        <v>145</v>
      </c>
      <c r="B41" s="50">
        <v>628</v>
      </c>
      <c r="C41" s="50">
        <v>20</v>
      </c>
      <c r="D41" s="50">
        <v>10</v>
      </c>
      <c r="E41" s="50">
        <f>B41*C41*D41/1000000000</f>
        <v>1.2559999999999999E-4</v>
      </c>
      <c r="F41" s="50">
        <f>B41*C41/1000000</f>
        <v>1.256E-2</v>
      </c>
      <c r="G41" s="50" t="s">
        <v>15</v>
      </c>
      <c r="H41" s="50">
        <f>ROUND(Q41+T41/Раскройка!$F$11,0)</f>
        <v>53282</v>
      </c>
      <c r="I41" s="50" t="s">
        <v>41</v>
      </c>
      <c r="J41" s="50">
        <v>2</v>
      </c>
      <c r="K41" s="50" t="s">
        <v>39</v>
      </c>
      <c r="L41" s="50">
        <v>4</v>
      </c>
      <c r="M41" s="50">
        <f>E41*H41+0.25*((VLOOKUP(I41,Покрытия!$A$2:$B$50,2,FALSE)*J41+VLOOKUP(K41,Покрытия!$A$2:$B$50,2,FALSE)*L41)*F41)</f>
        <v>27.4162192</v>
      </c>
      <c r="N41" s="50">
        <v>4</v>
      </c>
      <c r="O41" s="50">
        <f>M41*N41</f>
        <v>109.6648768</v>
      </c>
      <c r="P41" s="9"/>
      <c r="Q41" s="50">
        <f t="array" ref="Q41">INDEX(Материалы!$C$2:$C$50,MATCH(G41,Материалы!$A$2:$A$50,0))</f>
        <v>32000</v>
      </c>
      <c r="R41" s="50">
        <f>FLOOR(Раскройка!$C$11/C41,1)*FLOOR(Раскройка!$D$11/B41,1)</f>
        <v>60</v>
      </c>
      <c r="S41" s="50">
        <f>MAX(Раскройка!$F$11-E41*R41,0)</f>
        <v>1.4964E-2</v>
      </c>
      <c r="T41" s="50">
        <f>Q41*S41</f>
        <v>478.84800000000001</v>
      </c>
    </row>
    <row r="42" spans="1:21" x14ac:dyDescent="0.25">
      <c r="A42" s="50" t="s">
        <v>4</v>
      </c>
      <c r="B42" s="50">
        <v>1742</v>
      </c>
      <c r="C42" s="50">
        <v>628</v>
      </c>
      <c r="D42" s="50">
        <v>4</v>
      </c>
      <c r="E42" s="50">
        <f t="shared" ref="E42" si="30">B42*C42/1000000</f>
        <v>1.0939760000000001</v>
      </c>
      <c r="F42" s="20"/>
      <c r="G42" s="7" t="s">
        <v>4</v>
      </c>
      <c r="H42" s="50">
        <f>ROUND(Q42+T42/Раскройка!$F$2,0)</f>
        <v>10039</v>
      </c>
      <c r="I42" s="50" t="s">
        <v>41</v>
      </c>
      <c r="J42" s="50">
        <v>2</v>
      </c>
      <c r="K42" s="50" t="s">
        <v>39</v>
      </c>
      <c r="L42" s="50">
        <v>4</v>
      </c>
      <c r="M42" s="50">
        <f>E42*(0.25*(VLOOKUP(I42,Покрытия!$A$2:$B$40,2,FALSE)*J42+VLOOKUP(K42,Покрытия!$A$2:$B$40,2,FALSE)*L42)+H42)</f>
        <v>12787.485464000001</v>
      </c>
      <c r="N42" s="50">
        <v>2</v>
      </c>
      <c r="O42" s="50">
        <f t="shared" ref="O42" si="31">M42*N42</f>
        <v>25574.970928000002</v>
      </c>
      <c r="P42" s="9"/>
      <c r="Q42" s="50">
        <f t="array" ref="Q42">INDEX(Материалы!$C$2:$C$50,MATCH(G42&amp;D42,Материалы!$A$2:$A$50&amp;Материалы!$B$2:$B$50,0))</f>
        <v>7000</v>
      </c>
      <c r="R42" s="50">
        <f>FLOOR(Раскройка!$D$2/B42,1)*FLOOR(Раскройка!$C$2/C42,1)</f>
        <v>3</v>
      </c>
      <c r="S42" s="50">
        <f>MAX(Раскройка!$F$2-E42*R42,0)</f>
        <v>2.5180719999999996</v>
      </c>
      <c r="T42" s="50">
        <f t="shared" ref="T42" si="32">Q42*S42</f>
        <v>17626.503999999997</v>
      </c>
    </row>
    <row r="44" spans="1:21" x14ac:dyDescent="0.25">
      <c r="A44" s="50" t="s">
        <v>147</v>
      </c>
      <c r="B44" s="50">
        <v>1256</v>
      </c>
      <c r="C44" s="50">
        <v>118</v>
      </c>
      <c r="D44" s="50">
        <v>18</v>
      </c>
      <c r="E44" s="50">
        <f t="shared" ref="E44" si="33">B44*C44/1000000</f>
        <v>0.14820800000000001</v>
      </c>
      <c r="F44" s="20"/>
      <c r="G44" s="7" t="s">
        <v>12</v>
      </c>
      <c r="H44" s="50">
        <f>ROUND(Q44+T44/Раскройка!$F$2,0)</f>
        <v>566</v>
      </c>
      <c r="I44" s="50" t="s">
        <v>41</v>
      </c>
      <c r="J44" s="50">
        <v>0</v>
      </c>
      <c r="K44" s="50" t="s">
        <v>39</v>
      </c>
      <c r="L44" s="50">
        <v>0</v>
      </c>
      <c r="M44" s="50">
        <f>E44*(0.25*(VLOOKUP(I44,Покрытия!$A$2:$B$40,2,FALSE)*J44+VLOOKUP(K44,Покрытия!$A$2:$B$40,2,FALSE)*L44)+H44)</f>
        <v>83.885728</v>
      </c>
      <c r="N44" s="50">
        <v>1</v>
      </c>
      <c r="O44" s="50">
        <f t="shared" ref="O44" si="34">M44*N44</f>
        <v>83.885728</v>
      </c>
      <c r="P44" s="9"/>
      <c r="Q44" s="50">
        <f t="array" ref="Q44">INDEX(Материалы!$C$2:$C$50,MATCH(G44&amp;D44,Материалы!$A$2:$A$50&amp;Материалы!$B$2:$B$50,0))</f>
        <v>500</v>
      </c>
      <c r="R44" s="50">
        <f>FLOOR(Раскройка!$D$2/B44,1)*FLOOR(Раскройка!$C$2/C44,1)</f>
        <v>34</v>
      </c>
      <c r="S44" s="50">
        <f>MAX(Раскройка!$F$2-E44*R44,0)</f>
        <v>0.76092799999999983</v>
      </c>
      <c r="T44" s="50">
        <f t="shared" ref="T44" si="35">Q44*S44</f>
        <v>380.46399999999994</v>
      </c>
      <c r="U44" s="9"/>
    </row>
    <row r="45" spans="1:21" x14ac:dyDescent="0.25">
      <c r="A45" s="50" t="s">
        <v>118</v>
      </c>
      <c r="B45" s="50">
        <f>1256+569</f>
        <v>1825</v>
      </c>
      <c r="C45" s="50">
        <v>85</v>
      </c>
      <c r="D45" s="50">
        <v>43</v>
      </c>
      <c r="E45" s="50">
        <f>B45*C45*D45/1000000000</f>
        <v>6.6703750000000001E-3</v>
      </c>
      <c r="F45" s="50">
        <f>B45*C45/1000000</f>
        <v>0.15512500000000001</v>
      </c>
      <c r="G45" s="50" t="s">
        <v>15</v>
      </c>
      <c r="H45" s="50">
        <f>ROUND(Q45+T45/Раскройка!$F$11,0)</f>
        <v>35540</v>
      </c>
      <c r="I45" s="50" t="s">
        <v>41</v>
      </c>
      <c r="J45" s="50">
        <v>2</v>
      </c>
      <c r="K45" s="50" t="s">
        <v>39</v>
      </c>
      <c r="L45" s="50">
        <v>4</v>
      </c>
      <c r="M45" s="50">
        <f>E45*H45+0.25*((VLOOKUP(I45,Покрытия!$A$2:$B$50,2,FALSE)*J45+VLOOKUP(K45,Покрытия!$A$2:$B$50,2,FALSE)*L45)*F45)</f>
        <v>493.02137750000003</v>
      </c>
      <c r="N45" s="50">
        <v>1</v>
      </c>
      <c r="O45" s="50">
        <f>M45*N45</f>
        <v>493.02137750000003</v>
      </c>
      <c r="P45" s="9"/>
      <c r="Q45" s="50">
        <f t="array" ref="Q45">INDEX(Материалы!$C$2:$C$50,MATCH(G45,Материалы!$A$2:$A$50,0))</f>
        <v>32000</v>
      </c>
      <c r="R45" s="50">
        <f>FLOOR(Раскройка!$C$11/C45,1)*FLOOR(Раскройка!$D$11/B45,1)</f>
        <v>3</v>
      </c>
      <c r="S45" s="50">
        <f>MAX(Раскройка!$F$11-E45*R45,0)</f>
        <v>2.488874999999998E-3</v>
      </c>
      <c r="T45" s="50">
        <f>Q45*S45</f>
        <v>79.643999999999934</v>
      </c>
    </row>
    <row r="47" spans="1:21" x14ac:dyDescent="0.25">
      <c r="A47" s="27"/>
      <c r="B47" s="27" t="s">
        <v>97</v>
      </c>
      <c r="C47" s="50" t="s">
        <v>98</v>
      </c>
      <c r="D47" s="50" t="s">
        <v>58</v>
      </c>
    </row>
    <row r="48" spans="1:21" x14ac:dyDescent="0.25">
      <c r="A48" s="50" t="s">
        <v>96</v>
      </c>
      <c r="B48" s="50">
        <v>1.825</v>
      </c>
      <c r="C48" s="50">
        <v>258</v>
      </c>
      <c r="D48" s="50">
        <f>B48*C48</f>
        <v>470.84999999999997</v>
      </c>
    </row>
    <row r="50" spans="1:21" x14ac:dyDescent="0.25">
      <c r="A50" s="50" t="s">
        <v>150</v>
      </c>
      <c r="B50" s="50">
        <v>569</v>
      </c>
      <c r="C50" s="50">
        <v>116.5</v>
      </c>
      <c r="D50" s="50">
        <v>19</v>
      </c>
      <c r="E50" s="50">
        <f t="shared" ref="E50:E51" si="36">B50*C50/1000000</f>
        <v>6.62885E-2</v>
      </c>
      <c r="F50" s="20"/>
      <c r="G50" s="7" t="s">
        <v>12</v>
      </c>
      <c r="H50" s="50">
        <f>ROUND(Q50+T50/Раскройка!$F$2,0)</f>
        <v>898</v>
      </c>
      <c r="I50" s="50" t="s">
        <v>41</v>
      </c>
      <c r="J50" s="50">
        <v>2</v>
      </c>
      <c r="K50" s="50" t="s">
        <v>39</v>
      </c>
      <c r="L50" s="50">
        <v>4</v>
      </c>
      <c r="M50" s="50">
        <f>E50*(0.25*(VLOOKUP(I50,Покрытия!$A$2:$B$40,2,FALSE)*J50+VLOOKUP(K50,Покрытия!$A$2:$B$40,2,FALSE)*L50)+H50)</f>
        <v>168.903098</v>
      </c>
      <c r="N50" s="50">
        <v>1</v>
      </c>
      <c r="O50" s="50">
        <f t="shared" ref="O50:O51" si="37">M50*N50</f>
        <v>168.903098</v>
      </c>
      <c r="P50" s="9"/>
      <c r="Q50" s="50">
        <f t="array" ref="Q50">INDEX(Материалы!$C$2:$C$50,MATCH(G50&amp;D50,Материалы!$A$2:$A$50&amp;Материалы!$B$2:$B$50,0))</f>
        <v>734</v>
      </c>
      <c r="R50" s="50">
        <f>FLOOR(Раскройка!$D$2/B50,1)*FLOOR(Раскройка!$C$2/C50,1)</f>
        <v>68</v>
      </c>
      <c r="S50" s="50">
        <f>MAX(Раскройка!$F$2-E50*R50,0)</f>
        <v>1.2923819999999999</v>
      </c>
      <c r="T50" s="50">
        <f t="shared" ref="T50:T51" si="38">Q50*S50</f>
        <v>948.60838799999999</v>
      </c>
      <c r="U50" s="9"/>
    </row>
    <row r="51" spans="1:21" x14ac:dyDescent="0.25">
      <c r="A51" s="50" t="s">
        <v>151</v>
      </c>
      <c r="B51" s="50">
        <v>2647</v>
      </c>
      <c r="C51" s="50">
        <v>102.5</v>
      </c>
      <c r="D51" s="50">
        <v>19</v>
      </c>
      <c r="E51" s="50">
        <f t="shared" si="36"/>
        <v>0.27131749999999999</v>
      </c>
      <c r="F51" s="20"/>
      <c r="G51" s="7" t="s">
        <v>12</v>
      </c>
      <c r="H51" s="50">
        <f>ROUND(Q51+T51/Раскройка!$F$2,0)</f>
        <v>781</v>
      </c>
      <c r="I51" s="50" t="s">
        <v>41</v>
      </c>
      <c r="J51" s="50">
        <v>2</v>
      </c>
      <c r="K51" s="50" t="s">
        <v>39</v>
      </c>
      <c r="L51" s="50">
        <v>4</v>
      </c>
      <c r="M51" s="50">
        <f>E51*(0.25*(VLOOKUP(I51,Покрытия!$A$2:$B$40,2,FALSE)*J51+VLOOKUP(K51,Покрытия!$A$2:$B$40,2,FALSE)*L51)+H51)</f>
        <v>659.57284249999998</v>
      </c>
      <c r="N51" s="50">
        <v>2</v>
      </c>
      <c r="O51" s="50">
        <f t="shared" si="37"/>
        <v>1319.145685</v>
      </c>
      <c r="P51" s="9"/>
      <c r="Q51" s="50">
        <f t="array" ref="Q51">INDEX(Материалы!$C$2:$C$50,MATCH(G51&amp;D51,Материалы!$A$2:$A$50&amp;Материалы!$B$2:$B$50,0))</f>
        <v>734</v>
      </c>
      <c r="R51" s="50">
        <f>FLOOR(Раскройка!$D$2/B51,1)*FLOOR(Раскройка!$C$2/C51,1)</f>
        <v>20</v>
      </c>
      <c r="S51" s="50">
        <f>MAX(Раскройка!$F$2-E51*R51,0)</f>
        <v>0.37365000000000048</v>
      </c>
      <c r="T51" s="50">
        <f t="shared" si="38"/>
        <v>274.25910000000033</v>
      </c>
    </row>
    <row r="52" spans="1:21" x14ac:dyDescent="0.25">
      <c r="A52" s="50" t="s">
        <v>150</v>
      </c>
      <c r="B52" s="50">
        <v>569</v>
      </c>
      <c r="C52" s="50">
        <v>153</v>
      </c>
      <c r="D52" s="50">
        <v>19</v>
      </c>
      <c r="E52" s="50">
        <f t="shared" ref="E52:E53" si="39">B52*C52/1000000</f>
        <v>8.7056999999999995E-2</v>
      </c>
      <c r="F52" s="20"/>
      <c r="G52" s="7" t="s">
        <v>12</v>
      </c>
      <c r="H52" s="50">
        <f>ROUND(Q52+T52/Раскройка!$F$2,0)</f>
        <v>895</v>
      </c>
      <c r="I52" s="50" t="s">
        <v>41</v>
      </c>
      <c r="J52" s="50">
        <v>2</v>
      </c>
      <c r="K52" s="50" t="s">
        <v>39</v>
      </c>
      <c r="L52" s="50">
        <v>4</v>
      </c>
      <c r="M52" s="50">
        <f>E52*(0.25*(VLOOKUP(I52,Покрытия!$A$2:$B$40,2,FALSE)*J52+VLOOKUP(K52,Покрытия!$A$2:$B$40,2,FALSE)*L52)+H52)</f>
        <v>221.56006499999998</v>
      </c>
      <c r="N52" s="50">
        <v>1</v>
      </c>
      <c r="O52" s="50">
        <f t="shared" ref="O52:O53" si="40">M52*N52</f>
        <v>221.56006499999998</v>
      </c>
      <c r="P52" s="9"/>
      <c r="Q52" s="50">
        <f t="array" ref="Q52">INDEX(Материалы!$C$2:$C$50,MATCH(G52&amp;D52,Материалы!$A$2:$A$50&amp;Материалы!$B$2:$B$50,0))</f>
        <v>734</v>
      </c>
      <c r="R52" s="50">
        <f>FLOOR(Раскройка!$D$2/B52,1)*FLOOR(Раскройка!$C$2/C52,1)</f>
        <v>52</v>
      </c>
      <c r="S52" s="50">
        <f>MAX(Раскройка!$F$2-E52*R52,0)</f>
        <v>1.2730360000000003</v>
      </c>
      <c r="T52" s="50">
        <f t="shared" ref="T52:T53" si="41">Q52*S52</f>
        <v>934.4084240000002</v>
      </c>
    </row>
    <row r="53" spans="1:21" x14ac:dyDescent="0.25">
      <c r="A53" s="50" t="s">
        <v>150</v>
      </c>
      <c r="B53" s="50">
        <v>569</v>
      </c>
      <c r="C53" s="50">
        <v>156.5</v>
      </c>
      <c r="D53" s="50">
        <v>19</v>
      </c>
      <c r="E53" s="50">
        <f t="shared" si="39"/>
        <v>8.9048500000000003E-2</v>
      </c>
      <c r="F53" s="20"/>
      <c r="G53" s="7" t="s">
        <v>12</v>
      </c>
      <c r="H53" s="50">
        <f>ROUND(Q53+T53/Раскройка!$F$2,0)</f>
        <v>882</v>
      </c>
      <c r="I53" s="50" t="s">
        <v>41</v>
      </c>
      <c r="J53" s="50">
        <v>2</v>
      </c>
      <c r="K53" s="50" t="s">
        <v>39</v>
      </c>
      <c r="L53" s="50">
        <v>4</v>
      </c>
      <c r="M53" s="50">
        <f>E53*(0.25*(VLOOKUP(I53,Покрытия!$A$2:$B$40,2,FALSE)*J53+VLOOKUP(K53,Покрытия!$A$2:$B$40,2,FALSE)*L53)+H53)</f>
        <v>225.47080200000002</v>
      </c>
      <c r="N53" s="50">
        <v>1</v>
      </c>
      <c r="O53" s="50">
        <f t="shared" si="40"/>
        <v>225.47080200000002</v>
      </c>
      <c r="P53" s="9"/>
      <c r="Q53" s="50">
        <f t="array" ref="Q53">INDEX(Материалы!$C$2:$C$50,MATCH(G53&amp;D53,Материалы!$A$2:$A$50&amp;Материалы!$B$2:$B$50,0))</f>
        <v>734</v>
      </c>
      <c r="R53" s="50">
        <f>FLOOR(Раскройка!$D$2/B53,1)*FLOOR(Раскройка!$C$2/C53,1)</f>
        <v>52</v>
      </c>
      <c r="S53" s="50">
        <f>MAX(Раскройка!$F$2-E53*R53,0)</f>
        <v>1.1694779999999998</v>
      </c>
      <c r="T53" s="50">
        <f t="shared" si="41"/>
        <v>858.39685199999985</v>
      </c>
    </row>
    <row r="54" spans="1:21" x14ac:dyDescent="0.25">
      <c r="A54" s="50" t="s">
        <v>144</v>
      </c>
      <c r="B54" s="50">
        <v>2647</v>
      </c>
      <c r="C54" s="50">
        <v>26.5</v>
      </c>
      <c r="D54" s="50">
        <v>16</v>
      </c>
      <c r="E54" s="50">
        <f>B54*C54*D54/1000000000</f>
        <v>1.1223279999999999E-3</v>
      </c>
      <c r="F54" s="50">
        <f>B54*C54/1000000</f>
        <v>7.01455E-2</v>
      </c>
      <c r="G54" s="50" t="s">
        <v>15</v>
      </c>
      <c r="H54" s="50">
        <f>ROUND(Q54+T54/Раскройка!$F$11,0)</f>
        <v>46442</v>
      </c>
      <c r="I54" s="50" t="s">
        <v>41</v>
      </c>
      <c r="J54" s="50">
        <v>2</v>
      </c>
      <c r="K54" s="50" t="s">
        <v>39</v>
      </c>
      <c r="L54" s="50">
        <v>4</v>
      </c>
      <c r="M54" s="50">
        <f>E54*H54+0.25*((VLOOKUP(I54,Покрытия!$A$2:$B$50,2,FALSE)*J54+VLOOKUP(K54,Покрытия!$A$2:$B$50,2,FALSE)*L54)*F54)</f>
        <v>167.86323197600001</v>
      </c>
      <c r="N54" s="50">
        <v>2</v>
      </c>
      <c r="O54" s="50">
        <f>M54*N54</f>
        <v>335.72646395200002</v>
      </c>
      <c r="P54" s="9"/>
      <c r="Q54" s="50">
        <f t="array" ref="Q54">INDEX(Материалы!$C$2:$C$50,MATCH(G54,Материалы!$A$2:$A$50,0))</f>
        <v>32000</v>
      </c>
      <c r="R54" s="50">
        <f>FLOOR(Раскройка!$C$11/C54,1)*FLOOR(Раскройка!$D$11/B54,1)</f>
        <v>11</v>
      </c>
      <c r="S54" s="50">
        <f>MAX(Раскройка!$F$11-E54*R54,0)</f>
        <v>1.0154392E-2</v>
      </c>
      <c r="T54" s="50">
        <f>Q54*S54</f>
        <v>324.94054399999999</v>
      </c>
    </row>
    <row r="55" spans="1:21" x14ac:dyDescent="0.25">
      <c r="A55" s="50" t="s">
        <v>145</v>
      </c>
      <c r="B55" s="50">
        <v>569</v>
      </c>
      <c r="C55" s="50">
        <v>26.5</v>
      </c>
      <c r="D55" s="50">
        <v>16</v>
      </c>
      <c r="E55" s="50">
        <f>B55*C55*D55/1000000000</f>
        <v>2.41256E-4</v>
      </c>
      <c r="F55" s="50">
        <f>B55*C55/1000000</f>
        <v>1.50785E-2</v>
      </c>
      <c r="G55" s="50" t="s">
        <v>15</v>
      </c>
      <c r="H55" s="50">
        <f>ROUND(Q55+T55/Раскройка!$F$11,0)</f>
        <v>45128</v>
      </c>
      <c r="I55" s="50" t="s">
        <v>41</v>
      </c>
      <c r="J55" s="50">
        <v>2</v>
      </c>
      <c r="K55" s="50" t="s">
        <v>39</v>
      </c>
      <c r="L55" s="50">
        <v>4</v>
      </c>
      <c r="M55" s="50">
        <f>E55*H55+0.25*((VLOOKUP(I55,Покрытия!$A$2:$B$50,2,FALSE)*J55+VLOOKUP(K55,Покрытия!$A$2:$B$50,2,FALSE)*L55)*F55)</f>
        <v>35.766925768</v>
      </c>
      <c r="N55" s="50">
        <v>4</v>
      </c>
      <c r="O55" s="50">
        <f>M55*N55</f>
        <v>143.067703072</v>
      </c>
      <c r="P55" s="9"/>
      <c r="Q55" s="50">
        <f t="array" ref="Q55">INDEX(Материалы!$C$2:$C$50,MATCH(G55,Материалы!$A$2:$A$50,0))</f>
        <v>32000</v>
      </c>
      <c r="R55" s="50">
        <f>FLOOR(Раскройка!$C$11/C55,1)*FLOOR(Раскройка!$D$11/B55,1)</f>
        <v>55</v>
      </c>
      <c r="S55" s="50">
        <f>MAX(Раскройка!$F$11-E55*R55,0)</f>
        <v>9.2309200000000001E-3</v>
      </c>
      <c r="T55" s="50">
        <f>Q55*S55</f>
        <v>295.38943999999998</v>
      </c>
    </row>
    <row r="56" spans="1:21" x14ac:dyDescent="0.25">
      <c r="A56" s="50" t="s">
        <v>57</v>
      </c>
      <c r="B56" s="50">
        <v>2647</v>
      </c>
      <c r="C56" s="50">
        <v>569</v>
      </c>
      <c r="D56" s="50">
        <v>12</v>
      </c>
      <c r="E56" s="50">
        <f t="shared" ref="E56" si="42">B56*C56/1000000</f>
        <v>1.506143</v>
      </c>
      <c r="F56" s="20"/>
      <c r="G56" s="7" t="s">
        <v>12</v>
      </c>
      <c r="H56" s="50">
        <f>ROUND(Q56+T56/Раскройка!$F$2,0)</f>
        <v>601</v>
      </c>
      <c r="I56" s="50" t="s">
        <v>41</v>
      </c>
      <c r="J56" s="50">
        <v>2</v>
      </c>
      <c r="K56" s="50" t="s">
        <v>39</v>
      </c>
      <c r="L56" s="50">
        <v>4</v>
      </c>
      <c r="M56" s="50">
        <f>E56*(0.25*(VLOOKUP(I56,Покрытия!$A$2:$B$40,2,FALSE)*J56+VLOOKUP(K56,Покрытия!$A$2:$B$40,2,FALSE)*L56)+H56)</f>
        <v>3390.3278930000001</v>
      </c>
      <c r="N56" s="50">
        <v>1</v>
      </c>
      <c r="O56" s="50">
        <f t="shared" ref="O56" si="43">M56*N56</f>
        <v>3390.3278930000001</v>
      </c>
      <c r="P56" s="9"/>
      <c r="Q56" s="50">
        <f t="array" ref="Q56">INDEX(Материалы!$C$2:$C$50,MATCH(G56&amp;D56,Материалы!$A$2:$A$50&amp;Материалы!$B$2:$B$50,0))</f>
        <v>492</v>
      </c>
      <c r="R56" s="50">
        <f>FLOOR(Раскройка!$D$2/B56,1)*FLOOR(Раскройка!$C$2/C56,1)</f>
        <v>3</v>
      </c>
      <c r="S56" s="50">
        <f>MAX(Раскройка!$F$2-E56*R56,0)</f>
        <v>1.2815709999999996</v>
      </c>
      <c r="T56" s="50">
        <f t="shared" ref="T56" si="44">Q56*S56</f>
        <v>630.53293199999985</v>
      </c>
    </row>
    <row r="58" spans="1:21" x14ac:dyDescent="0.25">
      <c r="A58" s="50" t="s">
        <v>32</v>
      </c>
      <c r="B58" s="50" t="s">
        <v>20</v>
      </c>
      <c r="C58" s="50" t="s">
        <v>19</v>
      </c>
      <c r="D58" s="50" t="s">
        <v>21</v>
      </c>
      <c r="E58" s="50" t="s">
        <v>22</v>
      </c>
      <c r="F58" s="7" t="s">
        <v>26</v>
      </c>
      <c r="G58" s="7" t="s">
        <v>49</v>
      </c>
      <c r="H58" s="50" t="s">
        <v>46</v>
      </c>
      <c r="I58" s="50" t="s">
        <v>35</v>
      </c>
      <c r="J58" s="50" t="s">
        <v>47</v>
      </c>
      <c r="K58" s="50" t="s">
        <v>35</v>
      </c>
      <c r="L58" s="50" t="s">
        <v>47</v>
      </c>
      <c r="M58" s="7" t="s">
        <v>48</v>
      </c>
      <c r="N58" s="50" t="s">
        <v>59</v>
      </c>
      <c r="O58" s="50" t="s">
        <v>58</v>
      </c>
      <c r="P58" s="9"/>
      <c r="Q58" s="7" t="s">
        <v>50</v>
      </c>
      <c r="R58" s="7" t="s">
        <v>53</v>
      </c>
      <c r="S58" s="7" t="s">
        <v>51</v>
      </c>
      <c r="T58" s="7" t="s">
        <v>52</v>
      </c>
    </row>
    <row r="59" spans="1:21" x14ac:dyDescent="0.25">
      <c r="A59" s="50" t="s">
        <v>108</v>
      </c>
      <c r="B59" s="50">
        <v>460</v>
      </c>
      <c r="C59" s="50">
        <v>1256</v>
      </c>
      <c r="D59" s="50">
        <v>6</v>
      </c>
      <c r="E59" s="50">
        <f t="shared" ref="E59:E67" si="45">B59*C59/1000000</f>
        <v>0.57776000000000005</v>
      </c>
      <c r="F59" s="20"/>
      <c r="G59" s="7" t="s">
        <v>3</v>
      </c>
      <c r="H59" s="50">
        <f>ROUND(Q59+T59/Раскройка!$F$2,0)</f>
        <v>146</v>
      </c>
      <c r="I59" s="50" t="s">
        <v>41</v>
      </c>
      <c r="J59" s="50">
        <v>2</v>
      </c>
      <c r="K59" s="50" t="s">
        <v>39</v>
      </c>
      <c r="L59" s="50">
        <v>4</v>
      </c>
      <c r="M59" s="50">
        <f>E59*(0.25*(VLOOKUP(I59,Покрытия!$A$2:$B$40,2,FALSE)*J59+VLOOKUP(K59,Покрытия!$A$2:$B$40,2,FALSE)*L59)+H59)</f>
        <v>1037.65696</v>
      </c>
      <c r="N59" s="50">
        <v>1</v>
      </c>
      <c r="O59" s="50">
        <f t="shared" ref="O59:O67" si="46">M59*N59</f>
        <v>1037.65696</v>
      </c>
      <c r="P59" s="9"/>
      <c r="Q59" s="50">
        <f t="array" ref="Q59">INDEX(Материалы!$C$2:$C$50,MATCH(G59&amp;D59,Материалы!$A$2:$A$50&amp;Материалы!$B$2:$B$50,0))</f>
        <v>104</v>
      </c>
      <c r="R59" s="50">
        <f>FLOOR(Раскройка!$D$2/B59,1)*FLOOR(Раскройка!$C$2/C59,1)</f>
        <v>6</v>
      </c>
      <c r="S59" s="50">
        <f>MAX(Раскройка!$F$2-E59*R59,0)</f>
        <v>2.3334399999999995</v>
      </c>
      <c r="T59" s="50">
        <f t="shared" ref="T59:T67" si="47">Q59*S59</f>
        <v>242.67775999999995</v>
      </c>
    </row>
    <row r="60" spans="1:21" x14ac:dyDescent="0.25">
      <c r="A60" s="50" t="s">
        <v>107</v>
      </c>
      <c r="B60" s="50">
        <v>460</v>
      </c>
      <c r="C60" s="50">
        <v>289</v>
      </c>
      <c r="D60" s="50">
        <v>19</v>
      </c>
      <c r="E60" s="50">
        <f t="shared" si="45"/>
        <v>0.13294</v>
      </c>
      <c r="F60" s="20"/>
      <c r="G60" s="7" t="s">
        <v>12</v>
      </c>
      <c r="H60" s="50">
        <f>ROUND(Q60+T60/Раскройка!$F$2,0)</f>
        <v>761</v>
      </c>
      <c r="I60" s="50" t="s">
        <v>41</v>
      </c>
      <c r="J60" s="50">
        <v>2</v>
      </c>
      <c r="K60" s="50" t="s">
        <v>39</v>
      </c>
      <c r="L60" s="50">
        <v>4</v>
      </c>
      <c r="M60" s="50">
        <f>E60*(0.25*(VLOOKUP(I60,Покрытия!$A$2:$B$40,2,FALSE)*J60+VLOOKUP(K60,Покрытия!$A$2:$B$40,2,FALSE)*L60)+H60)</f>
        <v>320.51834000000002</v>
      </c>
      <c r="N60" s="50">
        <v>2</v>
      </c>
      <c r="O60" s="50">
        <f t="shared" si="46"/>
        <v>641.03668000000005</v>
      </c>
      <c r="P60" s="9"/>
      <c r="Q60" s="50">
        <f t="array" ref="Q60">INDEX(Материалы!$C$2:$C$50,MATCH(G60&amp;D60,Материалы!$A$2:$A$50&amp;Материалы!$B$2:$B$50,0))</f>
        <v>734</v>
      </c>
      <c r="R60" s="50">
        <f>FLOOR(Раскройка!$D$2/B60,1)*FLOOR(Раскройка!$C$2/C60,1)</f>
        <v>42</v>
      </c>
      <c r="S60" s="50">
        <f>MAX(Раскройка!$F$2-E60*R60,0)</f>
        <v>0.21652000000000005</v>
      </c>
      <c r="T60" s="50">
        <f t="shared" si="47"/>
        <v>158.92568000000003</v>
      </c>
    </row>
    <row r="61" spans="1:21" x14ac:dyDescent="0.25">
      <c r="A61" s="50" t="s">
        <v>137</v>
      </c>
      <c r="B61" s="50">
        <v>289</v>
      </c>
      <c r="C61" s="50">
        <v>1256</v>
      </c>
      <c r="D61" s="50">
        <v>19</v>
      </c>
      <c r="E61" s="50">
        <f t="shared" si="45"/>
        <v>0.36298399999999997</v>
      </c>
      <c r="F61" s="20"/>
      <c r="G61" s="7" t="s">
        <v>12</v>
      </c>
      <c r="H61" s="50">
        <f>ROUND(Q61+T61/Раскройка!$F$2,0)</f>
        <v>1055</v>
      </c>
      <c r="I61" s="50" t="s">
        <v>41</v>
      </c>
      <c r="J61" s="50">
        <v>2</v>
      </c>
      <c r="K61" s="50" t="s">
        <v>39</v>
      </c>
      <c r="L61" s="50">
        <v>4</v>
      </c>
      <c r="M61" s="50">
        <f>E61*(0.25*(VLOOKUP(I61,Покрытия!$A$2:$B$40,2,FALSE)*J61+VLOOKUP(K61,Покрытия!$A$2:$B$40,2,FALSE)*L61)+H61)</f>
        <v>981.87171999999998</v>
      </c>
      <c r="N61" s="50">
        <v>2</v>
      </c>
      <c r="O61" s="50">
        <f t="shared" si="46"/>
        <v>1963.74344</v>
      </c>
      <c r="P61" s="9"/>
      <c r="Q61" s="50">
        <f t="array" ref="Q61">INDEX(Материалы!$C$2:$C$50,MATCH(G61&amp;D61,Материалы!$A$2:$A$50&amp;Материалы!$B$2:$B$50,0))</f>
        <v>734</v>
      </c>
      <c r="R61" s="50">
        <f>FLOOR(Раскройка!$D$2/B61,1)*FLOOR(Раскройка!$C$2/C61,1)</f>
        <v>9</v>
      </c>
      <c r="S61" s="50">
        <f>MAX(Раскройка!$F$2-E61*R61,0)</f>
        <v>2.5331440000000001</v>
      </c>
      <c r="T61" s="50">
        <f t="shared" si="47"/>
        <v>1859.3276960000001</v>
      </c>
    </row>
    <row r="62" spans="1:21" x14ac:dyDescent="0.25">
      <c r="A62" s="50" t="s">
        <v>108</v>
      </c>
      <c r="B62" s="50">
        <v>1592</v>
      </c>
      <c r="C62" s="50">
        <v>1256</v>
      </c>
      <c r="D62" s="50">
        <v>6</v>
      </c>
      <c r="E62" s="50">
        <f t="shared" si="45"/>
        <v>1.999552</v>
      </c>
      <c r="F62" s="20"/>
      <c r="G62" s="7" t="s">
        <v>3</v>
      </c>
      <c r="H62" s="50">
        <f>ROUND(Q62+T62/Раскройка!$F$2,0)</f>
        <v>172</v>
      </c>
      <c r="I62" s="50" t="s">
        <v>41</v>
      </c>
      <c r="J62" s="50">
        <v>2</v>
      </c>
      <c r="K62" s="50" t="s">
        <v>39</v>
      </c>
      <c r="L62" s="50">
        <v>4</v>
      </c>
      <c r="M62" s="50">
        <f>E62*(0.25*(VLOOKUP(I62,Покрытия!$A$2:$B$40,2,FALSE)*J62+VLOOKUP(K62,Покрытия!$A$2:$B$40,2,FALSE)*L62)+H62)</f>
        <v>3643.1837439999999</v>
      </c>
      <c r="N62" s="50">
        <v>1</v>
      </c>
      <c r="O62" s="50">
        <f t="shared" si="46"/>
        <v>3643.1837439999999</v>
      </c>
      <c r="P62" s="9"/>
      <c r="Q62" s="50">
        <f t="array" ref="Q62">INDEX(Материалы!$C$2:$C$50,MATCH(G62&amp;D62,Материалы!$A$2:$A$50&amp;Материалы!$B$2:$B$50,0))</f>
        <v>104</v>
      </c>
      <c r="R62" s="50">
        <f>FLOOR(Раскройка!$D$2/B62,1)*FLOOR(Раскройка!$C$2/C62,1)</f>
        <v>1</v>
      </c>
      <c r="S62" s="50">
        <f>MAX(Раскройка!$F$2-E62*R62,0)</f>
        <v>3.8004479999999998</v>
      </c>
      <c r="T62" s="50">
        <f t="shared" si="47"/>
        <v>395.24659199999996</v>
      </c>
    </row>
    <row r="63" spans="1:21" x14ac:dyDescent="0.25">
      <c r="A63" s="50" t="s">
        <v>107</v>
      </c>
      <c r="B63" s="50">
        <v>1592</v>
      </c>
      <c r="C63" s="50">
        <v>289</v>
      </c>
      <c r="D63" s="50">
        <v>19</v>
      </c>
      <c r="E63" s="50">
        <f t="shared" si="45"/>
        <v>0.460088</v>
      </c>
      <c r="F63" s="20"/>
      <c r="G63" s="7" t="s">
        <v>12</v>
      </c>
      <c r="H63" s="50">
        <f>ROUND(Q63+T63/Раскройка!$F$2,0)</f>
        <v>1060</v>
      </c>
      <c r="I63" s="50" t="s">
        <v>41</v>
      </c>
      <c r="J63" s="50">
        <v>2</v>
      </c>
      <c r="K63" s="50" t="s">
        <v>39</v>
      </c>
      <c r="L63" s="50">
        <v>4</v>
      </c>
      <c r="M63" s="50">
        <f>E63*(0.25*(VLOOKUP(I63,Покрытия!$A$2:$B$40,2,FALSE)*J63+VLOOKUP(K63,Покрытия!$A$2:$B$40,2,FALSE)*L63)+H63)</f>
        <v>1246.8384799999999</v>
      </c>
      <c r="N63" s="50">
        <v>2</v>
      </c>
      <c r="O63" s="50">
        <f t="shared" si="46"/>
        <v>2493.6769599999998</v>
      </c>
      <c r="P63" s="9"/>
      <c r="Q63" s="50">
        <f t="array" ref="Q63">INDEX(Материалы!$C$2:$C$50,MATCH(G63&amp;D63,Материалы!$A$2:$A$50&amp;Материалы!$B$2:$B$50,0))</f>
        <v>734</v>
      </c>
      <c r="R63" s="50">
        <f>FLOOR(Раскройка!$D$2/B63,1)*FLOOR(Раскройка!$C$2/C63,1)</f>
        <v>7</v>
      </c>
      <c r="S63" s="50">
        <f>MAX(Раскройка!$F$2-E63*R63,0)</f>
        <v>2.5793839999999997</v>
      </c>
      <c r="T63" s="50">
        <f t="shared" si="47"/>
        <v>1893.2678559999997</v>
      </c>
    </row>
    <row r="64" spans="1:21" x14ac:dyDescent="0.25">
      <c r="A64" s="50" t="s">
        <v>137</v>
      </c>
      <c r="B64" s="50">
        <v>289</v>
      </c>
      <c r="C64" s="50">
        <v>1256</v>
      </c>
      <c r="D64" s="50">
        <v>19</v>
      </c>
      <c r="E64" s="50">
        <f t="shared" si="45"/>
        <v>0.36298399999999997</v>
      </c>
      <c r="F64" s="20"/>
      <c r="G64" s="7" t="s">
        <v>12</v>
      </c>
      <c r="H64" s="50">
        <f>ROUND(Q64+T64/Раскройка!$F$2,0)</f>
        <v>1055</v>
      </c>
      <c r="I64" s="50" t="s">
        <v>41</v>
      </c>
      <c r="J64" s="50">
        <v>2</v>
      </c>
      <c r="K64" s="50" t="s">
        <v>39</v>
      </c>
      <c r="L64" s="50">
        <v>4</v>
      </c>
      <c r="M64" s="50">
        <f>E64*(0.25*(VLOOKUP(I64,Покрытия!$A$2:$B$40,2,FALSE)*J64+VLOOKUP(K64,Покрытия!$A$2:$B$40,2,FALSE)*L64)+H64)</f>
        <v>981.87171999999998</v>
      </c>
      <c r="N64" s="50">
        <v>2</v>
      </c>
      <c r="O64" s="50">
        <f t="shared" si="46"/>
        <v>1963.74344</v>
      </c>
      <c r="P64" s="9"/>
      <c r="Q64" s="50">
        <f t="array" ref="Q64">INDEX(Материалы!$C$2:$C$50,MATCH(G64&amp;D64,Материалы!$A$2:$A$50&amp;Материалы!$B$2:$B$50,0))</f>
        <v>734</v>
      </c>
      <c r="R64" s="50">
        <f>FLOOR(Раскройка!$D$2/B64,1)*FLOOR(Раскройка!$C$2/C64,1)</f>
        <v>9</v>
      </c>
      <c r="S64" s="50">
        <f>MAX(Раскройка!$F$2-E64*R64,0)</f>
        <v>2.5331440000000001</v>
      </c>
      <c r="T64" s="50">
        <f t="shared" si="47"/>
        <v>1859.3276960000001</v>
      </c>
    </row>
    <row r="65" spans="1:21" x14ac:dyDescent="0.25">
      <c r="A65" s="50" t="s">
        <v>108</v>
      </c>
      <c r="B65" s="50">
        <v>480</v>
      </c>
      <c r="C65" s="50">
        <v>1256</v>
      </c>
      <c r="D65" s="50">
        <v>6</v>
      </c>
      <c r="E65" s="50">
        <f t="shared" si="45"/>
        <v>0.60287999999999997</v>
      </c>
      <c r="F65" s="20"/>
      <c r="G65" s="7" t="s">
        <v>3</v>
      </c>
      <c r="H65" s="50">
        <f>ROUND(Q65+T65/Раскройка!$F$2,0)</f>
        <v>154</v>
      </c>
      <c r="I65" s="50" t="s">
        <v>41</v>
      </c>
      <c r="J65" s="50">
        <v>2</v>
      </c>
      <c r="K65" s="50" t="s">
        <v>39</v>
      </c>
      <c r="L65" s="50">
        <v>4</v>
      </c>
      <c r="M65" s="50">
        <f>E65*(0.25*(VLOOKUP(I65,Покрытия!$A$2:$B$40,2,FALSE)*J65+VLOOKUP(K65,Покрытия!$A$2:$B$40,2,FALSE)*L65)+H65)</f>
        <v>1087.5955199999999</v>
      </c>
      <c r="N65" s="50">
        <v>1</v>
      </c>
      <c r="O65" s="50">
        <f t="shared" si="46"/>
        <v>1087.5955199999999</v>
      </c>
      <c r="P65" s="9"/>
      <c r="Q65" s="50">
        <f t="array" ref="Q65">INDEX(Материалы!$C$2:$C$50,MATCH(G65&amp;D65,Материалы!$A$2:$A$50&amp;Материалы!$B$2:$B$50,0))</f>
        <v>104</v>
      </c>
      <c r="R65" s="50">
        <f>FLOOR(Раскройка!$D$2/B65,1)*FLOOR(Раскройка!$C$2/C65,1)</f>
        <v>5</v>
      </c>
      <c r="S65" s="50">
        <f>MAX(Раскройка!$F$2-E65*R65,0)</f>
        <v>2.7856000000000001</v>
      </c>
      <c r="T65" s="50">
        <f t="shared" si="47"/>
        <v>289.70240000000001</v>
      </c>
    </row>
    <row r="66" spans="1:21" x14ac:dyDescent="0.25">
      <c r="A66" s="50" t="s">
        <v>107</v>
      </c>
      <c r="B66" s="50">
        <v>480</v>
      </c>
      <c r="C66" s="50">
        <v>289</v>
      </c>
      <c r="D66" s="50">
        <v>19</v>
      </c>
      <c r="E66" s="50">
        <f t="shared" si="45"/>
        <v>0.13872000000000001</v>
      </c>
      <c r="F66" s="20"/>
      <c r="G66" s="7" t="s">
        <v>12</v>
      </c>
      <c r="H66" s="50">
        <f>ROUND(Q66+T66/Раскройка!$F$2,0)</f>
        <v>854</v>
      </c>
      <c r="I66" s="50" t="s">
        <v>41</v>
      </c>
      <c r="J66" s="50">
        <v>2</v>
      </c>
      <c r="K66" s="50" t="s">
        <v>39</v>
      </c>
      <c r="L66" s="50">
        <v>4</v>
      </c>
      <c r="M66" s="50">
        <f>E66*(0.25*(VLOOKUP(I66,Покрытия!$A$2:$B$40,2,FALSE)*J66+VLOOKUP(K66,Покрытия!$A$2:$B$40,2,FALSE)*L66)+H66)</f>
        <v>347.35488000000004</v>
      </c>
      <c r="N66" s="50">
        <v>2</v>
      </c>
      <c r="O66" s="50">
        <f t="shared" si="46"/>
        <v>694.70976000000007</v>
      </c>
      <c r="P66" s="9"/>
      <c r="Q66" s="50">
        <f t="array" ref="Q66">INDEX(Материалы!$C$2:$C$50,MATCH(G66&amp;D66,Материалы!$A$2:$A$50&amp;Материалы!$B$2:$B$50,0))</f>
        <v>734</v>
      </c>
      <c r="R66" s="50">
        <f>FLOOR(Раскройка!$D$2/B66,1)*FLOOR(Раскройка!$C$2/C66,1)</f>
        <v>35</v>
      </c>
      <c r="S66" s="50">
        <f>MAX(Раскройка!$F$2-E66*R66,0)</f>
        <v>0.94479999999999986</v>
      </c>
      <c r="T66" s="50">
        <f t="shared" si="47"/>
        <v>693.4831999999999</v>
      </c>
    </row>
    <row r="67" spans="1:21" x14ac:dyDescent="0.25">
      <c r="A67" s="50" t="s">
        <v>137</v>
      </c>
      <c r="B67" s="50">
        <v>289</v>
      </c>
      <c r="C67" s="50">
        <v>1256</v>
      </c>
      <c r="D67" s="50">
        <v>19</v>
      </c>
      <c r="E67" s="50">
        <f t="shared" si="45"/>
        <v>0.36298399999999997</v>
      </c>
      <c r="F67" s="20"/>
      <c r="G67" s="7" t="s">
        <v>12</v>
      </c>
      <c r="H67" s="50">
        <f>ROUND(Q67+T67/Раскройка!$F$2,0)</f>
        <v>1055</v>
      </c>
      <c r="I67" s="50" t="s">
        <v>41</v>
      </c>
      <c r="J67" s="50">
        <v>2</v>
      </c>
      <c r="K67" s="50" t="s">
        <v>39</v>
      </c>
      <c r="L67" s="50">
        <v>4</v>
      </c>
      <c r="M67" s="50">
        <f>E67*(0.25*(VLOOKUP(I67,Покрытия!$A$2:$B$40,2,FALSE)*J67+VLOOKUP(K67,Покрытия!$A$2:$B$40,2,FALSE)*L67)+H67)</f>
        <v>981.87171999999998</v>
      </c>
      <c r="N67" s="50">
        <v>2</v>
      </c>
      <c r="O67" s="50">
        <f t="shared" si="46"/>
        <v>1963.74344</v>
      </c>
      <c r="P67" s="9"/>
      <c r="Q67" s="50">
        <f t="array" ref="Q67">INDEX(Материалы!$C$2:$C$50,MATCH(G67&amp;D67,Материалы!$A$2:$A$50&amp;Материалы!$B$2:$B$50,0))</f>
        <v>734</v>
      </c>
      <c r="R67" s="50">
        <f>FLOOR(Раскройка!$D$2/B67,1)*FLOOR(Раскройка!$C$2/C67,1)</f>
        <v>9</v>
      </c>
      <c r="S67" s="50">
        <f>MAX(Раскройка!$F$2-E67*R67,0)</f>
        <v>2.5331440000000001</v>
      </c>
      <c r="T67" s="50">
        <f t="shared" si="47"/>
        <v>1859.3276960000001</v>
      </c>
    </row>
    <row r="68" spans="1:21" x14ac:dyDescent="0.25">
      <c r="A68" s="50" t="s">
        <v>145</v>
      </c>
      <c r="B68" s="50">
        <v>1256</v>
      </c>
      <c r="C68" s="50">
        <v>23</v>
      </c>
      <c r="D68" s="50">
        <v>10</v>
      </c>
      <c r="E68" s="50">
        <f>B68*C68*D68/1000000000</f>
        <v>2.8887999999999999E-4</v>
      </c>
      <c r="F68" s="50">
        <f>B68*C68/1000000</f>
        <v>2.8888E-2</v>
      </c>
      <c r="G68" s="50" t="s">
        <v>15</v>
      </c>
      <c r="H68" s="50">
        <f>ROUND(Q68+T68/Раскройка!$F$11,0)</f>
        <v>53318</v>
      </c>
      <c r="I68" s="50" t="s">
        <v>41</v>
      </c>
      <c r="J68" s="50">
        <v>2</v>
      </c>
      <c r="K68" s="50" t="s">
        <v>39</v>
      </c>
      <c r="L68" s="50">
        <v>4</v>
      </c>
      <c r="M68" s="50">
        <f>E68*H68+0.25*((VLOOKUP(I68,Покрытия!$A$2:$B$50,2,FALSE)*J68+VLOOKUP(K68,Покрытия!$A$2:$B$50,2,FALSE)*L68)*F68)</f>
        <v>63.06770384</v>
      </c>
      <c r="N68" s="50">
        <v>1</v>
      </c>
      <c r="O68" s="50">
        <f>M68*N68</f>
        <v>63.06770384</v>
      </c>
      <c r="P68" s="9"/>
      <c r="Q68" s="50">
        <f t="array" ref="Q68">INDEX(Материалы!$C$2:$C$50,MATCH(G68,Материалы!$A$2:$A$50,0))</f>
        <v>32000</v>
      </c>
      <c r="R68" s="50">
        <f>FLOOR(Раскройка!$C$11/C68,1)*FLOOR(Раскройка!$D$11/B68,1)</f>
        <v>26</v>
      </c>
      <c r="S68" s="50">
        <f>MAX(Раскройка!$F$11-E68*R68,0)</f>
        <v>1.498912E-2</v>
      </c>
      <c r="T68" s="50">
        <f>Q68*S68</f>
        <v>479.65183999999999</v>
      </c>
      <c r="U68" s="9"/>
    </row>
    <row r="69" spans="1:21" x14ac:dyDescent="0.25">
      <c r="A69" s="50" t="s">
        <v>144</v>
      </c>
      <c r="B69" s="50">
        <f>27+395+50+1554+50+442+27</f>
        <v>2545</v>
      </c>
      <c r="C69" s="50">
        <v>23</v>
      </c>
      <c r="D69" s="50">
        <v>10</v>
      </c>
      <c r="E69" s="50">
        <f>B69*C69*D69/1000000000</f>
        <v>5.8535E-4</v>
      </c>
      <c r="F69" s="50">
        <f>B69*C69/1000000</f>
        <v>5.8534999999999997E-2</v>
      </c>
      <c r="G69" s="50" t="s">
        <v>15</v>
      </c>
      <c r="H69" s="50">
        <f>ROUND(Q69+T69/Раскройка!$F$11,0)</f>
        <v>53178</v>
      </c>
      <c r="I69" s="50" t="s">
        <v>41</v>
      </c>
      <c r="J69" s="50">
        <v>2</v>
      </c>
      <c r="K69" s="50" t="s">
        <v>39</v>
      </c>
      <c r="L69" s="50">
        <v>4</v>
      </c>
      <c r="M69" s="50">
        <f>E69*H69+0.25*((VLOOKUP(I69,Покрытия!$A$2:$B$50,2,FALSE)*J69+VLOOKUP(K69,Покрытия!$A$2:$B$50,2,FALSE)*L69)*F69)</f>
        <v>127.7104923</v>
      </c>
      <c r="N69" s="50">
        <v>2</v>
      </c>
      <c r="O69" s="50">
        <f>M69*N69</f>
        <v>255.4209846</v>
      </c>
      <c r="P69" s="9"/>
      <c r="Q69" s="50">
        <f t="array" ref="Q69">INDEX(Материалы!$C$2:$C$50,MATCH(G69,Материалы!$A$2:$A$50,0))</f>
        <v>32000</v>
      </c>
      <c r="R69" s="50">
        <f>FLOOR(Раскройка!$C$11/C69,1)*FLOOR(Раскройка!$D$11/B69,1)</f>
        <v>13</v>
      </c>
      <c r="S69" s="50">
        <f>MAX(Раскройка!$F$11-E69*R69,0)</f>
        <v>1.489045E-2</v>
      </c>
      <c r="T69" s="50">
        <f>Q69*S69</f>
        <v>476.49439999999998</v>
      </c>
      <c r="U69" s="9"/>
    </row>
    <row r="70" spans="1:21" x14ac:dyDescent="0.25">
      <c r="A70" s="50" t="s">
        <v>146</v>
      </c>
      <c r="B70" s="50">
        <v>1256</v>
      </c>
      <c r="C70" s="50">
        <v>20</v>
      </c>
      <c r="D70" s="50">
        <v>20</v>
      </c>
      <c r="E70" s="50">
        <f>B70*C70*D70/1000000000</f>
        <v>5.0239999999999996E-4</v>
      </c>
      <c r="F70" s="50">
        <f>B70*C70/1000000</f>
        <v>2.512E-2</v>
      </c>
      <c r="G70" s="50" t="s">
        <v>15</v>
      </c>
      <c r="H70" s="50">
        <f>ROUND(Q70+T70/Раскройка!$F$11,0)</f>
        <v>42564</v>
      </c>
      <c r="I70" s="50" t="s">
        <v>41</v>
      </c>
      <c r="J70" s="50">
        <v>2</v>
      </c>
      <c r="K70" s="50" t="s">
        <v>39</v>
      </c>
      <c r="L70" s="50">
        <v>4</v>
      </c>
      <c r="M70" s="50">
        <f>E70*H70+0.25*((VLOOKUP(I70,Покрытия!$A$2:$B$50,2,FALSE)*J70+VLOOKUP(K70,Покрытия!$A$2:$B$50,2,FALSE)*L70)*F70)</f>
        <v>62.832153599999998</v>
      </c>
      <c r="N70" s="50">
        <v>4</v>
      </c>
      <c r="O70" s="50">
        <f>M70*N70</f>
        <v>251.32861439999999</v>
      </c>
      <c r="P70" s="9"/>
      <c r="Q70" s="50">
        <f t="array" ref="Q70">INDEX(Материалы!$C$2:$C$50,MATCH(G70,Материалы!$A$2:$A$50,0))</f>
        <v>32000</v>
      </c>
      <c r="R70" s="50">
        <f>FLOOR(Раскройка!$C$11/C70,1)*FLOOR(Раскройка!$D$11/B70,1)</f>
        <v>30</v>
      </c>
      <c r="S70" s="50">
        <f>MAX(Раскройка!$F$11-E70*R70,0)</f>
        <v>7.4280000000000006E-3</v>
      </c>
      <c r="T70" s="50">
        <f>Q70*S70</f>
        <v>237.69600000000003</v>
      </c>
    </row>
    <row r="71" spans="1:21" x14ac:dyDescent="0.25">
      <c r="A71" s="50" t="s">
        <v>146</v>
      </c>
      <c r="B71" s="50">
        <v>289</v>
      </c>
      <c r="C71" s="50">
        <v>1256</v>
      </c>
      <c r="D71" s="50">
        <v>10</v>
      </c>
      <c r="E71" s="50">
        <f t="shared" ref="E71" si="48">B71*C71/1000000</f>
        <v>0.36298399999999997</v>
      </c>
      <c r="F71" s="20"/>
      <c r="G71" s="7" t="s">
        <v>3</v>
      </c>
      <c r="H71" s="50">
        <f>ROUND(Q71+T71/Раскройка!$F$2,0)</f>
        <v>246</v>
      </c>
      <c r="I71" s="50" t="s">
        <v>41</v>
      </c>
      <c r="J71" s="50">
        <v>2</v>
      </c>
      <c r="K71" s="50" t="s">
        <v>39</v>
      </c>
      <c r="L71" s="50">
        <v>4</v>
      </c>
      <c r="M71" s="50">
        <f>E71*(0.25*(VLOOKUP(I71,Покрытия!$A$2:$B$40,2,FALSE)*J71+VLOOKUP(K71,Покрытия!$A$2:$B$40,2,FALSE)*L71)+H71)</f>
        <v>688.2176639999999</v>
      </c>
      <c r="N71" s="50">
        <v>8</v>
      </c>
      <c r="O71" s="50">
        <f t="shared" ref="O71" si="49">M71*N71</f>
        <v>5505.7413119999992</v>
      </c>
      <c r="P71" s="9"/>
      <c r="Q71" s="50">
        <f t="array" ref="Q71">INDEX(Материалы!$C$2:$C$50,MATCH(G71&amp;D71,Материалы!$A$2:$A$50&amp;Материалы!$B$2:$B$50,0))</f>
        <v>171</v>
      </c>
      <c r="R71" s="50">
        <f>FLOOR(Раскройка!$D$2/B71,1)*FLOOR(Раскройка!$C$2/C71,1)</f>
        <v>9</v>
      </c>
      <c r="S71" s="50">
        <f>MAX(Раскройка!$F$2-E71*R71,0)</f>
        <v>2.5331440000000001</v>
      </c>
      <c r="T71" s="50">
        <f t="shared" ref="T71" si="50">Q71*S71</f>
        <v>433.16762399999999</v>
      </c>
      <c r="U71" s="9"/>
    </row>
    <row r="73" spans="1:21" x14ac:dyDescent="0.25">
      <c r="A73" s="50" t="s">
        <v>82</v>
      </c>
      <c r="B73" s="50">
        <f>27+395+50+270+32+1402+50+292+27</f>
        <v>2545</v>
      </c>
      <c r="C73" s="50">
        <v>41</v>
      </c>
      <c r="D73" s="50">
        <v>31</v>
      </c>
      <c r="E73" s="50">
        <f>B73*C73*D73/1000000000</f>
        <v>3.2346950000000001E-3</v>
      </c>
      <c r="F73" s="50">
        <f>B73*C73/1000000</f>
        <v>0.10434499999999999</v>
      </c>
      <c r="G73" s="50" t="s">
        <v>15</v>
      </c>
      <c r="H73" s="50">
        <f>ROUND(Q73+T73/Раскройка!$F$11,0)</f>
        <v>32000</v>
      </c>
      <c r="I73" s="50" t="s">
        <v>41</v>
      </c>
      <c r="J73" s="50">
        <v>2</v>
      </c>
      <c r="K73" s="50" t="s">
        <v>39</v>
      </c>
      <c r="L73" s="50">
        <v>4</v>
      </c>
      <c r="M73" s="50">
        <f>E73*H73+0.25*((VLOOKUP(I73,Покрытия!$A$2:$B$50,2,FALSE)*J73+VLOOKUP(K73,Покрытия!$A$2:$B$50,2,FALSE)*L73)*F73)</f>
        <v>275.67948999999999</v>
      </c>
      <c r="N73" s="50">
        <v>2</v>
      </c>
      <c r="O73" s="50">
        <f>M73*N73</f>
        <v>551.35897999999997</v>
      </c>
      <c r="P73" s="9"/>
      <c r="Q73" s="50">
        <f t="array" ref="Q73">INDEX(Материалы!$C$2:$C$50,MATCH(G73,Материалы!$A$2:$A$50,0))</f>
        <v>32000</v>
      </c>
      <c r="R73" s="50">
        <f>FLOOR(Раскройка!$C$11/C73,1)*FLOOR(Раскройка!$D$11/B73,1)</f>
        <v>7</v>
      </c>
      <c r="S73" s="50">
        <f>MAX(Раскройка!$F$11-E73*R73,0)</f>
        <v>0</v>
      </c>
      <c r="T73" s="50">
        <f>Q73*S73</f>
        <v>0</v>
      </c>
    </row>
    <row r="74" spans="1:21" x14ac:dyDescent="0.25">
      <c r="A74" s="50" t="s">
        <v>81</v>
      </c>
      <c r="B74" s="50">
        <v>1256</v>
      </c>
      <c r="C74" s="50">
        <v>41</v>
      </c>
      <c r="D74" s="50">
        <v>50</v>
      </c>
      <c r="E74" s="50">
        <f>B74*C74*D74/1000000000</f>
        <v>2.5747999999999999E-3</v>
      </c>
      <c r="F74" s="50">
        <f>B74*C74/1000000</f>
        <v>5.1496E-2</v>
      </c>
      <c r="G74" s="50" t="s">
        <v>15</v>
      </c>
      <c r="H74" s="50">
        <f>ROUND(Q74+T74/Раскройка!$F$11,0)</f>
        <v>32000</v>
      </c>
      <c r="I74" s="50" t="s">
        <v>41</v>
      </c>
      <c r="J74" s="50">
        <v>2</v>
      </c>
      <c r="K74" s="50" t="s">
        <v>39</v>
      </c>
      <c r="L74" s="50">
        <v>4</v>
      </c>
      <c r="M74" s="50">
        <f>E74*H74+0.25*((VLOOKUP(I74,Покрытия!$A$2:$B$50,2,FALSE)*J74+VLOOKUP(K74,Покрытия!$A$2:$B$50,2,FALSE)*L74)*F74)</f>
        <v>167.36199999999999</v>
      </c>
      <c r="N74" s="50">
        <v>2</v>
      </c>
      <c r="O74" s="50">
        <f>M74*N74</f>
        <v>334.72399999999999</v>
      </c>
      <c r="P74" s="9"/>
      <c r="Q74" s="50">
        <f t="array" ref="Q74">INDEX(Материалы!$C$2:$C$50,MATCH(G74,Материалы!$A$2:$A$50,0))</f>
        <v>32000</v>
      </c>
      <c r="R74" s="50">
        <f>FLOOR(Раскройка!$C$11/C74,1)*FLOOR(Раскройка!$D$11/B74,1)</f>
        <v>14</v>
      </c>
      <c r="S74" s="50">
        <f>MAX(Раскройка!$F$11-E74*R74,0)</f>
        <v>0</v>
      </c>
      <c r="T74" s="50">
        <f>Q74*S74</f>
        <v>0</v>
      </c>
    </row>
    <row r="75" spans="1:21" x14ac:dyDescent="0.25">
      <c r="A75" s="50" t="s">
        <v>81</v>
      </c>
      <c r="B75" s="50">
        <v>1256</v>
      </c>
      <c r="C75" s="50">
        <v>41</v>
      </c>
      <c r="D75" s="50">
        <v>27</v>
      </c>
      <c r="E75" s="50">
        <f>B75*C75*D75/1000000000</f>
        <v>1.3903920000000001E-3</v>
      </c>
      <c r="F75" s="50">
        <f>B75*C75/1000000</f>
        <v>5.1496E-2</v>
      </c>
      <c r="G75" s="50" t="s">
        <v>15</v>
      </c>
      <c r="H75" s="50">
        <f>ROUND(Q75+T75/Раскройка!$F$11,0)</f>
        <v>36316</v>
      </c>
      <c r="I75" s="50" t="s">
        <v>41</v>
      </c>
      <c r="J75" s="50">
        <v>2</v>
      </c>
      <c r="K75" s="50" t="s">
        <v>39</v>
      </c>
      <c r="L75" s="50">
        <v>4</v>
      </c>
      <c r="M75" s="50">
        <f>E75*H75+0.25*((VLOOKUP(I75,Покрытия!$A$2:$B$50,2,FALSE)*J75+VLOOKUP(K75,Покрытия!$A$2:$B$50,2,FALSE)*L75)*F75)</f>
        <v>135.46187587200001</v>
      </c>
      <c r="N75" s="50">
        <v>3</v>
      </c>
      <c r="O75" s="50">
        <f>M75*N75</f>
        <v>406.38562761600002</v>
      </c>
      <c r="P75" s="9"/>
      <c r="Q75" s="50">
        <f t="array" ref="Q75">INDEX(Материалы!$C$2:$C$50,MATCH(G75,Материалы!$A$2:$A$50,0))</f>
        <v>32000</v>
      </c>
      <c r="R75" s="50">
        <f>FLOOR(Раскройка!$C$11/C75,1)*FLOOR(Раскройка!$D$11/B75,1)</f>
        <v>14</v>
      </c>
      <c r="S75" s="50">
        <f>MAX(Раскройка!$F$11-E75*R75,0)</f>
        <v>3.0345119999999996E-3</v>
      </c>
      <c r="T75" s="50">
        <f>Q75*S75</f>
        <v>97.104383999999982</v>
      </c>
    </row>
    <row r="77" spans="1:21" x14ac:dyDescent="0.25">
      <c r="A77" s="50" t="s">
        <v>82</v>
      </c>
      <c r="B77" s="50">
        <v>395</v>
      </c>
      <c r="C77" s="50">
        <v>50</v>
      </c>
      <c r="D77" s="50">
        <v>25</v>
      </c>
      <c r="E77" s="50">
        <f t="shared" ref="E77:E78" si="51">B77*C77/1000000</f>
        <v>1.975E-2</v>
      </c>
      <c r="F77" s="20"/>
      <c r="G77" s="7" t="s">
        <v>12</v>
      </c>
      <c r="H77" s="50">
        <f>ROUND(Q77+T77/Раскройка!$F$2,0)</f>
        <v>988</v>
      </c>
      <c r="I77" s="50" t="s">
        <v>41</v>
      </c>
      <c r="J77" s="50">
        <v>2</v>
      </c>
      <c r="K77" s="50" t="s">
        <v>39</v>
      </c>
      <c r="L77" s="50">
        <v>4</v>
      </c>
      <c r="M77" s="50">
        <f>E77*(0.25*(VLOOKUP(I77,Покрытия!$A$2:$B$40,2,FALSE)*J77+VLOOKUP(K77,Покрытия!$A$2:$B$40,2,FALSE)*L77)+H77)</f>
        <v>52.100500000000004</v>
      </c>
      <c r="N77" s="50">
        <v>4</v>
      </c>
      <c r="O77" s="50">
        <f t="shared" ref="O77:O78" si="52">M77*N77</f>
        <v>208.40200000000002</v>
      </c>
      <c r="P77" s="9"/>
      <c r="Q77" s="50">
        <f t="array" ref="Q77">INDEX(Материалы!$C$2:$C$50,MATCH(G77&amp;D77,Материалы!$A$2:$A$50&amp;Материалы!$B$2:$B$50,0))</f>
        <v>966</v>
      </c>
      <c r="R77" s="50">
        <f>FLOOR(Раскройка!$D$2/B77,1)*FLOOR(Раскройка!$C$2/C77,1)</f>
        <v>287</v>
      </c>
      <c r="S77" s="50">
        <f>MAX(Раскройка!$F$2-E77*R77,0)</f>
        <v>0.13174999999999937</v>
      </c>
      <c r="T77" s="50">
        <f t="shared" ref="T77:T78" si="53">Q77*S77</f>
        <v>127.27049999999939</v>
      </c>
      <c r="U77" s="9"/>
    </row>
    <row r="78" spans="1:21" x14ac:dyDescent="0.25">
      <c r="A78" s="50" t="s">
        <v>81</v>
      </c>
      <c r="B78" s="50">
        <v>628</v>
      </c>
      <c r="C78" s="50">
        <v>50</v>
      </c>
      <c r="D78" s="50">
        <v>25</v>
      </c>
      <c r="E78" s="50">
        <f t="shared" si="51"/>
        <v>3.1399999999999997E-2</v>
      </c>
      <c r="F78" s="20"/>
      <c r="G78" s="7" t="s">
        <v>12</v>
      </c>
      <c r="H78" s="50">
        <f>ROUND(Q78+T78/Раскройка!$F$2,0)</f>
        <v>1074</v>
      </c>
      <c r="I78" s="50" t="s">
        <v>41</v>
      </c>
      <c r="J78" s="50">
        <v>2</v>
      </c>
      <c r="K78" s="50" t="s">
        <v>39</v>
      </c>
      <c r="L78" s="50">
        <v>4</v>
      </c>
      <c r="M78" s="50">
        <f>E78*(0.25*(VLOOKUP(I78,Покрытия!$A$2:$B$40,2,FALSE)*J78+VLOOKUP(K78,Покрытия!$A$2:$B$40,2,FALSE)*L78)+H78)</f>
        <v>85.533599999999993</v>
      </c>
      <c r="N78" s="50">
        <v>4</v>
      </c>
      <c r="O78" s="50">
        <f t="shared" si="52"/>
        <v>342.13439999999997</v>
      </c>
      <c r="P78" s="9"/>
      <c r="Q78" s="50">
        <f t="array" ref="Q78">INDEX(Материалы!$C$2:$C$50,MATCH(G78&amp;D78,Материалы!$A$2:$A$50&amp;Материалы!$B$2:$B$50,0))</f>
        <v>966</v>
      </c>
      <c r="R78" s="50">
        <f>FLOOR(Раскройка!$D$2/B78,1)*FLOOR(Раскройка!$C$2/C78,1)</f>
        <v>164</v>
      </c>
      <c r="S78" s="50">
        <f>MAX(Раскройка!$F$2-E78*R78,0)</f>
        <v>0.65040000000000031</v>
      </c>
      <c r="T78" s="50">
        <f t="shared" si="53"/>
        <v>628.2864000000003</v>
      </c>
      <c r="U78" s="9"/>
    </row>
    <row r="79" spans="1:21" x14ac:dyDescent="0.25">
      <c r="A79" s="50" t="s">
        <v>144</v>
      </c>
      <c r="B79" s="50">
        <v>395</v>
      </c>
      <c r="C79" s="50">
        <v>26.5</v>
      </c>
      <c r="D79" s="50">
        <v>16</v>
      </c>
      <c r="E79" s="50">
        <f>B79*C79*D79/1000000000</f>
        <v>1.6747999999999999E-4</v>
      </c>
      <c r="F79" s="50">
        <f>B79*C79/1000000</f>
        <v>1.0467499999999999E-2</v>
      </c>
      <c r="G79" s="50" t="s">
        <v>15</v>
      </c>
      <c r="H79" s="50">
        <f>ROUND(Q79+T79/Раскройка!$F$11,0)</f>
        <v>45659</v>
      </c>
      <c r="I79" s="50" t="s">
        <v>41</v>
      </c>
      <c r="J79" s="50">
        <v>2</v>
      </c>
      <c r="K79" s="50" t="s">
        <v>39</v>
      </c>
      <c r="L79" s="50">
        <v>4</v>
      </c>
      <c r="M79" s="50">
        <f>E79*H79+0.25*((VLOOKUP(I79,Покрытия!$A$2:$B$50,2,FALSE)*J79+VLOOKUP(K79,Покрытия!$A$2:$B$50,2,FALSE)*L79)*F79)</f>
        <v>24.918344319999999</v>
      </c>
      <c r="N79" s="50">
        <v>4</v>
      </c>
      <c r="O79" s="50">
        <f>M79*N79</f>
        <v>99.673377279999997</v>
      </c>
      <c r="P79" s="9"/>
      <c r="Q79" s="50">
        <f t="array" ref="Q79">INDEX(Материалы!$C$2:$C$50,MATCH(G79,Материалы!$A$2:$A$50,0))</f>
        <v>32000</v>
      </c>
      <c r="R79" s="50">
        <f>FLOOR(Раскройка!$C$11/C79,1)*FLOOR(Раскройка!$D$11/B79,1)</f>
        <v>77</v>
      </c>
      <c r="S79" s="50">
        <f>MAX(Раскройка!$F$11-E79*R79,0)</f>
        <v>9.6040399999999995E-3</v>
      </c>
      <c r="T79" s="50">
        <f>Q79*S79</f>
        <v>307.32927999999998</v>
      </c>
    </row>
    <row r="80" spans="1:21" x14ac:dyDescent="0.25">
      <c r="A80" s="50" t="s">
        <v>145</v>
      </c>
      <c r="B80" s="50">
        <v>628</v>
      </c>
      <c r="C80" s="50">
        <v>26.5</v>
      </c>
      <c r="D80" s="50">
        <v>16</v>
      </c>
      <c r="E80" s="50">
        <f>B80*C80*D80/1000000000</f>
        <v>2.6627200000000001E-4</v>
      </c>
      <c r="F80" s="50">
        <f>B80*C80/1000000</f>
        <v>1.6642000000000001E-2</v>
      </c>
      <c r="G80" s="50" t="s">
        <v>15</v>
      </c>
      <c r="H80" s="50">
        <f>ROUND(Q80+T80/Раскройка!$F$11,0)</f>
        <v>47337</v>
      </c>
      <c r="I80" s="50" t="s">
        <v>41</v>
      </c>
      <c r="J80" s="50">
        <v>2</v>
      </c>
      <c r="K80" s="50" t="s">
        <v>39</v>
      </c>
      <c r="L80" s="50">
        <v>4</v>
      </c>
      <c r="M80" s="50">
        <f>E80*H80+0.25*((VLOOKUP(I80,Покрытия!$A$2:$B$50,2,FALSE)*J80+VLOOKUP(K80,Покрытия!$A$2:$B$50,2,FALSE)*L80)*F80)</f>
        <v>40.063817664000005</v>
      </c>
      <c r="N80" s="50">
        <v>4</v>
      </c>
      <c r="O80" s="50">
        <f>M80*N80</f>
        <v>160.25527065600002</v>
      </c>
      <c r="P80" s="9"/>
      <c r="Q80" s="50">
        <f t="array" ref="Q80">INDEX(Материалы!$C$2:$C$50,MATCH(G80,Материалы!$A$2:$A$50,0))</f>
        <v>32000</v>
      </c>
      <c r="R80" s="50">
        <f>FLOOR(Раскройка!$C$11/C80,1)*FLOOR(Раскройка!$D$11/B80,1)</f>
        <v>44</v>
      </c>
      <c r="S80" s="50">
        <f>MAX(Раскройка!$F$11-E80*R80,0)</f>
        <v>1.0784031999999999E-2</v>
      </c>
      <c r="T80" s="50">
        <f>Q80*S80</f>
        <v>345.08902399999999</v>
      </c>
    </row>
    <row r="81" spans="1:20" x14ac:dyDescent="0.25">
      <c r="A81" s="50" t="s">
        <v>57</v>
      </c>
      <c r="B81" s="50">
        <v>395</v>
      </c>
      <c r="C81" s="50">
        <v>628</v>
      </c>
      <c r="D81" s="50">
        <v>12</v>
      </c>
      <c r="E81" s="50">
        <f t="shared" ref="E81" si="54">B81*C81/1000000</f>
        <v>0.24806</v>
      </c>
      <c r="F81" s="20"/>
      <c r="G81" s="7" t="s">
        <v>12</v>
      </c>
      <c r="H81" s="50">
        <f>ROUND(Q81+T81/Раскройка!$F$2,0)</f>
        <v>542</v>
      </c>
      <c r="I81" s="50" t="s">
        <v>41</v>
      </c>
      <c r="J81" s="50">
        <v>2</v>
      </c>
      <c r="K81" s="50" t="s">
        <v>39</v>
      </c>
      <c r="L81" s="50">
        <v>4</v>
      </c>
      <c r="M81" s="50">
        <f>E81*(0.25*(VLOOKUP(I81,Покрытия!$A$2:$B$40,2,FALSE)*J81+VLOOKUP(K81,Покрытия!$A$2:$B$40,2,FALSE)*L81)+H81)</f>
        <v>543.74752000000001</v>
      </c>
      <c r="N81" s="50">
        <v>2</v>
      </c>
      <c r="O81" s="50">
        <f t="shared" ref="O81" si="55">M81*N81</f>
        <v>1087.49504</v>
      </c>
      <c r="P81" s="9"/>
      <c r="Q81" s="50">
        <f t="array" ref="Q81">INDEX(Материалы!$C$2:$C$50,MATCH(G81&amp;D81,Материалы!$A$2:$A$50&amp;Материалы!$B$2:$B$50,0))</f>
        <v>492</v>
      </c>
      <c r="R81" s="50">
        <f>FLOOR(Раскройка!$D$2/B81,1)*FLOOR(Раскройка!$C$2/C81,1)</f>
        <v>21</v>
      </c>
      <c r="S81" s="50">
        <f>MAX(Раскройка!$F$2-E81*R81,0)</f>
        <v>0.59073999999999938</v>
      </c>
      <c r="T81" s="50">
        <f t="shared" ref="T81" si="56">Q81*S81</f>
        <v>290.64407999999969</v>
      </c>
    </row>
    <row r="83" spans="1:20" x14ac:dyDescent="0.25">
      <c r="A83" s="50" t="s">
        <v>82</v>
      </c>
      <c r="B83" s="50">
        <v>1554</v>
      </c>
      <c r="C83" s="50">
        <v>50</v>
      </c>
      <c r="D83" s="50">
        <v>25</v>
      </c>
      <c r="E83" s="50">
        <f t="shared" ref="E83:E84" si="57">B83*C83/1000000</f>
        <v>7.7700000000000005E-2</v>
      </c>
      <c r="F83" s="20"/>
      <c r="G83" s="7" t="s">
        <v>12</v>
      </c>
      <c r="H83" s="50">
        <f>ROUND(Q83+T83/Раскройка!$F$2,0)</f>
        <v>1401</v>
      </c>
      <c r="I83" s="50" t="s">
        <v>41</v>
      </c>
      <c r="J83" s="50">
        <v>2</v>
      </c>
      <c r="K83" s="50" t="s">
        <v>39</v>
      </c>
      <c r="L83" s="50">
        <v>4</v>
      </c>
      <c r="M83" s="50">
        <f>E83*(0.25*(VLOOKUP(I83,Покрытия!$A$2:$B$40,2,FALSE)*J83+VLOOKUP(K83,Покрытия!$A$2:$B$40,2,FALSE)*L83)+H83)</f>
        <v>237.06270000000001</v>
      </c>
      <c r="N83" s="50">
        <v>4</v>
      </c>
      <c r="O83" s="50">
        <f t="shared" ref="O83:O84" si="58">M83*N83</f>
        <v>948.25080000000003</v>
      </c>
      <c r="P83" s="9"/>
      <c r="Q83" s="50">
        <f t="array" ref="Q83">INDEX(Материалы!$C$2:$C$50,MATCH(G83&amp;D83,Материалы!$A$2:$A$50&amp;Материалы!$B$2:$B$50,0))</f>
        <v>966</v>
      </c>
      <c r="R83" s="50">
        <f>FLOOR(Раскройка!$D$2/B83,1)*FLOOR(Раскройка!$C$2/C83,1)</f>
        <v>41</v>
      </c>
      <c r="S83" s="50">
        <f>MAX(Раскройка!$F$2-E83*R83,0)</f>
        <v>2.6142999999999996</v>
      </c>
      <c r="T83" s="50">
        <f t="shared" ref="T83:T84" si="59">Q83*S83</f>
        <v>2525.4137999999998</v>
      </c>
    </row>
    <row r="84" spans="1:20" x14ac:dyDescent="0.25">
      <c r="A84" s="50" t="s">
        <v>81</v>
      </c>
      <c r="B84" s="50">
        <v>628</v>
      </c>
      <c r="C84" s="50">
        <v>50</v>
      </c>
      <c r="D84" s="50">
        <v>25</v>
      </c>
      <c r="E84" s="50">
        <f t="shared" si="57"/>
        <v>3.1399999999999997E-2</v>
      </c>
      <c r="F84" s="20"/>
      <c r="G84" s="7" t="s">
        <v>12</v>
      </c>
      <c r="H84" s="50">
        <f>ROUND(Q84+T84/Раскройка!$F$2,0)</f>
        <v>1074</v>
      </c>
      <c r="I84" s="50" t="s">
        <v>41</v>
      </c>
      <c r="J84" s="50">
        <v>2</v>
      </c>
      <c r="K84" s="50" t="s">
        <v>39</v>
      </c>
      <c r="L84" s="50">
        <v>4</v>
      </c>
      <c r="M84" s="50">
        <f>E84*(0.25*(VLOOKUP(I84,Покрытия!$A$2:$B$40,2,FALSE)*J84+VLOOKUP(K84,Покрытия!$A$2:$B$40,2,FALSE)*L84)+H84)</f>
        <v>85.533599999999993</v>
      </c>
      <c r="N84" s="50">
        <v>4</v>
      </c>
      <c r="O84" s="50">
        <f t="shared" si="58"/>
        <v>342.13439999999997</v>
      </c>
      <c r="P84" s="9"/>
      <c r="Q84" s="50">
        <f t="array" ref="Q84">INDEX(Материалы!$C$2:$C$50,MATCH(G84&amp;D84,Материалы!$A$2:$A$50&amp;Материалы!$B$2:$B$50,0))</f>
        <v>966</v>
      </c>
      <c r="R84" s="50">
        <f>FLOOR(Раскройка!$D$2/B84,1)*FLOOR(Раскройка!$C$2/C84,1)</f>
        <v>164</v>
      </c>
      <c r="S84" s="50">
        <f>MAX(Раскройка!$F$2-E84*R84,0)</f>
        <v>0.65040000000000031</v>
      </c>
      <c r="T84" s="50">
        <f t="shared" si="59"/>
        <v>628.2864000000003</v>
      </c>
    </row>
    <row r="85" spans="1:20" x14ac:dyDescent="0.25">
      <c r="A85" s="50" t="s">
        <v>144</v>
      </c>
      <c r="B85" s="50">
        <v>1554</v>
      </c>
      <c r="C85" s="50">
        <v>20</v>
      </c>
      <c r="D85" s="50">
        <v>10</v>
      </c>
      <c r="E85" s="50">
        <f>B85*C85*D85/1000000000</f>
        <v>3.1080000000000002E-4</v>
      </c>
      <c r="F85" s="50">
        <f>B85*C85/1000000</f>
        <v>3.108E-2</v>
      </c>
      <c r="G85" s="50" t="s">
        <v>15</v>
      </c>
      <c r="H85" s="50">
        <f>ROUND(Q85+T85/Раскройка!$F$11,0)</f>
        <v>57370</v>
      </c>
      <c r="I85" s="50" t="s">
        <v>41</v>
      </c>
      <c r="J85" s="50">
        <v>2</v>
      </c>
      <c r="K85" s="50" t="s">
        <v>39</v>
      </c>
      <c r="L85" s="50">
        <v>4</v>
      </c>
      <c r="M85" s="50">
        <f>E85*H85+0.25*((VLOOKUP(I85,Покрытия!$A$2:$B$50,2,FALSE)*J85+VLOOKUP(K85,Покрытия!$A$2:$B$50,2,FALSE)*L85)*F85)</f>
        <v>69.112595999999996</v>
      </c>
      <c r="N85" s="50">
        <v>4</v>
      </c>
      <c r="O85" s="50">
        <f>M85*N85</f>
        <v>276.45038399999999</v>
      </c>
      <c r="P85" s="9"/>
      <c r="Q85" s="50">
        <f t="array" ref="Q85">INDEX(Материалы!$C$2:$C$50,MATCH(G85,Материалы!$A$2:$A$50,0))</f>
        <v>32000</v>
      </c>
      <c r="R85" s="50">
        <f>FLOOR(Раскройка!$C$11/C85,1)*FLOOR(Раскройка!$D$11/B85,1)</f>
        <v>15</v>
      </c>
      <c r="S85" s="50">
        <f>MAX(Раскройка!$F$11-E85*R85,0)</f>
        <v>1.7838E-2</v>
      </c>
      <c r="T85" s="50">
        <f>Q85*S85</f>
        <v>570.81600000000003</v>
      </c>
    </row>
    <row r="86" spans="1:20" x14ac:dyDescent="0.25">
      <c r="A86" s="50" t="s">
        <v>145</v>
      </c>
      <c r="B86" s="50">
        <v>628</v>
      </c>
      <c r="C86" s="50">
        <v>20</v>
      </c>
      <c r="D86" s="50">
        <v>10</v>
      </c>
      <c r="E86" s="50">
        <f>B86*C86*D86/1000000000</f>
        <v>1.2559999999999999E-4</v>
      </c>
      <c r="F86" s="50">
        <f>B86*C86/1000000</f>
        <v>1.256E-2</v>
      </c>
      <c r="G86" s="50" t="s">
        <v>15</v>
      </c>
      <c r="H86" s="50">
        <f>ROUND(Q86+T86/Раскройка!$F$11,0)</f>
        <v>53282</v>
      </c>
      <c r="I86" s="50" t="s">
        <v>41</v>
      </c>
      <c r="J86" s="50">
        <v>2</v>
      </c>
      <c r="K86" s="50" t="s">
        <v>39</v>
      </c>
      <c r="L86" s="50">
        <v>4</v>
      </c>
      <c r="M86" s="50">
        <f>E86*H86+0.25*((VLOOKUP(I86,Покрытия!$A$2:$B$50,2,FALSE)*J86+VLOOKUP(K86,Покрытия!$A$2:$B$50,2,FALSE)*L86)*F86)</f>
        <v>27.4162192</v>
      </c>
      <c r="N86" s="50">
        <v>4</v>
      </c>
      <c r="O86" s="50">
        <f>M86*N86</f>
        <v>109.6648768</v>
      </c>
      <c r="P86" s="9"/>
      <c r="Q86" s="50">
        <f t="array" ref="Q86">INDEX(Материалы!$C$2:$C$50,MATCH(G86,Материалы!$A$2:$A$50,0))</f>
        <v>32000</v>
      </c>
      <c r="R86" s="50">
        <f>FLOOR(Раскройка!$C$11/C86,1)*FLOOR(Раскройка!$D$11/B86,1)</f>
        <v>60</v>
      </c>
      <c r="S86" s="50">
        <f>MAX(Раскройка!$F$11-E86*R86,0)</f>
        <v>1.4964E-2</v>
      </c>
      <c r="T86" s="50">
        <f>Q86*S86</f>
        <v>478.84800000000001</v>
      </c>
    </row>
    <row r="87" spans="1:20" x14ac:dyDescent="0.25">
      <c r="A87" s="50" t="s">
        <v>4</v>
      </c>
      <c r="B87" s="50">
        <v>1554</v>
      </c>
      <c r="C87" s="50">
        <v>628</v>
      </c>
      <c r="D87" s="50">
        <v>4</v>
      </c>
      <c r="E87" s="50">
        <f t="shared" ref="E87" si="60">B87*C87/1000000</f>
        <v>0.975912</v>
      </c>
      <c r="F87" s="20"/>
      <c r="G87" s="7" t="s">
        <v>4</v>
      </c>
      <c r="H87" s="50">
        <f>ROUND(Q87+T87/Раскройка!$F$2,0)</f>
        <v>10467</v>
      </c>
      <c r="I87" s="50" t="s">
        <v>41</v>
      </c>
      <c r="J87" s="50">
        <v>2</v>
      </c>
      <c r="K87" s="50" t="s">
        <v>39</v>
      </c>
      <c r="L87" s="50">
        <v>4</v>
      </c>
      <c r="M87" s="50">
        <f>E87*(0.25*(VLOOKUP(I87,Покрытия!$A$2:$B$40,2,FALSE)*J87+VLOOKUP(K87,Покрытия!$A$2:$B$40,2,FALSE)*L87)+H87)</f>
        <v>11825.125704</v>
      </c>
      <c r="N87" s="50">
        <v>2</v>
      </c>
      <c r="O87" s="50">
        <f t="shared" ref="O87" si="61">M87*N87</f>
        <v>23650.251408</v>
      </c>
      <c r="P87" s="9"/>
      <c r="Q87" s="50">
        <f t="array" ref="Q87">INDEX(Материалы!$C$2:$C$50,MATCH(G87&amp;D87,Материалы!$A$2:$A$50&amp;Материалы!$B$2:$B$50,0))</f>
        <v>7000</v>
      </c>
      <c r="R87" s="50">
        <f>FLOOR(Раскройка!$D$2/B87,1)*FLOOR(Раскройка!$C$2/C87,1)</f>
        <v>3</v>
      </c>
      <c r="S87" s="50">
        <f>MAX(Раскройка!$F$2-E87*R87,0)</f>
        <v>2.8722639999999999</v>
      </c>
      <c r="T87" s="50">
        <f t="shared" ref="T87" si="62">Q87*S87</f>
        <v>20105.847999999998</v>
      </c>
    </row>
    <row r="89" spans="1:20" x14ac:dyDescent="0.25">
      <c r="A89" s="50" t="s">
        <v>82</v>
      </c>
      <c r="B89" s="50">
        <v>215</v>
      </c>
      <c r="C89" s="50">
        <v>50</v>
      </c>
      <c r="D89" s="50">
        <v>25</v>
      </c>
      <c r="E89" s="50">
        <f t="shared" ref="E89:E90" si="63">B89*C89/1000000</f>
        <v>1.0749999999999999E-2</v>
      </c>
      <c r="F89" s="20"/>
      <c r="G89" s="7" t="s">
        <v>12</v>
      </c>
      <c r="H89" s="50">
        <f>ROUND(Q89+T89/Раскройка!$F$2,0)</f>
        <v>978</v>
      </c>
      <c r="I89" s="50" t="s">
        <v>41</v>
      </c>
      <c r="J89" s="50">
        <v>2</v>
      </c>
      <c r="K89" s="50" t="s">
        <v>39</v>
      </c>
      <c r="L89" s="50">
        <v>4</v>
      </c>
      <c r="M89" s="50">
        <f>E89*(0.25*(VLOOKUP(I89,Покрытия!$A$2:$B$40,2,FALSE)*J89+VLOOKUP(K89,Покрытия!$A$2:$B$40,2,FALSE)*L89)+H89)</f>
        <v>28.250999999999998</v>
      </c>
      <c r="N89" s="50">
        <v>4</v>
      </c>
      <c r="O89" s="50">
        <f t="shared" ref="O89:O90" si="64">M89*N89</f>
        <v>113.00399999999999</v>
      </c>
      <c r="P89" s="9"/>
      <c r="Q89" s="50">
        <f t="array" ref="Q89">INDEX(Материалы!$C$2:$C$50,MATCH(G89&amp;D89,Материалы!$A$2:$A$50&amp;Материалы!$B$2:$B$50,0))</f>
        <v>966</v>
      </c>
      <c r="R89" s="50">
        <f>FLOOR(Раскройка!$D$2/B89,1)*FLOOR(Раскройка!$C$2/C89,1)</f>
        <v>533</v>
      </c>
      <c r="S89" s="50">
        <f>MAX(Раскройка!$F$2-E89*R89,0)</f>
        <v>7.025000000000059E-2</v>
      </c>
      <c r="T89" s="50">
        <f t="shared" ref="T89:T90" si="65">Q89*S89</f>
        <v>67.861500000000575</v>
      </c>
    </row>
    <row r="90" spans="1:20" x14ac:dyDescent="0.25">
      <c r="A90" s="50" t="s">
        <v>81</v>
      </c>
      <c r="B90" s="50">
        <v>628</v>
      </c>
      <c r="C90" s="50">
        <v>50</v>
      </c>
      <c r="D90" s="50">
        <v>25</v>
      </c>
      <c r="E90" s="50">
        <f t="shared" si="63"/>
        <v>3.1399999999999997E-2</v>
      </c>
      <c r="F90" s="20"/>
      <c r="G90" s="7" t="s">
        <v>12</v>
      </c>
      <c r="H90" s="50">
        <f>ROUND(Q90+T90/Раскройка!$F$2,0)</f>
        <v>1074</v>
      </c>
      <c r="I90" s="50" t="s">
        <v>41</v>
      </c>
      <c r="J90" s="50">
        <v>2</v>
      </c>
      <c r="K90" s="50" t="s">
        <v>39</v>
      </c>
      <c r="L90" s="50">
        <v>4</v>
      </c>
      <c r="M90" s="50">
        <f>E90*(0.25*(VLOOKUP(I90,Покрытия!$A$2:$B$40,2,FALSE)*J90+VLOOKUP(K90,Покрытия!$A$2:$B$40,2,FALSE)*L90)+H90)</f>
        <v>85.533599999999993</v>
      </c>
      <c r="N90" s="50">
        <v>4</v>
      </c>
      <c r="O90" s="50">
        <f t="shared" si="64"/>
        <v>342.13439999999997</v>
      </c>
      <c r="P90" s="9"/>
      <c r="Q90" s="50">
        <f t="array" ref="Q90">INDEX(Материалы!$C$2:$C$50,MATCH(G90&amp;D90,Материалы!$A$2:$A$50&amp;Материалы!$B$2:$B$50,0))</f>
        <v>966</v>
      </c>
      <c r="R90" s="50">
        <f>FLOOR(Раскройка!$D$2/B90,1)*FLOOR(Раскройка!$C$2/C90,1)</f>
        <v>164</v>
      </c>
      <c r="S90" s="50">
        <f>MAX(Раскройка!$F$2-E90*R90,0)</f>
        <v>0.65040000000000031</v>
      </c>
      <c r="T90" s="50">
        <f t="shared" si="65"/>
        <v>628.2864000000003</v>
      </c>
    </row>
    <row r="91" spans="1:20" x14ac:dyDescent="0.25">
      <c r="A91" s="50" t="s">
        <v>144</v>
      </c>
      <c r="B91" s="50">
        <v>215</v>
      </c>
      <c r="C91" s="50">
        <v>20</v>
      </c>
      <c r="D91" s="50">
        <v>10</v>
      </c>
      <c r="E91" s="50">
        <f>B91*C91*D91/1000000000</f>
        <v>4.3000000000000002E-5</v>
      </c>
      <c r="F91" s="50">
        <f>B91*C91/1000000</f>
        <v>4.3E-3</v>
      </c>
      <c r="G91" s="50" t="s">
        <v>15</v>
      </c>
      <c r="H91" s="50">
        <f>ROUND(Q91+T91/Раскройка!$F$11,0)</f>
        <v>52075</v>
      </c>
      <c r="I91" s="50" t="s">
        <v>41</v>
      </c>
      <c r="J91" s="50">
        <v>2</v>
      </c>
      <c r="K91" s="50" t="s">
        <v>39</v>
      </c>
      <c r="L91" s="50">
        <v>4</v>
      </c>
      <c r="M91" s="50">
        <f>E91*H91+0.25*((VLOOKUP(I91,Покрытия!$A$2:$B$50,2,FALSE)*J91+VLOOKUP(K91,Покрытия!$A$2:$B$50,2,FALSE)*L91)*F91)</f>
        <v>9.334225</v>
      </c>
      <c r="N91" s="50">
        <v>4</v>
      </c>
      <c r="O91" s="50">
        <f>M91*N91</f>
        <v>37.3369</v>
      </c>
      <c r="P91" s="9"/>
      <c r="Q91" s="50">
        <f t="array" ref="Q91">INDEX(Материалы!$C$2:$C$50,MATCH(G91,Материалы!$A$2:$A$50,0))</f>
        <v>32000</v>
      </c>
      <c r="R91" s="50">
        <f>FLOOR(Раскройка!$C$11/C91,1)*FLOOR(Раскройка!$D$11/B91,1)</f>
        <v>195</v>
      </c>
      <c r="S91" s="50">
        <f>MAX(Раскройка!$F$11-E91*R91,0)</f>
        <v>1.4114999999999999E-2</v>
      </c>
      <c r="T91" s="50">
        <f>Q91*S91</f>
        <v>451.67999999999995</v>
      </c>
    </row>
    <row r="92" spans="1:20" x14ac:dyDescent="0.25">
      <c r="A92" s="50" t="s">
        <v>145</v>
      </c>
      <c r="B92" s="50">
        <v>628</v>
      </c>
      <c r="C92" s="50">
        <v>20</v>
      </c>
      <c r="D92" s="50">
        <v>10</v>
      </c>
      <c r="E92" s="50">
        <f>B92*C92*D92/1000000000</f>
        <v>1.2559999999999999E-4</v>
      </c>
      <c r="F92" s="50">
        <f>B92*C92/1000000</f>
        <v>1.256E-2</v>
      </c>
      <c r="G92" s="50" t="s">
        <v>15</v>
      </c>
      <c r="H92" s="50">
        <f>ROUND(Q92+T92/Раскройка!$F$11,0)</f>
        <v>53282</v>
      </c>
      <c r="I92" s="50" t="s">
        <v>41</v>
      </c>
      <c r="J92" s="50">
        <v>2</v>
      </c>
      <c r="K92" s="50" t="s">
        <v>39</v>
      </c>
      <c r="L92" s="50">
        <v>4</v>
      </c>
      <c r="M92" s="50">
        <f>E92*H92+0.25*((VLOOKUP(I92,Покрытия!$A$2:$B$50,2,FALSE)*J92+VLOOKUP(K92,Покрытия!$A$2:$B$50,2,FALSE)*L92)*F92)</f>
        <v>27.4162192</v>
      </c>
      <c r="N92" s="50">
        <v>4</v>
      </c>
      <c r="O92" s="50">
        <f>M92*N92</f>
        <v>109.6648768</v>
      </c>
      <c r="P92" s="9"/>
      <c r="Q92" s="50">
        <f t="array" ref="Q92">INDEX(Материалы!$C$2:$C$50,MATCH(G92,Материалы!$A$2:$A$50,0))</f>
        <v>32000</v>
      </c>
      <c r="R92" s="50">
        <f>FLOOR(Раскройка!$C$11/C92,1)*FLOOR(Раскройка!$D$11/B92,1)</f>
        <v>60</v>
      </c>
      <c r="S92" s="50">
        <f>MAX(Раскройка!$F$11-E92*R92,0)</f>
        <v>1.4964E-2</v>
      </c>
      <c r="T92" s="50">
        <f>Q92*S92</f>
        <v>478.84800000000001</v>
      </c>
    </row>
    <row r="93" spans="1:20" x14ac:dyDescent="0.25">
      <c r="A93" s="50" t="s">
        <v>57</v>
      </c>
      <c r="B93" s="50">
        <v>628</v>
      </c>
      <c r="C93" s="50">
        <v>215</v>
      </c>
      <c r="D93" s="50">
        <v>12</v>
      </c>
      <c r="E93" s="50">
        <f t="shared" ref="E93" si="66">B93*C93/1000000</f>
        <v>0.13502</v>
      </c>
      <c r="F93" s="20"/>
      <c r="G93" s="7" t="s">
        <v>12</v>
      </c>
      <c r="H93" s="50">
        <f>ROUND(Q93+T93/Раскройка!$F$2,0)</f>
        <v>572</v>
      </c>
      <c r="I93" s="50" t="s">
        <v>41</v>
      </c>
      <c r="J93" s="50">
        <v>2</v>
      </c>
      <c r="K93" s="50" t="s">
        <v>39</v>
      </c>
      <c r="L93" s="50">
        <v>4</v>
      </c>
      <c r="M93" s="50">
        <f>E93*(0.25*(VLOOKUP(I93,Покрытия!$A$2:$B$40,2,FALSE)*J93+VLOOKUP(K93,Покрытия!$A$2:$B$40,2,FALSE)*L93)+H93)</f>
        <v>300.01443999999998</v>
      </c>
      <c r="N93" s="50">
        <v>2</v>
      </c>
      <c r="O93" s="50">
        <f t="shared" ref="O93" si="67">M93*N93</f>
        <v>600.02887999999996</v>
      </c>
      <c r="P93" s="9"/>
      <c r="Q93" s="50">
        <f t="array" ref="Q93">INDEX(Материалы!$C$2:$C$50,MATCH(G93&amp;D93,Материалы!$A$2:$A$50&amp;Материалы!$B$2:$B$50,0))</f>
        <v>492</v>
      </c>
      <c r="R93" s="50">
        <f>FLOOR(Раскройка!$D$2/B93,1)*FLOOR(Раскройка!$C$2/C93,1)</f>
        <v>36</v>
      </c>
      <c r="S93" s="50">
        <f>MAX(Раскройка!$F$2-E93*R93,0)</f>
        <v>0.93928000000000011</v>
      </c>
      <c r="T93" s="50">
        <f t="shared" ref="T93" si="68">Q93*S93</f>
        <v>462.12576000000007</v>
      </c>
    </row>
    <row r="95" spans="1:20" x14ac:dyDescent="0.25">
      <c r="A95" s="50" t="s">
        <v>128</v>
      </c>
      <c r="B95" s="50">
        <v>289</v>
      </c>
      <c r="C95" s="50">
        <v>215</v>
      </c>
      <c r="D95" s="50">
        <v>16</v>
      </c>
      <c r="E95" s="50">
        <f t="shared" ref="E95:E96" si="69">B95*C95/1000000</f>
        <v>6.2135000000000003E-2</v>
      </c>
      <c r="F95" s="20"/>
      <c r="G95" s="7" t="s">
        <v>12</v>
      </c>
      <c r="H95" s="50">
        <f>ROUND(Q95+T95/Раскройка!$F$2,0)</f>
        <v>731</v>
      </c>
      <c r="I95" s="50" t="s">
        <v>41</v>
      </c>
      <c r="J95" s="50">
        <v>2</v>
      </c>
      <c r="K95" s="50" t="s">
        <v>39</v>
      </c>
      <c r="L95" s="50">
        <v>4</v>
      </c>
      <c r="M95" s="50">
        <f>E95*(0.25*(VLOOKUP(I95,Покрытия!$A$2:$B$40,2,FALSE)*J95+VLOOKUP(K95,Покрытия!$A$2:$B$40,2,FALSE)*L95)+H95)</f>
        <v>147.94343499999999</v>
      </c>
      <c r="N95" s="50">
        <v>8</v>
      </c>
      <c r="O95" s="50">
        <f t="shared" ref="O95:O96" si="70">M95*N95</f>
        <v>1183.54748</v>
      </c>
      <c r="P95" s="9"/>
      <c r="Q95" s="50">
        <f t="array" ref="Q95">INDEX(Материалы!$C$2:$C$50,MATCH(G95&amp;D95,Материалы!$A$2:$A$50&amp;Материалы!$B$2:$B$50,0))</f>
        <v>646</v>
      </c>
      <c r="R95" s="50">
        <f>FLOOR(Раскройка!$D$2/B95,1)*FLOOR(Раскройка!$C$2/C95,1)</f>
        <v>81</v>
      </c>
      <c r="S95" s="50">
        <f>MAX(Раскройка!$F$2-E95*R95,0)</f>
        <v>0.76706499999999966</v>
      </c>
      <c r="T95" s="50">
        <f t="shared" ref="T95:T96" si="71">Q95*S95</f>
        <v>495.5239899999998</v>
      </c>
    </row>
    <row r="96" spans="1:20" x14ac:dyDescent="0.25">
      <c r="A96" s="50" t="s">
        <v>148</v>
      </c>
      <c r="B96" s="50">
        <v>628</v>
      </c>
      <c r="C96" s="50">
        <v>215</v>
      </c>
      <c r="D96" s="50">
        <v>16</v>
      </c>
      <c r="E96" s="50">
        <f t="shared" si="69"/>
        <v>0.13502</v>
      </c>
      <c r="F96" s="20"/>
      <c r="G96" s="7" t="s">
        <v>12</v>
      </c>
      <c r="H96" s="50">
        <f>ROUND(Q96+T96/Раскройка!$F$2,0)</f>
        <v>751</v>
      </c>
      <c r="I96" s="50" t="s">
        <v>41</v>
      </c>
      <c r="J96" s="50">
        <v>2</v>
      </c>
      <c r="K96" s="50" t="s">
        <v>39</v>
      </c>
      <c r="L96" s="50">
        <v>4</v>
      </c>
      <c r="M96" s="50">
        <f>E96*(0.25*(VLOOKUP(I96,Покрытия!$A$2:$B$40,2,FALSE)*J96+VLOOKUP(K96,Покрытия!$A$2:$B$40,2,FALSE)*L96)+H96)</f>
        <v>324.18302</v>
      </c>
      <c r="N96" s="50">
        <v>8</v>
      </c>
      <c r="O96" s="50">
        <f t="shared" si="70"/>
        <v>2593.46416</v>
      </c>
      <c r="P96" s="9"/>
      <c r="Q96" s="50">
        <f t="array" ref="Q96">INDEX(Материалы!$C$2:$C$50,MATCH(G96&amp;D96,Материалы!$A$2:$A$50&amp;Материалы!$B$2:$B$50,0))</f>
        <v>646</v>
      </c>
      <c r="R96" s="50">
        <f>FLOOR(Раскройка!$D$2/B96,1)*FLOOR(Раскройка!$C$2/C96,1)</f>
        <v>36</v>
      </c>
      <c r="S96" s="50">
        <f>MAX(Раскройка!$F$2-E96*R96,0)</f>
        <v>0.93928000000000011</v>
      </c>
      <c r="T96" s="50">
        <f t="shared" si="71"/>
        <v>606.77488000000005</v>
      </c>
    </row>
    <row r="97" spans="1:20" x14ac:dyDescent="0.25">
      <c r="A97" s="50" t="s">
        <v>127</v>
      </c>
      <c r="B97" s="50">
        <v>628</v>
      </c>
      <c r="C97" s="50">
        <v>289</v>
      </c>
      <c r="D97" s="50">
        <v>16</v>
      </c>
      <c r="E97" s="50">
        <f t="shared" ref="E97" si="72">B97*C97/1000000</f>
        <v>0.18149199999999999</v>
      </c>
      <c r="F97" s="20"/>
      <c r="G97" s="7" t="s">
        <v>12</v>
      </c>
      <c r="H97" s="50">
        <f>ROUND(Q97+T97/Раскройка!$F$2,0)</f>
        <v>726</v>
      </c>
      <c r="I97" s="50" t="s">
        <v>41</v>
      </c>
      <c r="J97" s="50">
        <v>2</v>
      </c>
      <c r="K97" s="50" t="s">
        <v>39</v>
      </c>
      <c r="L97" s="50">
        <v>4</v>
      </c>
      <c r="M97" s="50">
        <f>E97*(0.25*(VLOOKUP(I97,Покрытия!$A$2:$B$40,2,FALSE)*J97+VLOOKUP(K97,Покрытия!$A$2:$B$40,2,FALSE)*L97)+H97)</f>
        <v>431.22499199999999</v>
      </c>
      <c r="N97" s="50">
        <v>4</v>
      </c>
      <c r="O97" s="50">
        <f t="shared" ref="O97" si="73">M97*N97</f>
        <v>1724.8999679999999</v>
      </c>
      <c r="P97" s="9"/>
      <c r="Q97" s="50">
        <f t="array" ref="Q97">INDEX(Материалы!$C$2:$C$50,MATCH(G97&amp;D97,Материалы!$A$2:$A$50&amp;Материалы!$B$2:$B$50,0))</f>
        <v>646</v>
      </c>
      <c r="R97" s="50">
        <f>FLOOR(Раскройка!$D$2/B97,1)*FLOOR(Раскройка!$C$2/C97,1)</f>
        <v>28</v>
      </c>
      <c r="S97" s="50">
        <f>MAX(Раскройка!$F$2-E97*R97,0)</f>
        <v>0.7182240000000002</v>
      </c>
      <c r="T97" s="50">
        <f t="shared" ref="T97" si="74">Q97*S97</f>
        <v>463.97270400000014</v>
      </c>
    </row>
    <row r="99" spans="1:20" x14ac:dyDescent="0.25">
      <c r="A99" s="50" t="s">
        <v>147</v>
      </c>
      <c r="B99" s="50">
        <v>1320</v>
      </c>
      <c r="C99" s="50">
        <v>118</v>
      </c>
      <c r="D99" s="50">
        <v>18</v>
      </c>
      <c r="E99" s="50">
        <f t="shared" ref="E99" si="75">B99*C99/1000000</f>
        <v>0.15576000000000001</v>
      </c>
      <c r="F99" s="20"/>
      <c r="G99" s="7" t="s">
        <v>12</v>
      </c>
      <c r="H99" s="50">
        <f>ROUND(Q99+T99/Раскройка!$F$2,0)</f>
        <v>543</v>
      </c>
      <c r="I99" s="50" t="s">
        <v>41</v>
      </c>
      <c r="J99" s="50">
        <v>0</v>
      </c>
      <c r="K99" s="50" t="s">
        <v>39</v>
      </c>
      <c r="L99" s="50">
        <v>0</v>
      </c>
      <c r="M99" s="50">
        <f>E99*(0.25*(VLOOKUP(I99,Покрытия!$A$2:$B$40,2,FALSE)*J99+VLOOKUP(K99,Покрытия!$A$2:$B$40,2,FALSE)*L99)+H99)</f>
        <v>84.577680000000001</v>
      </c>
      <c r="N99" s="50">
        <v>1</v>
      </c>
      <c r="O99" s="50">
        <f t="shared" ref="O99" si="76">M99*N99</f>
        <v>84.577680000000001</v>
      </c>
      <c r="P99" s="9"/>
      <c r="Q99" s="50">
        <f t="array" ref="Q99">INDEX(Материалы!$C$2:$C$50,MATCH(G99&amp;D99,Материалы!$A$2:$A$50&amp;Материалы!$B$2:$B$50,0))</f>
        <v>500</v>
      </c>
      <c r="R99" s="50">
        <f>FLOOR(Раскройка!$D$2/B99,1)*FLOOR(Раскройка!$C$2/C99,1)</f>
        <v>34</v>
      </c>
      <c r="S99" s="50">
        <f>MAX(Раскройка!$F$2-E99*R99,0)</f>
        <v>0.50415999999999972</v>
      </c>
      <c r="T99" s="50">
        <f t="shared" ref="T99" si="77">Q99*S99</f>
        <v>252.07999999999987</v>
      </c>
    </row>
    <row r="100" spans="1:20" x14ac:dyDescent="0.25">
      <c r="A100" s="50" t="s">
        <v>118</v>
      </c>
      <c r="B100" s="50">
        <v>1320</v>
      </c>
      <c r="C100" s="50">
        <v>85</v>
      </c>
      <c r="D100" s="50">
        <v>43</v>
      </c>
      <c r="E100" s="50">
        <f>B100*C100*D100/1000000000</f>
        <v>4.8246000000000001E-3</v>
      </c>
      <c r="F100" s="50">
        <f>B100*C100/1000000</f>
        <v>0.11219999999999999</v>
      </c>
      <c r="G100" s="50" t="s">
        <v>15</v>
      </c>
      <c r="H100" s="50">
        <f>ROUND(Q100+T100/Раскройка!$F$11,0)</f>
        <v>32000</v>
      </c>
      <c r="I100" s="50" t="s">
        <v>41</v>
      </c>
      <c r="J100" s="50">
        <v>2</v>
      </c>
      <c r="K100" s="50" t="s">
        <v>39</v>
      </c>
      <c r="L100" s="50">
        <v>4</v>
      </c>
      <c r="M100" s="50">
        <f>E100*H100+0.25*((VLOOKUP(I100,Покрытия!$A$2:$B$50,2,FALSE)*J100+VLOOKUP(K100,Покрытия!$A$2:$B$50,2,FALSE)*L100)*F100)</f>
        <v>339.5172</v>
      </c>
      <c r="N100" s="50">
        <v>1</v>
      </c>
      <c r="O100" s="50">
        <f>M100*N100</f>
        <v>339.5172</v>
      </c>
      <c r="P100" s="9"/>
      <c r="Q100" s="50">
        <f t="array" ref="Q100">INDEX(Материалы!$C$2:$C$50,MATCH(G100,Материалы!$A$2:$A$50,0))</f>
        <v>32000</v>
      </c>
      <c r="R100" s="50">
        <f>FLOOR(Раскройка!$C$11/C100,1)*FLOOR(Раскройка!$D$11/B100,1)</f>
        <v>6</v>
      </c>
      <c r="S100" s="50">
        <f>MAX(Раскройка!$F$11-E100*R100,0)</f>
        <v>0</v>
      </c>
      <c r="T100" s="50">
        <f>Q100*S100</f>
        <v>0</v>
      </c>
    </row>
    <row r="102" spans="1:20" x14ac:dyDescent="0.25">
      <c r="A102" s="27"/>
      <c r="B102" s="27" t="s">
        <v>97</v>
      </c>
      <c r="C102" s="50" t="s">
        <v>98</v>
      </c>
      <c r="D102" s="50" t="s">
        <v>58</v>
      </c>
    </row>
    <row r="103" spans="1:20" x14ac:dyDescent="0.25">
      <c r="A103" s="50" t="s">
        <v>96</v>
      </c>
      <c r="B103" s="50">
        <v>1.32</v>
      </c>
      <c r="C103" s="50">
        <v>258</v>
      </c>
      <c r="D103" s="50">
        <f>B103*C103</f>
        <v>340.56</v>
      </c>
    </row>
    <row r="105" spans="1:20" x14ac:dyDescent="0.25">
      <c r="A105" s="50" t="s">
        <v>152</v>
      </c>
      <c r="B105" s="50">
        <v>2700</v>
      </c>
      <c r="C105" s="50">
        <v>60</v>
      </c>
      <c r="D105" s="50">
        <v>46</v>
      </c>
      <c r="E105" s="50">
        <f>B105*C105*D105/1000000000</f>
        <v>7.4520000000000003E-3</v>
      </c>
      <c r="F105" s="50">
        <f>B105*C105/1000000</f>
        <v>0.16200000000000001</v>
      </c>
      <c r="G105" s="50" t="s">
        <v>15</v>
      </c>
      <c r="H105" s="50">
        <f>ROUND(Q105+T105/Раскройка!$F$11,0)</f>
        <v>32000</v>
      </c>
      <c r="I105" s="50" t="s">
        <v>41</v>
      </c>
      <c r="J105" s="50">
        <v>2</v>
      </c>
      <c r="K105" s="50" t="s">
        <v>39</v>
      </c>
      <c r="L105" s="50">
        <v>4</v>
      </c>
      <c r="M105" s="50">
        <f>E105*H105+0.25*((VLOOKUP(I105,Покрытия!$A$2:$B$50,2,FALSE)*J105+VLOOKUP(K105,Покрытия!$A$2:$B$50,2,FALSE)*L105)*F105)</f>
        <v>505.76400000000001</v>
      </c>
      <c r="N105" s="50">
        <v>2</v>
      </c>
      <c r="O105" s="50">
        <f>M105*N105</f>
        <v>1011.528</v>
      </c>
      <c r="P105" s="9"/>
      <c r="Q105" s="50">
        <f t="array" ref="Q105">INDEX(Материалы!$C$2:$C$50,MATCH(G105,Материалы!$A$2:$A$50,0))</f>
        <v>32000</v>
      </c>
      <c r="R105" s="50">
        <f>FLOOR(Раскройка!$C$11/C105,1)*FLOOR(Раскройка!$D$11/B105,1)</f>
        <v>5</v>
      </c>
      <c r="S105" s="50">
        <f>MAX(Раскройка!$F$11-E105*R105,0)</f>
        <v>0</v>
      </c>
      <c r="T105" s="50">
        <f>Q105*S105</f>
        <v>0</v>
      </c>
    </row>
    <row r="106" spans="1:20" x14ac:dyDescent="0.25">
      <c r="A106" s="50" t="s">
        <v>153</v>
      </c>
      <c r="B106" s="50">
        <v>1055</v>
      </c>
      <c r="C106" s="50">
        <v>60</v>
      </c>
      <c r="D106" s="50">
        <v>46</v>
      </c>
      <c r="E106" s="50">
        <f>B106*C106*D106/1000000000</f>
        <v>2.9118E-3</v>
      </c>
      <c r="F106" s="50">
        <f>B106*C106/1000000</f>
        <v>6.3299999999999995E-2</v>
      </c>
      <c r="G106" s="50" t="s">
        <v>15</v>
      </c>
      <c r="H106" s="50">
        <f>ROUND(Q106+T106/Раскройка!$F$11,0)</f>
        <v>32000</v>
      </c>
      <c r="I106" s="50" t="s">
        <v>41</v>
      </c>
      <c r="J106" s="50">
        <v>2</v>
      </c>
      <c r="K106" s="50" t="s">
        <v>39</v>
      </c>
      <c r="L106" s="50">
        <v>4</v>
      </c>
      <c r="M106" s="50">
        <f>E106*H106+0.25*((VLOOKUP(I106,Покрытия!$A$2:$B$50,2,FALSE)*J106+VLOOKUP(K106,Покрытия!$A$2:$B$50,2,FALSE)*L106)*F106)</f>
        <v>197.62259999999998</v>
      </c>
      <c r="N106" s="50">
        <v>1</v>
      </c>
      <c r="O106" s="50">
        <f>M106*N106</f>
        <v>197.62259999999998</v>
      </c>
      <c r="P106" s="9"/>
      <c r="Q106" s="50">
        <f t="array" ref="Q106">INDEX(Материалы!$C$2:$C$50,MATCH(G106,Материалы!$A$2:$A$50,0))</f>
        <v>32000</v>
      </c>
      <c r="R106" s="50">
        <f>FLOOR(Раскройка!$C$11/C106,1)*FLOOR(Раскройка!$D$11/B106,1)</f>
        <v>10</v>
      </c>
      <c r="S106" s="50">
        <f>MAX(Раскройка!$F$11-E106*R106,0)</f>
        <v>0</v>
      </c>
      <c r="T106" s="50">
        <f>Q106*S106</f>
        <v>0</v>
      </c>
    </row>
    <row r="107" spans="1:20" x14ac:dyDescent="0.25">
      <c r="A107" s="50" t="s">
        <v>154</v>
      </c>
      <c r="B107" s="50">
        <v>2700</v>
      </c>
      <c r="C107" s="50">
        <v>245</v>
      </c>
      <c r="D107" s="50">
        <v>18</v>
      </c>
      <c r="E107" s="50">
        <f t="shared" ref="E107:E108" si="78">B107*C107/1000000</f>
        <v>0.66149999999999998</v>
      </c>
      <c r="F107" s="20"/>
      <c r="G107" s="7" t="s">
        <v>12</v>
      </c>
      <c r="H107" s="50">
        <f>ROUND(Q107+T107/Раскройка!$F$2,0)</f>
        <v>544</v>
      </c>
      <c r="I107" s="50" t="s">
        <v>41</v>
      </c>
      <c r="J107" s="50">
        <v>0</v>
      </c>
      <c r="K107" s="50" t="s">
        <v>39</v>
      </c>
      <c r="L107" s="50">
        <v>0</v>
      </c>
      <c r="M107" s="50">
        <f>E107*(0.25*(VLOOKUP(I107,Покрытия!$A$2:$B$40,2,FALSE)*J107+VLOOKUP(K107,Покрытия!$A$2:$B$40,2,FALSE)*L107)+H107)</f>
        <v>359.85599999999999</v>
      </c>
      <c r="N107" s="50">
        <v>2</v>
      </c>
      <c r="O107" s="50">
        <f t="shared" ref="O107:O108" si="79">M107*N107</f>
        <v>719.71199999999999</v>
      </c>
      <c r="P107" s="9"/>
      <c r="Q107" s="50">
        <f t="array" ref="Q107">INDEX(Материалы!$C$2:$C$50,MATCH(G107&amp;D107,Материалы!$A$2:$A$50&amp;Материалы!$B$2:$B$50,0))</f>
        <v>500</v>
      </c>
      <c r="R107" s="50">
        <f>FLOOR(Раскройка!$D$2/B107,1)*FLOOR(Раскройка!$C$2/C107,1)</f>
        <v>8</v>
      </c>
      <c r="S107" s="50">
        <f>MAX(Раскройка!$F$2-E107*R107,0)</f>
        <v>0.50800000000000001</v>
      </c>
      <c r="T107" s="50">
        <f t="shared" ref="T107:T108" si="80">Q107*S107</f>
        <v>254</v>
      </c>
    </row>
    <row r="108" spans="1:20" x14ac:dyDescent="0.25">
      <c r="A108" s="50" t="s">
        <v>154</v>
      </c>
      <c r="B108" s="50">
        <v>1055</v>
      </c>
      <c r="C108" s="50">
        <v>245</v>
      </c>
      <c r="D108" s="50">
        <v>18</v>
      </c>
      <c r="E108" s="50">
        <f t="shared" si="78"/>
        <v>0.25847500000000001</v>
      </c>
      <c r="F108" s="20"/>
      <c r="G108" s="7" t="s">
        <v>12</v>
      </c>
      <c r="H108" s="50">
        <f>ROUND(Q108+T108/Раскройка!$F$2,0)</f>
        <v>643</v>
      </c>
      <c r="I108" s="50" t="s">
        <v>41</v>
      </c>
      <c r="J108" s="50">
        <v>0</v>
      </c>
      <c r="K108" s="50" t="s">
        <v>39</v>
      </c>
      <c r="L108" s="50">
        <v>0</v>
      </c>
      <c r="M108" s="50">
        <f>E108*(0.25*(VLOOKUP(I108,Покрытия!$A$2:$B$40,2,FALSE)*J108+VLOOKUP(K108,Покрытия!$A$2:$B$40,2,FALSE)*L108)+H108)</f>
        <v>166.19942500000002</v>
      </c>
      <c r="N108" s="50">
        <v>1</v>
      </c>
      <c r="O108" s="50">
        <f t="shared" si="79"/>
        <v>166.19942500000002</v>
      </c>
      <c r="P108" s="9"/>
      <c r="Q108" s="50">
        <f t="array" ref="Q108">INDEX(Материалы!$C$2:$C$50,MATCH(G108&amp;D108,Материалы!$A$2:$A$50&amp;Материалы!$B$2:$B$50,0))</f>
        <v>500</v>
      </c>
      <c r="R108" s="50">
        <f>FLOOR(Раскройка!$D$2/B108,1)*FLOOR(Раскройка!$C$2/C108,1)</f>
        <v>16</v>
      </c>
      <c r="S108" s="50">
        <f>MAX(Раскройка!$F$2-E108*R108,0)</f>
        <v>1.6643999999999997</v>
      </c>
      <c r="T108" s="50">
        <f t="shared" si="80"/>
        <v>832.19999999999982</v>
      </c>
    </row>
    <row r="109" spans="1:20" x14ac:dyDescent="0.25">
      <c r="A109" s="27"/>
      <c r="B109" s="27" t="s">
        <v>97</v>
      </c>
      <c r="C109" s="50" t="s">
        <v>98</v>
      </c>
      <c r="D109" s="50" t="s">
        <v>58</v>
      </c>
    </row>
    <row r="110" spans="1:20" x14ac:dyDescent="0.25">
      <c r="A110" s="50" t="s">
        <v>96</v>
      </c>
      <c r="B110" s="50">
        <f>(860-320+1812-1145+3132-1294)/1000</f>
        <v>3.0449999999999999</v>
      </c>
      <c r="C110" s="50">
        <v>258</v>
      </c>
      <c r="D110" s="50">
        <f>B110*C110</f>
        <v>785.61</v>
      </c>
    </row>
  </sheetData>
  <mergeCells count="1">
    <mergeCell ref="E2:E4"/>
  </mergeCells>
  <pageMargins left="0.7" right="0.7" top="0.75" bottom="0.75" header="0.3" footer="0.3"/>
  <pageSetup paperSize="8" scale="68" fitToHeight="0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4"/>
  <sheetViews>
    <sheetView workbookViewId="0">
      <selection activeCell="A2" sqref="A2:D2"/>
    </sheetView>
  </sheetViews>
  <sheetFormatPr defaultRowHeight="15" x14ac:dyDescent="0.25"/>
  <cols>
    <col min="1" max="1" width="26.5703125" customWidth="1"/>
    <col min="3" max="3" width="17.5703125" customWidth="1"/>
    <col min="7" max="7" width="16" customWidth="1"/>
    <col min="8" max="8" width="16.140625" customWidth="1"/>
    <col min="9" max="9" width="10.85546875" customWidth="1"/>
    <col min="10" max="10" width="13.7109375" customWidth="1"/>
    <col min="11" max="11" width="12.140625" customWidth="1"/>
    <col min="12" max="12" width="14.7109375" customWidth="1"/>
    <col min="13" max="13" width="14.85546875" customWidth="1"/>
    <col min="14" max="14" width="15.42578125" customWidth="1"/>
    <col min="16" max="16" width="0" hidden="1" customWidth="1"/>
    <col min="17" max="20" width="9.140625" hidden="1" customWidth="1"/>
    <col min="21" max="21" width="0" hidden="1" customWidth="1"/>
  </cols>
  <sheetData>
    <row r="1" spans="1:20" x14ac:dyDescent="0.25">
      <c r="A1" s="52" t="s">
        <v>92</v>
      </c>
      <c r="B1" s="53" t="s">
        <v>91</v>
      </c>
      <c r="C1" s="53" t="s">
        <v>172</v>
      </c>
      <c r="D1" s="53" t="s">
        <v>58</v>
      </c>
      <c r="F1" s="92" t="s">
        <v>174</v>
      </c>
      <c r="G1" s="93"/>
      <c r="H1" s="93"/>
      <c r="I1" s="93"/>
      <c r="J1" s="93"/>
      <c r="K1" s="93"/>
      <c r="L1" s="93"/>
      <c r="M1" s="93"/>
    </row>
    <row r="2" spans="1:20" x14ac:dyDescent="0.25">
      <c r="A2" s="35" t="s">
        <v>158</v>
      </c>
      <c r="B2" s="51">
        <v>13</v>
      </c>
      <c r="C2" s="53">
        <f>ROUND(SUM(O6:O9),0)</f>
        <v>7015</v>
      </c>
      <c r="D2" s="53">
        <f>C2*B2</f>
        <v>91195</v>
      </c>
      <c r="F2" s="93"/>
      <c r="G2" s="93"/>
      <c r="H2" s="93"/>
      <c r="I2" s="93"/>
      <c r="J2" s="93"/>
      <c r="K2" s="93"/>
      <c r="L2" s="93"/>
      <c r="M2" s="93"/>
    </row>
    <row r="5" spans="1:20" x14ac:dyDescent="0.25">
      <c r="A5" s="53" t="s">
        <v>32</v>
      </c>
      <c r="B5" s="53" t="s">
        <v>20</v>
      </c>
      <c r="C5" s="53" t="s">
        <v>19</v>
      </c>
      <c r="D5" s="53" t="s">
        <v>21</v>
      </c>
      <c r="E5" s="53" t="s">
        <v>22</v>
      </c>
      <c r="F5" s="7" t="s">
        <v>26</v>
      </c>
      <c r="G5" s="7" t="s">
        <v>49</v>
      </c>
      <c r="H5" s="53" t="s">
        <v>46</v>
      </c>
      <c r="I5" s="53" t="s">
        <v>35</v>
      </c>
      <c r="J5" s="53" t="s">
        <v>47</v>
      </c>
      <c r="K5" s="53" t="s">
        <v>35</v>
      </c>
      <c r="L5" s="53" t="s">
        <v>47</v>
      </c>
      <c r="M5" s="7" t="s">
        <v>48</v>
      </c>
      <c r="N5" s="53" t="s">
        <v>59</v>
      </c>
      <c r="O5" s="53" t="s">
        <v>58</v>
      </c>
      <c r="P5" s="9"/>
    </row>
    <row r="6" spans="1:20" x14ac:dyDescent="0.25">
      <c r="A6" s="53" t="s">
        <v>153</v>
      </c>
      <c r="B6" s="53">
        <v>2000</v>
      </c>
      <c r="C6" s="53">
        <v>80</v>
      </c>
      <c r="D6" s="53">
        <v>45</v>
      </c>
      <c r="E6" s="53">
        <f>B6*C6*D6/1000000000</f>
        <v>7.1999999999999998E-3</v>
      </c>
      <c r="F6" s="53">
        <f>B6*C6/1000000</f>
        <v>0.16</v>
      </c>
      <c r="G6" s="53" t="s">
        <v>15</v>
      </c>
      <c r="H6" s="53">
        <f>ROUND(Q6+T6/Раскройка!$F$11,0)</f>
        <v>33280</v>
      </c>
      <c r="I6" s="53" t="s">
        <v>41</v>
      </c>
      <c r="J6" s="53">
        <v>2</v>
      </c>
      <c r="K6" s="53" t="s">
        <v>39</v>
      </c>
      <c r="L6" s="53">
        <v>4</v>
      </c>
      <c r="M6" s="53">
        <f>E6*H6+0.25*((VLOOKUP(I6,Покрытия!$A$2:$B$50,2,FALSE)*J6+VLOOKUP(K6,Покрытия!$A$2:$B$50,2,FALSE)*L6)*F6)</f>
        <v>503.61599999999999</v>
      </c>
      <c r="N6" s="53">
        <v>1</v>
      </c>
      <c r="O6" s="53">
        <f>M6*N6</f>
        <v>503.61599999999999</v>
      </c>
      <c r="P6" s="9"/>
      <c r="Q6" s="53">
        <f t="array" ref="Q6">INDEX(Материалы!$C$2:$C$50,MATCH(G6,Материалы!$A$2:$A$50,0))</f>
        <v>32000</v>
      </c>
      <c r="R6" s="53">
        <f>FLOOR(Раскройка!$C$11/C6,1)*FLOOR(Раскройка!$D$11/B6,1)</f>
        <v>3</v>
      </c>
      <c r="S6" s="53">
        <f>MAX(Раскройка!$F$11-E6*R6,0)</f>
        <v>8.9999999999999802E-4</v>
      </c>
      <c r="T6" s="53">
        <f>Q6*S6</f>
        <v>28.799999999999937</v>
      </c>
    </row>
    <row r="7" spans="1:20" x14ac:dyDescent="0.25">
      <c r="A7" s="53" t="s">
        <v>156</v>
      </c>
      <c r="B7" s="53">
        <v>2000</v>
      </c>
      <c r="C7" s="53">
        <v>300</v>
      </c>
      <c r="D7" s="53">
        <v>18</v>
      </c>
      <c r="E7" s="53">
        <f t="shared" ref="E7" si="0">B7*C7/1000000</f>
        <v>0.6</v>
      </c>
      <c r="F7" s="20"/>
      <c r="G7" s="7" t="s">
        <v>12</v>
      </c>
      <c r="H7" s="53">
        <f>ROUND(Q7+T7/Раскройка!$F$2,0)</f>
        <v>690</v>
      </c>
      <c r="I7" s="53" t="s">
        <v>41</v>
      </c>
      <c r="J7" s="53">
        <v>2</v>
      </c>
      <c r="K7" s="53" t="s">
        <v>39</v>
      </c>
      <c r="L7" s="53">
        <v>4</v>
      </c>
      <c r="M7" s="53">
        <f>E7*(0.25*(VLOOKUP(I7,Покрытия!$A$2:$B$40,2,FALSE)*J7+VLOOKUP(K7,Покрытия!$A$2:$B$40,2,FALSE)*L7)+H7)</f>
        <v>1404</v>
      </c>
      <c r="N7" s="53">
        <v>1</v>
      </c>
      <c r="O7" s="53">
        <f t="shared" ref="O7" si="1">M7*N7</f>
        <v>1404</v>
      </c>
      <c r="P7" s="9"/>
      <c r="Q7" s="53">
        <f t="array" ref="Q7">INDEX(Материалы!$C$2:$C$50,MATCH(G7&amp;D7,Материалы!$A$2:$A$50&amp;Материалы!$B$2:$B$50,0))</f>
        <v>500</v>
      </c>
      <c r="R7" s="53">
        <f>FLOOR(Раскройка!$D$2/B7,1)*FLOOR(Раскройка!$C$2/C7,1)</f>
        <v>6</v>
      </c>
      <c r="S7" s="53">
        <f>MAX(Раскройка!$F$2-E7*R7,0)</f>
        <v>2.2000000000000002</v>
      </c>
      <c r="T7" s="53">
        <f t="shared" ref="T7" si="2">Q7*S7</f>
        <v>1100</v>
      </c>
    </row>
    <row r="8" spans="1:20" x14ac:dyDescent="0.25">
      <c r="A8" s="53" t="s">
        <v>152</v>
      </c>
      <c r="B8" s="53">
        <v>2800</v>
      </c>
      <c r="C8" s="53">
        <v>80</v>
      </c>
      <c r="D8" s="53">
        <v>45</v>
      </c>
      <c r="E8" s="53">
        <f>B8*C8*D8/1000000000</f>
        <v>1.008E-2</v>
      </c>
      <c r="F8" s="53">
        <f>B8*C8/1000000</f>
        <v>0.224</v>
      </c>
      <c r="G8" s="53" t="s">
        <v>15</v>
      </c>
      <c r="H8" s="53">
        <f>ROUND(Q8+T8/Раскройка!$F$11,0)</f>
        <v>32000</v>
      </c>
      <c r="I8" s="53" t="s">
        <v>41</v>
      </c>
      <c r="J8" s="53">
        <v>2</v>
      </c>
      <c r="K8" s="53" t="s">
        <v>39</v>
      </c>
      <c r="L8" s="53">
        <v>4</v>
      </c>
      <c r="M8" s="53">
        <f>E8*H8+0.25*((VLOOKUP(I8,Покрытия!$A$2:$B$50,2,FALSE)*J8+VLOOKUP(K8,Покрытия!$A$2:$B$50,2,FALSE)*L8)*F8)</f>
        <v>692.16000000000008</v>
      </c>
      <c r="N8" s="53">
        <v>2</v>
      </c>
      <c r="O8" s="53">
        <f>M8*N8</f>
        <v>1384.3200000000002</v>
      </c>
      <c r="P8" s="9"/>
      <c r="Q8" s="53">
        <f t="array" ref="Q8">INDEX(Материалы!$C$2:$C$50,MATCH(G8,Материалы!$A$2:$A$50,0))</f>
        <v>32000</v>
      </c>
      <c r="R8" s="53">
        <f>FLOOR(Раскройка!$C$11/C8,1)*FLOOR(Раскройка!$D$11/B8,1)</f>
        <v>3</v>
      </c>
      <c r="S8" s="53">
        <f>MAX(Раскройка!$F$11-E8*R8,0)</f>
        <v>0</v>
      </c>
      <c r="T8" s="53">
        <f>Q8*S8</f>
        <v>0</v>
      </c>
    </row>
    <row r="9" spans="1:20" x14ac:dyDescent="0.25">
      <c r="A9" s="53" t="s">
        <v>157</v>
      </c>
      <c r="B9" s="53">
        <v>2800</v>
      </c>
      <c r="C9" s="53">
        <v>300</v>
      </c>
      <c r="D9" s="53">
        <v>18</v>
      </c>
      <c r="E9" s="53">
        <f t="shared" ref="E9" si="3">B9*C9/1000000</f>
        <v>0.84</v>
      </c>
      <c r="F9" s="20"/>
      <c r="G9" s="7" t="s">
        <v>12</v>
      </c>
      <c r="H9" s="53">
        <f>ROUND(Q9+T9/Раскройка!$F$2,0)</f>
        <v>566</v>
      </c>
      <c r="I9" s="53" t="s">
        <v>41</v>
      </c>
      <c r="J9" s="53">
        <v>2</v>
      </c>
      <c r="K9" s="53" t="s">
        <v>39</v>
      </c>
      <c r="L9" s="53">
        <v>4</v>
      </c>
      <c r="M9" s="53">
        <f>E9*(0.25*(VLOOKUP(I9,Покрытия!$A$2:$B$40,2,FALSE)*J9+VLOOKUP(K9,Покрытия!$A$2:$B$40,2,FALSE)*L9)+H9)</f>
        <v>1861.4399999999998</v>
      </c>
      <c r="N9" s="53">
        <v>2</v>
      </c>
      <c r="O9" s="53">
        <f t="shared" ref="O9" si="4">M9*N9</f>
        <v>3722.8799999999997</v>
      </c>
      <c r="P9" s="9"/>
      <c r="Q9" s="53">
        <f t="array" ref="Q9">INDEX(Материалы!$C$2:$C$50,MATCH(G9&amp;D9,Материалы!$A$2:$A$50&amp;Материалы!$B$2:$B$50,0))</f>
        <v>500</v>
      </c>
      <c r="R9" s="53">
        <f>FLOOR(Раскройка!$D$2/B9,1)*FLOOR(Раскройка!$C$2/C9,1)</f>
        <v>6</v>
      </c>
      <c r="S9" s="53">
        <f>MAX(Раскройка!$F$2-E9*R9,0)</f>
        <v>0.75999999999999979</v>
      </c>
      <c r="T9" s="53">
        <f t="shared" ref="T9" si="5">Q9*S9</f>
        <v>379.99999999999989</v>
      </c>
    </row>
    <row r="11" spans="1:20" x14ac:dyDescent="0.25">
      <c r="P11" s="9"/>
      <c r="Q11" s="53" t="e">
        <f t="array" ref="Q11">INDEX(Материалы!$C$2:$C$50,MATCH(#REF!,Материалы!$A$2:$A$50,0))</f>
        <v>#REF!</v>
      </c>
      <c r="R11" s="53" t="e">
        <f>FLOOR(Раскройка!$C$11/#REF!,1)*FLOOR(Раскройка!$D$11/#REF!,1)</f>
        <v>#REF!</v>
      </c>
      <c r="S11" s="53" t="e">
        <f>MAX(Раскройка!$F$11-#REF!*R11,0)</f>
        <v>#REF!</v>
      </c>
      <c r="T11" s="53" t="e">
        <f>Q11*S11</f>
        <v>#REF!</v>
      </c>
    </row>
    <row r="12" spans="1:20" x14ac:dyDescent="0.25">
      <c r="P12" s="9"/>
      <c r="Q12" s="53" t="e">
        <f t="array" ref="Q12">INDEX(Материалы!$C$2:$C$50,MATCH(#REF!&amp;#REF!,Материалы!$A$2:$A$50&amp;Материалы!$B$2:$B$50,0))</f>
        <v>#REF!</v>
      </c>
      <c r="R12" s="53" t="e">
        <f>FLOOR(Раскройка!$D$2/#REF!,1)*FLOOR(Раскройка!$C$2/#REF!,1)</f>
        <v>#REF!</v>
      </c>
      <c r="S12" s="53" t="e">
        <f>MAX(Раскройка!$F$2-#REF!*R12,0)</f>
        <v>#REF!</v>
      </c>
      <c r="T12" s="53" t="e">
        <f t="shared" ref="T12" si="6">Q12*S12</f>
        <v>#REF!</v>
      </c>
    </row>
    <row r="13" spans="1:20" x14ac:dyDescent="0.25">
      <c r="P13" s="9"/>
      <c r="Q13" s="53" t="e">
        <f t="array" ref="Q13">INDEX(Материалы!$C$2:$C$50,MATCH(#REF!,Материалы!$A$2:$A$50,0))</f>
        <v>#REF!</v>
      </c>
      <c r="R13" s="53" t="e">
        <f>FLOOR(Раскройка!$C$11/#REF!,1)*FLOOR(Раскройка!$D$11/#REF!,1)</f>
        <v>#REF!</v>
      </c>
      <c r="S13" s="53" t="e">
        <f>MAX(Раскройка!$F$11-#REF!*R13,0)</f>
        <v>#REF!</v>
      </c>
      <c r="T13" s="53" t="e">
        <f>Q13*S13</f>
        <v>#REF!</v>
      </c>
    </row>
    <row r="14" spans="1:20" x14ac:dyDescent="0.25">
      <c r="P14" s="9"/>
      <c r="Q14" s="53" t="e">
        <f t="array" ref="Q14">INDEX(Материалы!$C$2:$C$50,MATCH(#REF!&amp;#REF!,Материалы!$A$2:$A$50&amp;Материалы!$B$2:$B$50,0))</f>
        <v>#REF!</v>
      </c>
      <c r="R14" s="53" t="e">
        <f>FLOOR(Раскройка!$D$2/#REF!,1)*FLOOR(Раскройка!$C$2/#REF!,1)</f>
        <v>#REF!</v>
      </c>
      <c r="S14" s="53" t="e">
        <f>MAX(Раскройка!$F$2-#REF!*R14,0)</f>
        <v>#REF!</v>
      </c>
      <c r="T14" s="53" t="e">
        <f t="shared" ref="T14" si="7">Q14*S14</f>
        <v>#REF!</v>
      </c>
    </row>
  </sheetData>
  <mergeCells count="1">
    <mergeCell ref="F1:M2"/>
  </mergeCells>
  <pageMargins left="0.7" right="0.7" top="0.75" bottom="0.75" header="0.3" footer="0.3"/>
  <pageSetup paperSize="9" scale="64" fitToHeight="0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0"/>
  <sheetViews>
    <sheetView workbookViewId="0">
      <selection sqref="A1:W11"/>
    </sheetView>
  </sheetViews>
  <sheetFormatPr defaultRowHeight="15" x14ac:dyDescent="0.25"/>
  <cols>
    <col min="1" max="1" width="19.85546875" customWidth="1"/>
    <col min="3" max="3" width="13.42578125" customWidth="1"/>
    <col min="7" max="7" width="20.140625" customWidth="1"/>
    <col min="8" max="8" width="17.7109375" customWidth="1"/>
    <col min="9" max="9" width="11" customWidth="1"/>
    <col min="14" max="14" width="0" hidden="1" customWidth="1"/>
    <col min="17" max="22" width="0" hidden="1" customWidth="1"/>
  </cols>
  <sheetData>
    <row r="1" spans="1:27" x14ac:dyDescent="0.25">
      <c r="A1" s="52" t="s">
        <v>92</v>
      </c>
      <c r="B1" s="53" t="s">
        <v>91</v>
      </c>
      <c r="C1" s="53" t="s">
        <v>168</v>
      </c>
      <c r="D1" s="53" t="s">
        <v>58</v>
      </c>
      <c r="F1" s="92" t="s">
        <v>96</v>
      </c>
      <c r="G1" s="92"/>
      <c r="H1" s="92"/>
    </row>
    <row r="2" spans="1:27" x14ac:dyDescent="0.25">
      <c r="A2" s="35" t="s">
        <v>96</v>
      </c>
      <c r="B2" s="51">
        <v>47</v>
      </c>
      <c r="C2" s="53">
        <f>ROUND(SUM(M5:M10),0)</f>
        <v>567</v>
      </c>
      <c r="D2" s="53">
        <f>C2*B2</f>
        <v>26649</v>
      </c>
      <c r="F2" s="92"/>
      <c r="G2" s="92"/>
      <c r="H2" s="92"/>
    </row>
    <row r="4" spans="1:27" x14ac:dyDescent="0.25">
      <c r="A4" s="7" t="s">
        <v>162</v>
      </c>
      <c r="B4" s="7" t="s">
        <v>20</v>
      </c>
      <c r="C4" s="7" t="s">
        <v>19</v>
      </c>
      <c r="D4" s="7" t="s">
        <v>21</v>
      </c>
      <c r="E4" s="7" t="s">
        <v>22</v>
      </c>
      <c r="F4" s="7" t="s">
        <v>56</v>
      </c>
      <c r="G4" s="8" t="s">
        <v>49</v>
      </c>
      <c r="H4" s="8" t="s">
        <v>46</v>
      </c>
      <c r="I4" s="7" t="s">
        <v>35</v>
      </c>
      <c r="J4" s="8" t="s">
        <v>163</v>
      </c>
      <c r="K4" s="7" t="s">
        <v>35</v>
      </c>
      <c r="L4" s="8" t="s">
        <v>163</v>
      </c>
      <c r="M4" s="7" t="s">
        <v>61</v>
      </c>
      <c r="N4" s="7" t="s">
        <v>58</v>
      </c>
      <c r="O4" s="55"/>
      <c r="P4" s="55"/>
      <c r="Q4" s="8" t="s">
        <v>46</v>
      </c>
      <c r="R4" s="8" t="s">
        <v>53</v>
      </c>
      <c r="S4" s="8" t="s">
        <v>164</v>
      </c>
      <c r="T4" s="8" t="s">
        <v>165</v>
      </c>
      <c r="U4" s="8" t="s">
        <v>166</v>
      </c>
      <c r="V4" s="8" t="s">
        <v>167</v>
      </c>
      <c r="W4" s="9"/>
      <c r="X4" s="9"/>
    </row>
    <row r="5" spans="1:27" x14ac:dyDescent="0.25">
      <c r="A5" s="53" t="s">
        <v>160</v>
      </c>
      <c r="B5" s="53">
        <v>1000</v>
      </c>
      <c r="C5" s="53">
        <v>35</v>
      </c>
      <c r="D5" s="53">
        <v>40</v>
      </c>
      <c r="E5" s="53">
        <f>C5*B5/1000000</f>
        <v>3.5000000000000003E-2</v>
      </c>
      <c r="F5" s="53">
        <f>B5*C5*D5/1000000000</f>
        <v>1.4E-3</v>
      </c>
      <c r="G5" s="53" t="s">
        <v>13</v>
      </c>
      <c r="H5" s="53">
        <f>ROUND(Q5+V5/$C$6,0)</f>
        <v>28000</v>
      </c>
      <c r="I5" s="53" t="s">
        <v>41</v>
      </c>
      <c r="J5" s="53">
        <v>2</v>
      </c>
      <c r="K5" s="53" t="s">
        <v>39</v>
      </c>
      <c r="L5" s="53">
        <v>4</v>
      </c>
      <c r="M5" s="53">
        <f>F5*(0.25*(VLOOKUP(I5,[3]Покрытия!$A$2:$B$8,2,FALSE)*J5+VLOOKUP(K5,[3]Покрытия!$A$2:$B$8,2,FALSE)*L5)+H5)</f>
        <v>41.51</v>
      </c>
      <c r="N5" s="53"/>
      <c r="O5" s="9"/>
      <c r="P5" s="9"/>
      <c r="Q5" s="53">
        <f t="array" ref="Q5">INDEX([3]Материалы!$C$2:$C$50,MATCH(G5,[3]Материалы!$A$2:$A$34,0))</f>
        <v>28000</v>
      </c>
      <c r="R5" s="53">
        <f>FLOOR([3]Листы!B$40/B5,1)*FLOOR([3]Листы!C$40/C5,1)</f>
        <v>118</v>
      </c>
      <c r="S5" s="53">
        <v>1</v>
      </c>
      <c r="T5" s="53">
        <f t="shared" ref="T5:T7" si="0">CEILING(S5/R5,1)</f>
        <v>1</v>
      </c>
      <c r="U5" s="53">
        <f>MAX($C$6-R5*C5,0)</f>
        <v>0</v>
      </c>
      <c r="V5" s="53">
        <f t="shared" ref="V5:V7" si="1">Q5*U5</f>
        <v>0</v>
      </c>
      <c r="W5" s="9"/>
      <c r="X5" s="9"/>
      <c r="Y5" s="54"/>
      <c r="Z5" s="54"/>
      <c r="AA5" s="54"/>
    </row>
    <row r="6" spans="1:27" x14ac:dyDescent="0.25">
      <c r="A6" s="53" t="s">
        <v>161</v>
      </c>
      <c r="B6" s="53">
        <v>1000</v>
      </c>
      <c r="C6" s="53">
        <v>90</v>
      </c>
      <c r="D6" s="53">
        <v>25</v>
      </c>
      <c r="E6" s="53">
        <f>C6*B6/1000000</f>
        <v>0.09</v>
      </c>
      <c r="F6" s="53">
        <f>B6*C6*D6/1000000000</f>
        <v>2.2499999999999998E-3</v>
      </c>
      <c r="G6" s="53" t="s">
        <v>13</v>
      </c>
      <c r="H6" s="53">
        <f>ROUND(Q6+V6/$C$6,0)</f>
        <v>28000</v>
      </c>
      <c r="I6" s="53" t="s">
        <v>41</v>
      </c>
      <c r="J6" s="53">
        <v>2</v>
      </c>
      <c r="K6" s="53" t="s">
        <v>39</v>
      </c>
      <c r="L6" s="53">
        <v>4</v>
      </c>
      <c r="M6" s="53">
        <f>F6*(0.25*(VLOOKUP(I6,[3]Покрытия!$A$2:$B$8,2,FALSE)*J6+VLOOKUP(K6,[3]Покрытия!$A$2:$B$8,2,FALSE)*L6)+H6)</f>
        <v>66.712499999999991</v>
      </c>
      <c r="N6" s="53"/>
      <c r="O6" s="9"/>
      <c r="P6" s="9"/>
      <c r="Q6" s="53">
        <f t="array" ref="Q6">INDEX([3]Материалы!$C$2:$C$50,MATCH(G6,[3]Материалы!$A$2:$A$34,0))</f>
        <v>28000</v>
      </c>
      <c r="R6" s="53">
        <f>FLOOR([3]Листы!B$40/B6,1)*FLOOR([3]Листы!C$40/C6,1)</f>
        <v>46</v>
      </c>
      <c r="S6" s="53">
        <v>1</v>
      </c>
      <c r="T6" s="53">
        <f t="shared" si="0"/>
        <v>1</v>
      </c>
      <c r="U6" s="53">
        <f>MAX($C$6-R6*C6,0)</f>
        <v>0</v>
      </c>
      <c r="V6" s="53">
        <f t="shared" si="1"/>
        <v>0</v>
      </c>
      <c r="W6" s="9"/>
      <c r="X6" s="9"/>
      <c r="Y6" s="54"/>
      <c r="Z6" s="54"/>
      <c r="AA6" s="54"/>
    </row>
    <row r="7" spans="1:27" x14ac:dyDescent="0.25">
      <c r="A7" s="53" t="s">
        <v>169</v>
      </c>
      <c r="B7" s="53">
        <v>1000</v>
      </c>
      <c r="C7" s="53">
        <v>200</v>
      </c>
      <c r="D7" s="53">
        <v>16</v>
      </c>
      <c r="E7" s="53">
        <f>C7*B7/1000000</f>
        <v>0.2</v>
      </c>
      <c r="F7" s="53"/>
      <c r="G7" s="53" t="s">
        <v>12</v>
      </c>
      <c r="H7" s="53">
        <f>ROUND(Q7+V7/$C$6,0)</f>
        <v>646</v>
      </c>
      <c r="I7" s="53" t="s">
        <v>41</v>
      </c>
      <c r="J7" s="53">
        <v>2</v>
      </c>
      <c r="K7" s="53" t="s">
        <v>39</v>
      </c>
      <c r="L7" s="53">
        <v>4</v>
      </c>
      <c r="M7" s="53">
        <f>E7*(0.25*(VLOOKUP(I7,[3]Покрытия!$A$2:$B$8,2,FALSE)*J7+VLOOKUP(K7,[3]Покрытия!$A$2:$B$8,2,FALSE)*L7)+H7)</f>
        <v>459.20000000000005</v>
      </c>
      <c r="N7" s="53"/>
      <c r="O7" s="9"/>
      <c r="P7" s="9"/>
      <c r="Q7" s="53">
        <f t="array" ref="Q7">INDEX([3]Материалы!$C$2:$C$50,MATCH(G7&amp;D7,[3]Материалы!$A$2:$A$50&amp;[3]Материалы!$B$2:$B$50,0))</f>
        <v>646</v>
      </c>
      <c r="R7" s="53">
        <f>FLOOR([3]Листы!B$40/B7,1)*FLOOR([3]Листы!C$40/C7,1)</f>
        <v>20</v>
      </c>
      <c r="S7" s="53">
        <v>1</v>
      </c>
      <c r="T7" s="53">
        <f t="shared" si="0"/>
        <v>1</v>
      </c>
      <c r="U7" s="53">
        <f>MAX($C$6-R7*C7,0)</f>
        <v>0</v>
      </c>
      <c r="V7" s="53">
        <f t="shared" si="1"/>
        <v>0</v>
      </c>
      <c r="W7" s="9"/>
      <c r="X7" s="9"/>
      <c r="Y7" s="54"/>
      <c r="Z7" s="54"/>
      <c r="AA7" s="54"/>
    </row>
    <row r="8" spans="1:27" hidden="1" x14ac:dyDescent="0.25">
      <c r="A8" s="53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9"/>
      <c r="P8" s="9"/>
      <c r="Q8" s="53"/>
      <c r="R8" s="53"/>
      <c r="S8" s="53"/>
      <c r="T8" s="53"/>
      <c r="U8" s="53"/>
      <c r="V8" s="53"/>
      <c r="W8" s="9"/>
      <c r="X8" s="9"/>
      <c r="Y8" s="54"/>
      <c r="Z8" s="54"/>
      <c r="AA8" s="54"/>
    </row>
    <row r="9" spans="1:27" hidden="1" x14ac:dyDescent="0.25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9"/>
      <c r="P9" s="9"/>
      <c r="Q9" s="53"/>
      <c r="R9" s="53"/>
      <c r="S9" s="53"/>
      <c r="T9" s="53"/>
      <c r="U9" s="53"/>
      <c r="V9" s="53"/>
      <c r="W9" s="9"/>
      <c r="X9" s="9"/>
      <c r="Y9" s="54"/>
      <c r="Z9" s="54"/>
      <c r="AA9" s="54"/>
    </row>
    <row r="10" spans="1:27" hidden="1" x14ac:dyDescent="0.25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9"/>
      <c r="P10" s="9"/>
      <c r="Q10" s="53"/>
      <c r="R10" s="53"/>
      <c r="S10" s="53"/>
      <c r="T10" s="53"/>
      <c r="U10" s="53"/>
      <c r="V10" s="53"/>
      <c r="W10" s="9"/>
      <c r="X10" s="9"/>
      <c r="Y10" s="54"/>
      <c r="Z10" s="54"/>
      <c r="AA10" s="54"/>
    </row>
  </sheetData>
  <mergeCells count="1">
    <mergeCell ref="F1:H2"/>
  </mergeCells>
  <pageMargins left="0.7" right="0.7" top="0.75" bottom="0.75" header="0.3" footer="0.3"/>
  <pageSetup paperSize="9" scale="84" fitToHeight="0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"/>
  <sheetViews>
    <sheetView workbookViewId="0">
      <selection sqref="A1:AA9"/>
    </sheetView>
  </sheetViews>
  <sheetFormatPr defaultRowHeight="15" x14ac:dyDescent="0.25"/>
  <cols>
    <col min="1" max="1" width="26.5703125" customWidth="1"/>
    <col min="7" max="7" width="14.42578125" customWidth="1"/>
    <col min="8" max="8" width="18.140625" customWidth="1"/>
    <col min="10" max="10" width="13.140625" customWidth="1"/>
    <col min="12" max="12" width="16" customWidth="1"/>
    <col min="13" max="13" width="14.85546875" customWidth="1"/>
    <col min="14" max="14" width="16.42578125" customWidth="1"/>
    <col min="17" max="20" width="0" hidden="1" customWidth="1"/>
  </cols>
  <sheetData>
    <row r="1" spans="1:20" x14ac:dyDescent="0.25">
      <c r="A1" s="52" t="s">
        <v>92</v>
      </c>
      <c r="B1" s="53" t="s">
        <v>91</v>
      </c>
      <c r="C1" s="53" t="s">
        <v>61</v>
      </c>
      <c r="D1" s="53" t="s">
        <v>58</v>
      </c>
      <c r="F1" s="92" t="s">
        <v>170</v>
      </c>
      <c r="G1" s="93"/>
      <c r="H1" s="93"/>
      <c r="I1" s="93"/>
      <c r="J1" s="93"/>
      <c r="K1" s="93"/>
      <c r="L1" s="93"/>
      <c r="M1" s="93"/>
    </row>
    <row r="2" spans="1:20" ht="14.25" customHeight="1" x14ac:dyDescent="0.25">
      <c r="A2" s="35" t="s">
        <v>171</v>
      </c>
      <c r="B2" s="53">
        <v>1</v>
      </c>
      <c r="C2" s="53">
        <f>ROUND(SUM(O6:O9),0)</f>
        <v>8093</v>
      </c>
      <c r="D2" s="53">
        <f>C2*B2</f>
        <v>8093</v>
      </c>
      <c r="F2" s="93"/>
      <c r="G2" s="93"/>
      <c r="H2" s="93"/>
      <c r="I2" s="93"/>
      <c r="J2" s="93"/>
      <c r="K2" s="93"/>
      <c r="L2" s="93"/>
      <c r="M2" s="93"/>
    </row>
    <row r="3" spans="1:20" x14ac:dyDescent="0.25">
      <c r="A3" s="56"/>
      <c r="B3" s="16"/>
      <c r="C3" s="16"/>
      <c r="D3" s="16"/>
    </row>
    <row r="5" spans="1:20" x14ac:dyDescent="0.25">
      <c r="A5" s="53" t="s">
        <v>32</v>
      </c>
      <c r="B5" s="53" t="s">
        <v>20</v>
      </c>
      <c r="C5" s="53" t="s">
        <v>19</v>
      </c>
      <c r="D5" s="53" t="s">
        <v>21</v>
      </c>
      <c r="E5" s="53" t="s">
        <v>22</v>
      </c>
      <c r="F5" s="7" t="s">
        <v>26</v>
      </c>
      <c r="G5" s="7" t="s">
        <v>49</v>
      </c>
      <c r="H5" s="53" t="s">
        <v>46</v>
      </c>
      <c r="I5" s="53" t="s">
        <v>35</v>
      </c>
      <c r="J5" s="53" t="s">
        <v>47</v>
      </c>
      <c r="K5" s="53" t="s">
        <v>35</v>
      </c>
      <c r="L5" s="53" t="s">
        <v>47</v>
      </c>
      <c r="M5" s="7" t="s">
        <v>48</v>
      </c>
      <c r="N5" s="53" t="s">
        <v>59</v>
      </c>
      <c r="O5" s="53" t="s">
        <v>58</v>
      </c>
      <c r="P5" s="9"/>
    </row>
    <row r="6" spans="1:20" x14ac:dyDescent="0.25">
      <c r="A6" s="53" t="s">
        <v>153</v>
      </c>
      <c r="B6" s="53">
        <v>2000</v>
      </c>
      <c r="C6" s="53">
        <v>125</v>
      </c>
      <c r="D6" s="53">
        <v>45</v>
      </c>
      <c r="E6" s="53">
        <f>B6*C6*D6/1000000000</f>
        <v>1.125E-2</v>
      </c>
      <c r="F6" s="53">
        <f>B6*C6/1000000</f>
        <v>0.25</v>
      </c>
      <c r="G6" s="53" t="s">
        <v>15</v>
      </c>
      <c r="H6" s="53">
        <f>ROUND(Q6+T6/Раскройка!$F$11,0)</f>
        <v>32000</v>
      </c>
      <c r="I6" s="53" t="s">
        <v>41</v>
      </c>
      <c r="J6" s="53">
        <v>2</v>
      </c>
      <c r="K6" s="53" t="s">
        <v>39</v>
      </c>
      <c r="L6" s="53">
        <v>4</v>
      </c>
      <c r="M6" s="53">
        <f>E6*H6+0.25*((VLOOKUP(I6,Покрытия!$A$2:$B$50,2,FALSE)*J6+VLOOKUP(K6,Покрытия!$A$2:$B$50,2,FALSE)*L6)*F6)</f>
        <v>772.5</v>
      </c>
      <c r="N6" s="53">
        <v>2</v>
      </c>
      <c r="O6" s="53">
        <f>M6*N6</f>
        <v>1545</v>
      </c>
      <c r="P6" s="9"/>
      <c r="Q6" s="53">
        <f t="array" ref="Q6">INDEX(Материалы!$C$2:$C$50,MATCH(G6,Материалы!$A$2:$A$50,0))</f>
        <v>32000</v>
      </c>
      <c r="R6" s="53">
        <f>FLOOR(Раскройка!$C$11/C6,1)*FLOOR(Раскройка!$D$11/B6,1)</f>
        <v>2</v>
      </c>
      <c r="S6" s="53">
        <f>MAX(Раскройка!$F$11-E6*R6,0)</f>
        <v>0</v>
      </c>
      <c r="T6" s="53">
        <f>Q6*S6</f>
        <v>0</v>
      </c>
    </row>
    <row r="7" spans="1:20" x14ac:dyDescent="0.25">
      <c r="A7" s="53" t="s">
        <v>156</v>
      </c>
      <c r="B7" s="53">
        <v>2000</v>
      </c>
      <c r="C7" s="53">
        <v>200</v>
      </c>
      <c r="D7" s="53">
        <v>18</v>
      </c>
      <c r="E7" s="53">
        <f t="shared" ref="E7" si="0">B7*C7/1000000</f>
        <v>0.4</v>
      </c>
      <c r="F7" s="20"/>
      <c r="G7" s="7" t="s">
        <v>12</v>
      </c>
      <c r="H7" s="53">
        <f>ROUND(Q7+T7/Раскройка!$F$2,0)</f>
        <v>655</v>
      </c>
      <c r="I7" s="53" t="s">
        <v>41</v>
      </c>
      <c r="J7" s="53">
        <v>2</v>
      </c>
      <c r="K7" s="53" t="s">
        <v>39</v>
      </c>
      <c r="L7" s="53">
        <v>4</v>
      </c>
      <c r="M7" s="53">
        <f>E7*(0.25*(VLOOKUP(I7,Покрытия!$A$2:$B$40,2,FALSE)*J7+VLOOKUP(K7,Покрытия!$A$2:$B$40,2,FALSE)*L7)+H7)</f>
        <v>922</v>
      </c>
      <c r="N7" s="53">
        <v>1</v>
      </c>
      <c r="O7" s="53">
        <f t="shared" ref="O7" si="1">M7*N7</f>
        <v>922</v>
      </c>
      <c r="P7" s="9"/>
      <c r="Q7" s="53">
        <f t="array" ref="Q7">INDEX(Материалы!$C$2:$C$50,MATCH(G7&amp;D7,Материалы!$A$2:$A$50&amp;Материалы!$B$2:$B$50,0))</f>
        <v>500</v>
      </c>
      <c r="R7" s="53">
        <f>FLOOR(Раскройка!$D$2/B7,1)*FLOOR(Раскройка!$C$2/C7,1)</f>
        <v>10</v>
      </c>
      <c r="S7" s="53">
        <f>MAX(Раскройка!$F$2-E7*R7,0)</f>
        <v>1.7999999999999998</v>
      </c>
      <c r="T7" s="53">
        <f t="shared" ref="T7" si="2">Q7*S7</f>
        <v>899.99999999999989</v>
      </c>
    </row>
    <row r="8" spans="1:20" x14ac:dyDescent="0.25">
      <c r="A8" s="53" t="s">
        <v>152</v>
      </c>
      <c r="B8" s="53">
        <v>2300</v>
      </c>
      <c r="C8" s="53">
        <v>125</v>
      </c>
      <c r="D8" s="53">
        <v>45</v>
      </c>
      <c r="E8" s="53">
        <f>B8*C8*D8/1000000000</f>
        <v>1.2937499999999999E-2</v>
      </c>
      <c r="F8" s="53">
        <f>B8*C8/1000000</f>
        <v>0.28749999999999998</v>
      </c>
      <c r="G8" s="53" t="s">
        <v>15</v>
      </c>
      <c r="H8" s="53">
        <f>ROUND(Q8+T8/Раскройка!$F$11,0)</f>
        <v>32000</v>
      </c>
      <c r="I8" s="53" t="s">
        <v>41</v>
      </c>
      <c r="J8" s="53">
        <v>2</v>
      </c>
      <c r="K8" s="53" t="s">
        <v>39</v>
      </c>
      <c r="L8" s="53">
        <v>4</v>
      </c>
      <c r="M8" s="53">
        <f>E8*H8+0.25*((VLOOKUP(I8,Покрытия!$A$2:$B$50,2,FALSE)*J8+VLOOKUP(K8,Покрытия!$A$2:$B$50,2,FALSE)*L8)*F8)</f>
        <v>888.375</v>
      </c>
      <c r="N8" s="53">
        <v>4</v>
      </c>
      <c r="O8" s="53">
        <f>M8*N8</f>
        <v>3553.5</v>
      </c>
      <c r="P8" s="9"/>
      <c r="Q8" s="53">
        <f t="array" ref="Q8">INDEX(Материалы!$C$2:$C$50,MATCH(G8,Материалы!$A$2:$A$50,0))</f>
        <v>32000</v>
      </c>
      <c r="R8" s="53">
        <f>FLOOR(Раскройка!$C$11/C8,1)*FLOOR(Раскройка!$D$11/B8,1)</f>
        <v>2</v>
      </c>
      <c r="S8" s="53">
        <f>MAX(Раскройка!$F$11-E8*R8,0)</f>
        <v>0</v>
      </c>
      <c r="T8" s="53">
        <f>Q8*S8</f>
        <v>0</v>
      </c>
    </row>
    <row r="9" spans="1:20" x14ac:dyDescent="0.25">
      <c r="A9" s="53" t="s">
        <v>157</v>
      </c>
      <c r="B9" s="53">
        <v>2300</v>
      </c>
      <c r="C9" s="53">
        <v>200</v>
      </c>
      <c r="D9" s="53">
        <v>18</v>
      </c>
      <c r="E9" s="53">
        <f t="shared" ref="E9" si="3">B9*C9/1000000</f>
        <v>0.46</v>
      </c>
      <c r="F9" s="20"/>
      <c r="G9" s="7" t="s">
        <v>12</v>
      </c>
      <c r="H9" s="53">
        <f>ROUND(Q9+T9/Раскройка!$F$2,0)</f>
        <v>603</v>
      </c>
      <c r="I9" s="53" t="s">
        <v>41</v>
      </c>
      <c r="J9" s="53">
        <v>2</v>
      </c>
      <c r="K9" s="53" t="s">
        <v>39</v>
      </c>
      <c r="L9" s="53">
        <v>4</v>
      </c>
      <c r="M9" s="53">
        <f>E9*(0.25*(VLOOKUP(I9,Покрытия!$A$2:$B$40,2,FALSE)*J9+VLOOKUP(K9,Покрытия!$A$2:$B$40,2,FALSE)*L9)+H9)</f>
        <v>1036.3800000000001</v>
      </c>
      <c r="N9" s="53">
        <v>2</v>
      </c>
      <c r="O9" s="53">
        <f t="shared" ref="O9" si="4">M9*N9</f>
        <v>2072.7600000000002</v>
      </c>
      <c r="P9" s="9"/>
      <c r="Q9" s="53">
        <f t="array" ref="Q9">INDEX(Материалы!$C$2:$C$50,MATCH(G9&amp;D9,Материалы!$A$2:$A$50&amp;Материалы!$B$2:$B$50,0))</f>
        <v>500</v>
      </c>
      <c r="R9" s="53">
        <f>FLOOR(Раскройка!$D$2/B9,1)*FLOOR(Раскройка!$C$2/C9,1)</f>
        <v>10</v>
      </c>
      <c r="S9" s="53">
        <f>MAX(Раскройка!$F$2-E9*R9,0)</f>
        <v>1.1999999999999993</v>
      </c>
      <c r="T9" s="53">
        <f t="shared" ref="T9" si="5">Q9*S9</f>
        <v>599.99999999999966</v>
      </c>
    </row>
  </sheetData>
  <mergeCells count="1">
    <mergeCell ref="F1:M2"/>
  </mergeCells>
  <pageMargins left="0.7" right="0.7" top="0.75" bottom="0.75" header="0.3" footer="0.3"/>
  <pageSetup paperSize="9" scale="68" fitToHeight="0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4"/>
  <sheetViews>
    <sheetView workbookViewId="0">
      <selection activeCell="E5" sqref="E5"/>
    </sheetView>
  </sheetViews>
  <sheetFormatPr defaultRowHeight="15" x14ac:dyDescent="0.25"/>
  <cols>
    <col min="1" max="1" width="21.42578125" customWidth="1"/>
    <col min="3" max="3" width="18.28515625" customWidth="1"/>
    <col min="7" max="7" width="17.140625" customWidth="1"/>
    <col min="8" max="8" width="16.5703125" customWidth="1"/>
    <col min="10" max="10" width="14.85546875" customWidth="1"/>
    <col min="12" max="12" width="13.42578125" customWidth="1"/>
    <col min="13" max="13" width="14.7109375" customWidth="1"/>
    <col min="14" max="14" width="18" customWidth="1"/>
    <col min="17" max="20" width="0" hidden="1" customWidth="1"/>
  </cols>
  <sheetData>
    <row r="1" spans="1:28" x14ac:dyDescent="0.25">
      <c r="A1" s="52" t="s">
        <v>92</v>
      </c>
      <c r="B1" s="53" t="s">
        <v>91</v>
      </c>
      <c r="C1" s="53" t="s">
        <v>172</v>
      </c>
      <c r="D1" s="53" t="s">
        <v>58</v>
      </c>
      <c r="E1" s="20"/>
      <c r="F1" s="92" t="s">
        <v>173</v>
      </c>
      <c r="G1" s="93"/>
      <c r="H1" s="93"/>
      <c r="I1" s="93"/>
      <c r="J1" s="93"/>
      <c r="K1" s="93"/>
      <c r="L1" s="93"/>
      <c r="M1" s="93"/>
    </row>
    <row r="2" spans="1:28" ht="14.25" customHeight="1" x14ac:dyDescent="0.25">
      <c r="A2" s="35" t="s">
        <v>159</v>
      </c>
      <c r="B2" s="51">
        <v>6</v>
      </c>
      <c r="C2" s="53">
        <f>ROUND(SUM(O6:O9),0)</f>
        <v>6513</v>
      </c>
      <c r="D2" s="53">
        <f>C2*B2</f>
        <v>39078</v>
      </c>
      <c r="E2" s="91">
        <f>D2+D3</f>
        <v>63646</v>
      </c>
      <c r="F2" s="93"/>
      <c r="G2" s="93"/>
      <c r="H2" s="93"/>
      <c r="I2" s="93"/>
      <c r="J2" s="93"/>
      <c r="K2" s="93"/>
      <c r="L2" s="93"/>
      <c r="M2" s="93"/>
    </row>
    <row r="3" spans="1:28" x14ac:dyDescent="0.25">
      <c r="A3" s="35" t="s">
        <v>158</v>
      </c>
      <c r="B3" s="73">
        <v>4</v>
      </c>
      <c r="C3" s="75">
        <f>ROUND(SUM(O7:O10),0)</f>
        <v>6142</v>
      </c>
      <c r="D3" s="75">
        <f>C3*B3</f>
        <v>24568</v>
      </c>
      <c r="E3" s="91"/>
    </row>
    <row r="5" spans="1:28" x14ac:dyDescent="0.25">
      <c r="A5" s="53" t="s">
        <v>32</v>
      </c>
      <c r="B5" s="53" t="s">
        <v>20</v>
      </c>
      <c r="C5" s="53" t="s">
        <v>19</v>
      </c>
      <c r="D5" s="53" t="s">
        <v>21</v>
      </c>
      <c r="E5" s="53" t="s">
        <v>22</v>
      </c>
      <c r="F5" s="7" t="s">
        <v>26</v>
      </c>
      <c r="G5" s="7" t="s">
        <v>49</v>
      </c>
      <c r="H5" s="53" t="s">
        <v>46</v>
      </c>
      <c r="I5" s="53" t="s">
        <v>35</v>
      </c>
      <c r="J5" s="53" t="s">
        <v>47</v>
      </c>
      <c r="K5" s="53" t="s">
        <v>35</v>
      </c>
      <c r="L5" s="53" t="s">
        <v>47</v>
      </c>
      <c r="M5" s="7" t="s">
        <v>48</v>
      </c>
      <c r="N5" s="53" t="s">
        <v>59</v>
      </c>
      <c r="O5" s="53" t="s">
        <v>58</v>
      </c>
      <c r="P5" s="9"/>
    </row>
    <row r="6" spans="1:28" x14ac:dyDescent="0.25">
      <c r="A6" s="53" t="s">
        <v>153</v>
      </c>
      <c r="B6" s="53">
        <v>1500</v>
      </c>
      <c r="C6" s="53">
        <v>80</v>
      </c>
      <c r="D6" s="53">
        <v>45</v>
      </c>
      <c r="E6" s="53">
        <f>B6*C6*D6/1000000000</f>
        <v>5.4000000000000003E-3</v>
      </c>
      <c r="F6" s="53">
        <f>B6*C6/1000000</f>
        <v>0.12</v>
      </c>
      <c r="G6" s="53" t="s">
        <v>15</v>
      </c>
      <c r="H6" s="53">
        <f>ROUND(Q6+T6/Раскройка!$F$11,0)</f>
        <v>32000</v>
      </c>
      <c r="I6" s="53" t="s">
        <v>41</v>
      </c>
      <c r="J6" s="53">
        <v>2</v>
      </c>
      <c r="K6" s="53" t="s">
        <v>39</v>
      </c>
      <c r="L6" s="53">
        <v>4</v>
      </c>
      <c r="M6" s="53">
        <f>E6*H6+0.25*((VLOOKUP(I6,Покрытия!$A$2:$B$50,2,FALSE)*J6+VLOOKUP(K6,Покрытия!$A$2:$B$50,2,FALSE)*L6)*F6)</f>
        <v>370.8</v>
      </c>
      <c r="N6" s="53">
        <v>1</v>
      </c>
      <c r="O6" s="53">
        <f>M6*N6</f>
        <v>370.8</v>
      </c>
      <c r="P6" s="9"/>
      <c r="Q6" s="53">
        <f t="array" ref="Q6">INDEX(Материалы!$C$2:$C$50,MATCH(G6,Материалы!$A$2:$A$50,0))</f>
        <v>32000</v>
      </c>
      <c r="R6" s="53">
        <f>FLOOR(Раскройка!$C$11/C6,1)*FLOOR(Раскройка!$D$11/B6,1)</f>
        <v>6</v>
      </c>
      <c r="S6" s="53">
        <f>MAX(Раскройка!$F$11-E6*R6,0)</f>
        <v>0</v>
      </c>
      <c r="T6" s="53">
        <f>Q6*S6</f>
        <v>0</v>
      </c>
    </row>
    <row r="7" spans="1:28" x14ac:dyDescent="0.25">
      <c r="A7" s="53" t="s">
        <v>156</v>
      </c>
      <c r="B7" s="53">
        <v>1500</v>
      </c>
      <c r="C7" s="53">
        <v>300</v>
      </c>
      <c r="D7" s="53">
        <v>18</v>
      </c>
      <c r="E7" s="53">
        <f t="shared" ref="E7" si="0">B7*C7/1000000</f>
        <v>0.45</v>
      </c>
      <c r="F7" s="20"/>
      <c r="G7" s="7" t="s">
        <v>12</v>
      </c>
      <c r="H7" s="53">
        <f>ROUND(Q7+T7/Раскройка!$F$2,0)</f>
        <v>767</v>
      </c>
      <c r="I7" s="53" t="s">
        <v>41</v>
      </c>
      <c r="J7" s="53">
        <v>2</v>
      </c>
      <c r="K7" s="53" t="s">
        <v>39</v>
      </c>
      <c r="L7" s="53">
        <v>4</v>
      </c>
      <c r="M7" s="53">
        <f>E7*(0.25*(VLOOKUP(I7,Покрытия!$A$2:$B$40,2,FALSE)*J7+VLOOKUP(K7,Покрытия!$A$2:$B$40,2,FALSE)*L7)+H7)</f>
        <v>1087.6500000000001</v>
      </c>
      <c r="N7" s="53">
        <v>2</v>
      </c>
      <c r="O7" s="53">
        <f t="shared" ref="O7" si="1">M7*N7</f>
        <v>2175.3000000000002</v>
      </c>
      <c r="P7" s="9"/>
      <c r="Q7" s="53">
        <f t="array" ref="Q7">INDEX(Материалы!$C$2:$C$50,MATCH(G7&amp;D7,Материалы!$A$2:$A$50&amp;Материалы!$B$2:$B$50,0))</f>
        <v>500</v>
      </c>
      <c r="R7" s="53">
        <f>FLOOR(Раскройка!$D$2/B7,1)*FLOOR(Раскройка!$C$2/C7,1)</f>
        <v>6</v>
      </c>
      <c r="S7" s="53">
        <f>MAX(Раскройка!$F$2-E7*R7,0)</f>
        <v>3.0999999999999996</v>
      </c>
      <c r="T7" s="53">
        <f t="shared" ref="T7" si="2">Q7*S7</f>
        <v>1549.9999999999998</v>
      </c>
    </row>
    <row r="8" spans="1:28" x14ac:dyDescent="0.25">
      <c r="A8" s="53" t="s">
        <v>152</v>
      </c>
      <c r="B8" s="53">
        <v>2100</v>
      </c>
      <c r="C8" s="53">
        <v>80</v>
      </c>
      <c r="D8" s="53">
        <v>45</v>
      </c>
      <c r="E8" s="53">
        <f>B8*C8*D8/1000000000</f>
        <v>7.5599999999999999E-3</v>
      </c>
      <c r="F8" s="53">
        <f>B8*C8/1000000</f>
        <v>0.16800000000000001</v>
      </c>
      <c r="G8" s="53" t="s">
        <v>15</v>
      </c>
      <c r="H8" s="53">
        <f>ROUND(Q8+T8/Раскройка!$F$11,0)</f>
        <v>32000</v>
      </c>
      <c r="I8" s="53" t="s">
        <v>41</v>
      </c>
      <c r="J8" s="53">
        <v>2</v>
      </c>
      <c r="K8" s="53" t="s">
        <v>39</v>
      </c>
      <c r="L8" s="53">
        <v>4</v>
      </c>
      <c r="M8" s="53">
        <f>E8*H8+0.25*((VLOOKUP(I8,Покрытия!$A$2:$B$50,2,FALSE)*J8+VLOOKUP(K8,Покрытия!$A$2:$B$50,2,FALSE)*L8)*F8)</f>
        <v>519.12</v>
      </c>
      <c r="N8" s="53">
        <v>2</v>
      </c>
      <c r="O8" s="53">
        <f>M8*N8</f>
        <v>1038.24</v>
      </c>
      <c r="P8" s="9"/>
      <c r="Q8" s="53">
        <f t="array" ref="Q8">INDEX(Материалы!$C$2:$C$50,MATCH(G8,Материалы!$A$2:$A$50,0))</f>
        <v>32000</v>
      </c>
      <c r="R8" s="53">
        <f>FLOOR(Раскройка!$C$11/C8,1)*FLOOR(Раскройка!$D$11/B8,1)</f>
        <v>3</v>
      </c>
      <c r="S8" s="53">
        <f>MAX(Раскройка!$F$11-E8*R8,0)</f>
        <v>0</v>
      </c>
      <c r="T8" s="53">
        <f>Q8*S8</f>
        <v>0</v>
      </c>
    </row>
    <row r="9" spans="1:28" x14ac:dyDescent="0.25">
      <c r="A9" s="53" t="s">
        <v>157</v>
      </c>
      <c r="B9" s="53">
        <v>2100</v>
      </c>
      <c r="C9" s="53">
        <v>300</v>
      </c>
      <c r="D9" s="53">
        <v>18</v>
      </c>
      <c r="E9" s="53">
        <f t="shared" ref="E9" si="3">B9*C9/1000000</f>
        <v>0.63</v>
      </c>
      <c r="F9" s="20"/>
      <c r="G9" s="7" t="s">
        <v>12</v>
      </c>
      <c r="H9" s="53">
        <f>ROUND(Q9+T9/Раскройка!$F$2,0)</f>
        <v>674</v>
      </c>
      <c r="I9" s="53" t="s">
        <v>41</v>
      </c>
      <c r="J9" s="53">
        <v>2</v>
      </c>
      <c r="K9" s="53" t="s">
        <v>39</v>
      </c>
      <c r="L9" s="53">
        <v>4</v>
      </c>
      <c r="M9" s="53">
        <f>E9*(0.25*(VLOOKUP(I9,Покрытия!$A$2:$B$40,2,FALSE)*J9+VLOOKUP(K9,Покрытия!$A$2:$B$40,2,FALSE)*L9)+H9)</f>
        <v>1464.1200000000001</v>
      </c>
      <c r="N9" s="53">
        <v>2</v>
      </c>
      <c r="O9" s="53">
        <f t="shared" ref="O9" si="4">M9*N9</f>
        <v>2928.2400000000002</v>
      </c>
      <c r="P9" s="9"/>
      <c r="Q9" s="53">
        <f t="array" ref="Q9">INDEX(Материалы!$C$2:$C$50,MATCH(G9&amp;D9,Материалы!$A$2:$A$50&amp;Материалы!$B$2:$B$50,0))</f>
        <v>500</v>
      </c>
      <c r="R9" s="53">
        <f>FLOOR(Раскройка!$D$2/B9,1)*FLOOR(Раскройка!$C$2/C9,1)</f>
        <v>6</v>
      </c>
      <c r="S9" s="53">
        <f>MAX(Раскройка!$F$2-E9*R9,0)</f>
        <v>2.0199999999999996</v>
      </c>
      <c r="T9" s="53">
        <f t="shared" ref="T9" si="5">Q9*S9</f>
        <v>1009.9999999999998</v>
      </c>
    </row>
    <row r="11" spans="1:28" x14ac:dyDescent="0.25">
      <c r="A11" s="75" t="s">
        <v>153</v>
      </c>
      <c r="B11" s="75">
        <v>2000</v>
      </c>
      <c r="C11" s="75">
        <v>80</v>
      </c>
      <c r="D11" s="75">
        <v>45</v>
      </c>
      <c r="E11" s="75">
        <f>B11*C11*D11/1000000000</f>
        <v>7.1999999999999998E-3</v>
      </c>
      <c r="F11" s="75">
        <f>B11*C11/1000000</f>
        <v>0.16</v>
      </c>
      <c r="G11" s="75" t="s">
        <v>15</v>
      </c>
      <c r="H11" s="75">
        <f>ROUND(Q11+T11/Раскройка!$F$11,0)</f>
        <v>33280</v>
      </c>
      <c r="I11" s="75" t="s">
        <v>41</v>
      </c>
      <c r="J11" s="75">
        <v>2</v>
      </c>
      <c r="K11" s="75" t="s">
        <v>39</v>
      </c>
      <c r="L11" s="75">
        <v>4</v>
      </c>
      <c r="M11" s="75">
        <f>E11*H11+0.25*((VLOOKUP(I11,Покрытия!$A$2:$B$50,2,FALSE)*J11+VLOOKUP(K11,Покрытия!$A$2:$B$50,2,FALSE)*L11)*F11)</f>
        <v>503.61599999999999</v>
      </c>
      <c r="N11" s="75">
        <v>1</v>
      </c>
      <c r="O11" s="75">
        <f>M11*N11</f>
        <v>503.61599999999999</v>
      </c>
      <c r="P11" s="79"/>
      <c r="Q11" s="75">
        <f t="array" ref="Q11">INDEX(Материалы!$C$2:$C$50,MATCH(G11,Материалы!$A$2:$A$50,0))</f>
        <v>32000</v>
      </c>
      <c r="R11" s="75">
        <f>FLOOR(Раскройка!$C$11/C11,1)*FLOOR(Раскройка!$D$11/B11,1)</f>
        <v>3</v>
      </c>
      <c r="S11" s="75">
        <f>MAX(Раскройка!$F$11-E11*R11,0)</f>
        <v>8.9999999999999802E-4</v>
      </c>
      <c r="T11" s="75">
        <f>Q11*S11</f>
        <v>28.799999999999937</v>
      </c>
      <c r="U11" s="78"/>
      <c r="V11" s="78"/>
      <c r="W11" s="78"/>
      <c r="X11" s="78"/>
      <c r="Y11" s="78"/>
      <c r="Z11" s="78"/>
      <c r="AA11" s="78"/>
      <c r="AB11" s="78"/>
    </row>
    <row r="12" spans="1:28" x14ac:dyDescent="0.25">
      <c r="A12" s="75" t="s">
        <v>156</v>
      </c>
      <c r="B12" s="75">
        <v>2000</v>
      </c>
      <c r="C12" s="75">
        <v>300</v>
      </c>
      <c r="D12" s="75">
        <v>18</v>
      </c>
      <c r="E12" s="75">
        <f t="shared" ref="E12" si="6">B12*C12/1000000</f>
        <v>0.6</v>
      </c>
      <c r="F12" s="20"/>
      <c r="G12" s="7" t="s">
        <v>12</v>
      </c>
      <c r="H12" s="75">
        <f>ROUND(Q12+T12/Раскройка!$F$2,0)</f>
        <v>690</v>
      </c>
      <c r="I12" s="75" t="s">
        <v>41</v>
      </c>
      <c r="J12" s="75">
        <v>2</v>
      </c>
      <c r="K12" s="75" t="s">
        <v>39</v>
      </c>
      <c r="L12" s="75">
        <v>4</v>
      </c>
      <c r="M12" s="75">
        <f>E12*(0.25*(VLOOKUP(I12,Покрытия!$A$2:$B$40,2,FALSE)*J12+VLOOKUP(K12,Покрытия!$A$2:$B$40,2,FALSE)*L12)+H12)</f>
        <v>1404</v>
      </c>
      <c r="N12" s="75">
        <v>1</v>
      </c>
      <c r="O12" s="75">
        <f t="shared" ref="O12" si="7">M12*N12</f>
        <v>1404</v>
      </c>
      <c r="P12" s="79"/>
      <c r="Q12" s="75">
        <f t="array" ref="Q12">INDEX(Материалы!$C$2:$C$50,MATCH(G12&amp;D12,Материалы!$A$2:$A$50&amp;Материалы!$B$2:$B$50,0))</f>
        <v>500</v>
      </c>
      <c r="R12" s="75">
        <f>FLOOR(Раскройка!$D$2/B12,1)*FLOOR(Раскройка!$C$2/C12,1)</f>
        <v>6</v>
      </c>
      <c r="S12" s="75">
        <f>MAX(Раскройка!$F$2-E12*R12,0)</f>
        <v>2.2000000000000002</v>
      </c>
      <c r="T12" s="75">
        <f t="shared" ref="T12" si="8">Q12*S12</f>
        <v>1100</v>
      </c>
      <c r="U12" s="78"/>
      <c r="V12" s="78"/>
      <c r="W12" s="78"/>
      <c r="X12" s="78"/>
      <c r="Y12" s="78"/>
      <c r="Z12" s="78"/>
      <c r="AA12" s="78"/>
      <c r="AB12" s="78"/>
    </row>
    <row r="13" spans="1:28" x14ac:dyDescent="0.25">
      <c r="A13" s="75" t="s">
        <v>152</v>
      </c>
      <c r="B13" s="75">
        <v>2800</v>
      </c>
      <c r="C13" s="75">
        <v>80</v>
      </c>
      <c r="D13" s="75">
        <v>45</v>
      </c>
      <c r="E13" s="75">
        <f>B13*C13*D13/1000000000</f>
        <v>1.008E-2</v>
      </c>
      <c r="F13" s="75">
        <f>B13*C13/1000000</f>
        <v>0.224</v>
      </c>
      <c r="G13" s="75" t="s">
        <v>15</v>
      </c>
      <c r="H13" s="75">
        <f>ROUND(Q13+T13/Раскройка!$F$11,0)</f>
        <v>32000</v>
      </c>
      <c r="I13" s="75" t="s">
        <v>41</v>
      </c>
      <c r="J13" s="75">
        <v>2</v>
      </c>
      <c r="K13" s="75" t="s">
        <v>39</v>
      </c>
      <c r="L13" s="75">
        <v>4</v>
      </c>
      <c r="M13" s="75">
        <f>E13*H13+0.25*((VLOOKUP(I13,Покрытия!$A$2:$B$50,2,FALSE)*J13+VLOOKUP(K13,Покрытия!$A$2:$B$50,2,FALSE)*L13)*F13)</f>
        <v>692.16000000000008</v>
      </c>
      <c r="N13" s="75">
        <v>2</v>
      </c>
      <c r="O13" s="75">
        <f>M13*N13</f>
        <v>1384.3200000000002</v>
      </c>
      <c r="P13" s="79"/>
      <c r="Q13" s="75">
        <f t="array" ref="Q13">INDEX(Материалы!$C$2:$C$50,MATCH(G13,Материалы!$A$2:$A$50,0))</f>
        <v>32000</v>
      </c>
      <c r="R13" s="75">
        <f>FLOOR(Раскройка!$C$11/C13,1)*FLOOR(Раскройка!$D$11/B13,1)</f>
        <v>3</v>
      </c>
      <c r="S13" s="75">
        <f>MAX(Раскройка!$F$11-E13*R13,0)</f>
        <v>0</v>
      </c>
      <c r="T13" s="75">
        <f>Q13*S13</f>
        <v>0</v>
      </c>
      <c r="U13" s="78"/>
      <c r="V13" s="78"/>
      <c r="W13" s="78"/>
      <c r="X13" s="78"/>
      <c r="Y13" s="78"/>
      <c r="Z13" s="78"/>
      <c r="AA13" s="78"/>
      <c r="AB13" s="78"/>
    </row>
    <row r="14" spans="1:28" x14ac:dyDescent="0.25">
      <c r="A14" s="75" t="s">
        <v>157</v>
      </c>
      <c r="B14" s="75">
        <v>2800</v>
      </c>
      <c r="C14" s="75">
        <v>300</v>
      </c>
      <c r="D14" s="75">
        <v>18</v>
      </c>
      <c r="E14" s="75">
        <f t="shared" ref="E14" si="9">B14*C14/1000000</f>
        <v>0.84</v>
      </c>
      <c r="F14" s="20"/>
      <c r="G14" s="7" t="s">
        <v>12</v>
      </c>
      <c r="H14" s="75">
        <f>ROUND(Q14+T14/Раскройка!$F$2,0)</f>
        <v>566</v>
      </c>
      <c r="I14" s="75" t="s">
        <v>41</v>
      </c>
      <c r="J14" s="75">
        <v>2</v>
      </c>
      <c r="K14" s="75" t="s">
        <v>39</v>
      </c>
      <c r="L14" s="75">
        <v>4</v>
      </c>
      <c r="M14" s="75">
        <f>E14*(0.25*(VLOOKUP(I14,Покрытия!$A$2:$B$40,2,FALSE)*J14+VLOOKUP(K14,Покрытия!$A$2:$B$40,2,FALSE)*L14)+H14)</f>
        <v>1861.4399999999998</v>
      </c>
      <c r="N14" s="75">
        <v>2</v>
      </c>
      <c r="O14" s="75">
        <f t="shared" ref="O14" si="10">M14*N14</f>
        <v>3722.8799999999997</v>
      </c>
      <c r="P14" s="79"/>
      <c r="Q14" s="75">
        <f t="array" ref="Q14">INDEX(Материалы!$C$2:$C$50,MATCH(G14&amp;D14,Материалы!$A$2:$A$50&amp;Материалы!$B$2:$B$50,0))</f>
        <v>500</v>
      </c>
      <c r="R14" s="75">
        <f>FLOOR(Раскройка!$D$2/B14,1)*FLOOR(Раскройка!$C$2/C14,1)</f>
        <v>6</v>
      </c>
      <c r="S14" s="75">
        <f>MAX(Раскройка!$F$2-E14*R14,0)</f>
        <v>0.75999999999999979</v>
      </c>
      <c r="T14" s="75">
        <f t="shared" ref="T14" si="11">Q14*S14</f>
        <v>379.99999999999989</v>
      </c>
      <c r="U14" s="78"/>
      <c r="V14" s="78"/>
      <c r="W14" s="78"/>
      <c r="X14" s="78"/>
      <c r="Y14" s="78"/>
      <c r="Z14" s="78"/>
      <c r="AA14" s="78"/>
      <c r="AB14" s="78"/>
    </row>
  </sheetData>
  <mergeCells count="2">
    <mergeCell ref="F1:M2"/>
    <mergeCell ref="E2:E3"/>
  </mergeCells>
  <pageMargins left="0.7" right="0.7" top="0.75" bottom="0.75" header="0.3" footer="0.3"/>
  <pageSetup paperSize="9" scale="66" fitToHeight="0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87"/>
  <sheetViews>
    <sheetView workbookViewId="0">
      <selection sqref="A1:G5"/>
    </sheetView>
  </sheetViews>
  <sheetFormatPr defaultRowHeight="15" x14ac:dyDescent="0.25"/>
  <cols>
    <col min="1" max="1" width="28.85546875" customWidth="1"/>
    <col min="3" max="3" width="9.5703125" customWidth="1"/>
    <col min="7" max="7" width="17.28515625" customWidth="1"/>
    <col min="8" max="8" width="16.28515625" customWidth="1"/>
    <col min="10" max="10" width="13.85546875" customWidth="1"/>
    <col min="12" max="12" width="13.85546875" customWidth="1"/>
    <col min="13" max="13" width="15.7109375" customWidth="1"/>
    <col min="14" max="14" width="17.28515625" customWidth="1"/>
    <col min="17" max="20" width="9.140625" customWidth="1"/>
  </cols>
  <sheetData>
    <row r="1" spans="1:22" x14ac:dyDescent="0.25">
      <c r="A1" s="61" t="s">
        <v>92</v>
      </c>
      <c r="B1" s="62" t="s">
        <v>91</v>
      </c>
      <c r="C1" s="87" t="s">
        <v>183</v>
      </c>
      <c r="D1" s="85"/>
      <c r="E1" s="85"/>
      <c r="F1" s="86"/>
      <c r="G1" s="62" t="s">
        <v>58</v>
      </c>
    </row>
    <row r="2" spans="1:22" x14ac:dyDescent="0.25">
      <c r="A2" s="35" t="s">
        <v>176</v>
      </c>
      <c r="B2" s="60">
        <v>1</v>
      </c>
      <c r="C2" s="87">
        <f>ROUND(SUM(O8:O91),0)</f>
        <v>58155</v>
      </c>
      <c r="D2" s="85"/>
      <c r="E2" s="85"/>
      <c r="F2" s="86"/>
      <c r="G2" s="91">
        <f>CEILING(C2*B2+C3*B3+C4*B4+C5*B5,1)</f>
        <v>92151</v>
      </c>
    </row>
    <row r="3" spans="1:22" x14ac:dyDescent="0.25">
      <c r="A3" s="35" t="s">
        <v>177</v>
      </c>
      <c r="B3" s="60">
        <v>1</v>
      </c>
      <c r="C3" s="87">
        <f>ROUND(SUM(O75:O83),0)</f>
        <v>21419</v>
      </c>
      <c r="D3" s="85"/>
      <c r="E3" s="85"/>
      <c r="F3" s="86"/>
      <c r="G3" s="91"/>
    </row>
    <row r="4" spans="1:22" x14ac:dyDescent="0.25">
      <c r="A4" s="35" t="s">
        <v>118</v>
      </c>
      <c r="B4" s="64">
        <f>(1460+3114+1280)/1000</f>
        <v>5.8540000000000001</v>
      </c>
      <c r="C4" s="87">
        <f>ROUND(SUM(O85:O87),0)</f>
        <v>1314</v>
      </c>
      <c r="D4" s="85"/>
      <c r="E4" s="85"/>
      <c r="F4" s="86"/>
      <c r="G4" s="91"/>
    </row>
    <row r="5" spans="1:22" x14ac:dyDescent="0.25">
      <c r="A5" s="35" t="s">
        <v>96</v>
      </c>
      <c r="B5" s="64">
        <f>(2014+405+1003+1460+729+3114+857+1205+915+1090+1280+155+139)/1000</f>
        <v>14.366</v>
      </c>
      <c r="C5" s="87">
        <v>340</v>
      </c>
      <c r="D5" s="85"/>
      <c r="E5" s="85"/>
      <c r="F5" s="86"/>
      <c r="G5" s="91"/>
    </row>
    <row r="7" spans="1:22" x14ac:dyDescent="0.25">
      <c r="A7" s="57" t="s">
        <v>32</v>
      </c>
      <c r="B7" s="57" t="s">
        <v>20</v>
      </c>
      <c r="C7" s="57" t="s">
        <v>19</v>
      </c>
      <c r="D7" s="57" t="s">
        <v>21</v>
      </c>
      <c r="E7" s="57" t="s">
        <v>22</v>
      </c>
      <c r="F7" s="7" t="s">
        <v>26</v>
      </c>
      <c r="G7" s="7" t="s">
        <v>49</v>
      </c>
      <c r="H7" s="57" t="s">
        <v>46</v>
      </c>
      <c r="I7" s="57" t="s">
        <v>35</v>
      </c>
      <c r="J7" s="57" t="s">
        <v>47</v>
      </c>
      <c r="K7" s="57" t="s">
        <v>35</v>
      </c>
      <c r="L7" s="57" t="s">
        <v>47</v>
      </c>
      <c r="M7" s="7" t="s">
        <v>48</v>
      </c>
      <c r="N7" s="57" t="s">
        <v>59</v>
      </c>
      <c r="O7" s="57" t="s">
        <v>58</v>
      </c>
      <c r="P7" s="58"/>
      <c r="Q7" s="7" t="s">
        <v>50</v>
      </c>
      <c r="R7" s="7" t="s">
        <v>53</v>
      </c>
      <c r="S7" s="7" t="s">
        <v>51</v>
      </c>
      <c r="T7" s="7" t="s">
        <v>52</v>
      </c>
      <c r="U7" s="58"/>
      <c r="V7" s="58"/>
    </row>
    <row r="8" spans="1:22" x14ac:dyDescent="0.25">
      <c r="A8" s="57" t="s">
        <v>77</v>
      </c>
      <c r="B8" s="57">
        <f>620-150</f>
        <v>470</v>
      </c>
      <c r="C8" s="57">
        <v>59</v>
      </c>
      <c r="D8" s="57">
        <v>19</v>
      </c>
      <c r="E8" s="57">
        <f t="shared" ref="E8:E9" si="0">B8*C8/1000000</f>
        <v>2.7730000000000001E-2</v>
      </c>
      <c r="F8" s="20"/>
      <c r="G8" s="7" t="s">
        <v>12</v>
      </c>
      <c r="H8" s="57">
        <f>ROUND(Q8+T8/Раскройка!$F$2,0)</f>
        <v>854</v>
      </c>
      <c r="I8" s="57" t="s">
        <v>41</v>
      </c>
      <c r="J8" s="57">
        <v>2</v>
      </c>
      <c r="K8" s="57" t="s">
        <v>39</v>
      </c>
      <c r="L8" s="57">
        <v>4</v>
      </c>
      <c r="M8" s="57">
        <f>E8*(0.25*(VLOOKUP(I8,Покрытия!$A$2:$B$40,2,FALSE)*J8+VLOOKUP(K8,Покрытия!$A$2:$B$40,2,FALSE)*L8)+H8)</f>
        <v>69.435919999999996</v>
      </c>
      <c r="N8" s="57">
        <v>4</v>
      </c>
      <c r="O8" s="57">
        <f t="shared" ref="O8:O9" si="1">M8*N8</f>
        <v>277.74367999999998</v>
      </c>
      <c r="P8" s="58"/>
      <c r="Q8" s="57">
        <f t="array" ref="Q8">INDEX(Материалы!$C$2:$C$50,MATCH(G8&amp;D8,Материалы!$A$2:$A$50&amp;Материалы!$B$2:$B$50,0))</f>
        <v>734</v>
      </c>
      <c r="R8" s="57">
        <f>FLOOR(Раскройка!$D$2/B8,1)*FLOOR(Раскройка!$C$2/C8,1)</f>
        <v>175</v>
      </c>
      <c r="S8" s="57">
        <f>MAX(Раскройка!$F$2-E8*R8,0)</f>
        <v>0.94724999999999948</v>
      </c>
      <c r="T8" s="57">
        <f t="shared" ref="T8:T9" si="2">Q8*S8</f>
        <v>695.2814999999996</v>
      </c>
      <c r="U8" s="58"/>
      <c r="V8" s="58"/>
    </row>
    <row r="9" spans="1:22" x14ac:dyDescent="0.25">
      <c r="A9" s="57" t="s">
        <v>78</v>
      </c>
      <c r="B9" s="57">
        <f>714-55*2</f>
        <v>604</v>
      </c>
      <c r="C9" s="57">
        <v>59</v>
      </c>
      <c r="D9" s="57">
        <v>19</v>
      </c>
      <c r="E9" s="57">
        <f t="shared" si="0"/>
        <v>3.5636000000000001E-2</v>
      </c>
      <c r="F9" s="20"/>
      <c r="G9" s="7" t="s">
        <v>12</v>
      </c>
      <c r="H9" s="57">
        <f>ROUND(Q9+T9/Раскройка!$F$2,0)</f>
        <v>837</v>
      </c>
      <c r="I9" s="62" t="s">
        <v>41</v>
      </c>
      <c r="J9" s="57">
        <v>2</v>
      </c>
      <c r="K9" s="62" t="s">
        <v>39</v>
      </c>
      <c r="L9" s="57">
        <v>4</v>
      </c>
      <c r="M9" s="62">
        <f>E9*(0.25*(VLOOKUP(I9,Покрытия!$A$2:$B$40,2,FALSE)*J9+VLOOKUP(K9,Покрытия!$A$2:$B$40,2,FALSE)*L9)+H9)</f>
        <v>88.626732000000004</v>
      </c>
      <c r="N9" s="57">
        <v>2</v>
      </c>
      <c r="O9" s="57">
        <f t="shared" si="1"/>
        <v>177.25346400000001</v>
      </c>
      <c r="P9" s="58"/>
      <c r="Q9" s="57">
        <f t="array" ref="Q9">INDEX(Материалы!$C$2:$C$50,MATCH(G9&amp;D9,Материалы!$A$2:$A$50&amp;Материалы!$B$2:$B$50,0))</f>
        <v>734</v>
      </c>
      <c r="R9" s="57">
        <f>FLOOR(Раскройка!$D$2/B9,1)*FLOOR(Раскройка!$C$2/C9,1)</f>
        <v>140</v>
      </c>
      <c r="S9" s="57">
        <f>MAX(Раскройка!$F$2-E9*R9,0)</f>
        <v>0.81095999999999968</v>
      </c>
      <c r="T9" s="57">
        <f t="shared" si="2"/>
        <v>595.24463999999978</v>
      </c>
      <c r="U9" s="58"/>
    </row>
    <row r="10" spans="1:22" x14ac:dyDescent="0.25">
      <c r="A10" s="62" t="s">
        <v>78</v>
      </c>
      <c r="B10" s="62">
        <f>714-55*2</f>
        <v>604</v>
      </c>
      <c r="C10" s="62">
        <v>207</v>
      </c>
      <c r="D10" s="62">
        <v>19</v>
      </c>
      <c r="E10" s="62">
        <f t="shared" ref="E10" si="3">B10*C10/1000000</f>
        <v>0.125028</v>
      </c>
      <c r="F10" s="20"/>
      <c r="G10" s="7" t="s">
        <v>12</v>
      </c>
      <c r="H10" s="62">
        <f>ROUND(Q10+T10/Раскройка!$F$2,0)</f>
        <v>835</v>
      </c>
      <c r="I10" s="62" t="s">
        <v>41</v>
      </c>
      <c r="J10" s="62">
        <v>2</v>
      </c>
      <c r="K10" s="62" t="s">
        <v>39</v>
      </c>
      <c r="L10" s="62">
        <v>4</v>
      </c>
      <c r="M10" s="62">
        <f>E10*(0.25*(VLOOKUP(I10,Покрытия!$A$2:$B$40,2,FALSE)*J10+VLOOKUP(K10,Покрытия!$A$2:$B$40,2,FALSE)*L10)+H10)</f>
        <v>310.69457999999997</v>
      </c>
      <c r="N10" s="62">
        <v>2</v>
      </c>
      <c r="O10" s="62">
        <f t="shared" ref="O10" si="4">M10*N10</f>
        <v>621.38915999999995</v>
      </c>
      <c r="P10" s="63"/>
      <c r="Q10" s="62">
        <f t="array" ref="Q10">INDEX(Материалы!$C$2:$C$50,MATCH(G10&amp;D10,Материалы!$A$2:$A$50&amp;Материалы!$B$2:$B$50,0))</f>
        <v>734</v>
      </c>
      <c r="R10" s="62">
        <f>FLOOR(Раскройка!$D$2/B10,1)*FLOOR(Раскройка!$C$2/C10,1)</f>
        <v>40</v>
      </c>
      <c r="S10" s="62">
        <f>MAX(Раскройка!$F$2-E10*R10,0)</f>
        <v>0.79887999999999959</v>
      </c>
      <c r="T10" s="62">
        <f t="shared" ref="T10" si="5">Q10*S10</f>
        <v>586.37791999999968</v>
      </c>
      <c r="U10" s="63"/>
    </row>
    <row r="11" spans="1:22" x14ac:dyDescent="0.25">
      <c r="A11" s="57" t="s">
        <v>57</v>
      </c>
      <c r="B11" s="57">
        <v>470</v>
      </c>
      <c r="C11" s="57">
        <v>604</v>
      </c>
      <c r="D11" s="57">
        <v>19</v>
      </c>
      <c r="E11" s="57">
        <f>B11*C11/1000000</f>
        <v>0.28388000000000002</v>
      </c>
      <c r="F11" s="20"/>
      <c r="G11" s="7" t="s">
        <v>12</v>
      </c>
      <c r="H11" s="57">
        <f>ROUND(Q11+T11/Раскройка!$F$2,0)</f>
        <v>929</v>
      </c>
      <c r="I11" s="62" t="s">
        <v>41</v>
      </c>
      <c r="J11" s="57">
        <v>2</v>
      </c>
      <c r="K11" s="62" t="s">
        <v>39</v>
      </c>
      <c r="L11" s="57">
        <v>4</v>
      </c>
      <c r="M11" s="62">
        <f>E11*(0.25*(VLOOKUP(I11,Покрытия!$A$2:$B$40,2,FALSE)*J11+VLOOKUP(K11,Покрытия!$A$2:$B$40,2,FALSE)*L11)+H11)</f>
        <v>732.12652000000003</v>
      </c>
      <c r="N11" s="57">
        <v>2</v>
      </c>
      <c r="O11" s="57">
        <f>M11*N11</f>
        <v>1464.2530400000001</v>
      </c>
      <c r="P11" s="58"/>
      <c r="Q11" s="57">
        <f t="array" ref="Q11">INDEX(Материалы!$C$2:$C$50,MATCH(G11&amp;D11,Материалы!$A$2:$A$50&amp;Материалы!$B$2:$B$50,0))</f>
        <v>734</v>
      </c>
      <c r="R11" s="57">
        <f>FLOOR(Раскройка!$D$2/B11,1)*FLOOR(Раскройка!$C$2/C11,1)</f>
        <v>15</v>
      </c>
      <c r="S11" s="57">
        <f>MAX(Раскройка!$F$2-E11*R11,0)</f>
        <v>1.5417999999999994</v>
      </c>
      <c r="T11" s="57">
        <f>Q11*S11</f>
        <v>1131.6811999999995</v>
      </c>
      <c r="U11" s="58"/>
      <c r="V11" s="16"/>
    </row>
    <row r="12" spans="1:22" x14ac:dyDescent="0.25">
      <c r="A12" s="57" t="s">
        <v>93</v>
      </c>
      <c r="B12" s="57">
        <v>360</v>
      </c>
      <c r="C12" s="57">
        <v>59</v>
      </c>
      <c r="D12" s="57">
        <v>19</v>
      </c>
      <c r="E12" s="57">
        <f>B12*C12*D12/1000000000</f>
        <v>4.0356000000000002E-4</v>
      </c>
      <c r="F12" s="57">
        <f>B12*C12/1000000</f>
        <v>2.1239999999999998E-2</v>
      </c>
      <c r="G12" s="62" t="s">
        <v>15</v>
      </c>
      <c r="H12" s="57">
        <f>ROUND(Q12+T12/Раскройка!$F$11,0)</f>
        <v>41042</v>
      </c>
      <c r="I12" s="62" t="s">
        <v>41</v>
      </c>
      <c r="J12" s="57">
        <v>2</v>
      </c>
      <c r="K12" s="62" t="s">
        <v>39</v>
      </c>
      <c r="L12" s="57">
        <v>4</v>
      </c>
      <c r="M12" s="62">
        <f>E12*H12+0.25*((VLOOKUP(I12,Покрытия!$A$2:$B$50,2,FALSE)*J12+VLOOKUP(K12,Покрытия!$A$2:$B$50,2,FALSE)*L12)*F12)</f>
        <v>51.608909519999997</v>
      </c>
      <c r="N12" s="57">
        <v>4</v>
      </c>
      <c r="O12" s="57">
        <f>M12*N12</f>
        <v>206.43563807999999</v>
      </c>
      <c r="P12" s="58"/>
      <c r="Q12" s="57">
        <f t="array" ref="Q12">INDEX(Материалы!$C$2:$C$50,MATCH(G12,Материалы!$A$2:$A$50,0))</f>
        <v>32000</v>
      </c>
      <c r="R12" s="57">
        <f>FLOOR(Раскройка!$C$11/C12,1)*FLOOR(Раскройка!$D$11/B12,1)</f>
        <v>40</v>
      </c>
      <c r="S12" s="57">
        <f>MAX(Раскройка!$F$11-E12*R12,0)</f>
        <v>6.357599999999998E-3</v>
      </c>
      <c r="T12" s="57">
        <f>Q12*S12</f>
        <v>203.44319999999993</v>
      </c>
      <c r="V12" s="16"/>
    </row>
    <row r="13" spans="1:22" x14ac:dyDescent="0.25">
      <c r="A13" s="57" t="s">
        <v>99</v>
      </c>
      <c r="B13" s="57">
        <v>494</v>
      </c>
      <c r="C13" s="57">
        <v>59</v>
      </c>
      <c r="D13" s="57">
        <v>19</v>
      </c>
      <c r="E13" s="57">
        <f>B13*C13*D13/1000000000</f>
        <v>5.5377400000000004E-4</v>
      </c>
      <c r="F13" s="57">
        <f>B13*C13/1000000</f>
        <v>2.9145999999999998E-2</v>
      </c>
      <c r="G13" s="62" t="s">
        <v>15</v>
      </c>
      <c r="H13" s="57">
        <f>ROUND(Q13+T13/Раскройка!$F$11,0)</f>
        <v>40372</v>
      </c>
      <c r="I13" s="62" t="s">
        <v>41</v>
      </c>
      <c r="J13" s="57">
        <v>2</v>
      </c>
      <c r="K13" s="62" t="s">
        <v>39</v>
      </c>
      <c r="L13" s="57">
        <v>4</v>
      </c>
      <c r="M13" s="62">
        <f>E13*H13+0.25*((VLOOKUP(I13,Покрытия!$A$2:$B$50,2,FALSE)*J13+VLOOKUP(K13,Покрытия!$A$2:$B$50,2,FALSE)*L13)*F13)</f>
        <v>70.447863928000004</v>
      </c>
      <c r="N13" s="57">
        <v>4</v>
      </c>
      <c r="O13" s="57">
        <f>M13*N13</f>
        <v>281.79145571200002</v>
      </c>
      <c r="P13" s="58"/>
      <c r="Q13" s="57">
        <f t="array" ref="Q13">INDEX(Материалы!$C$2:$C$50,MATCH(G13,Материалы!$A$2:$A$50,0))</f>
        <v>32000</v>
      </c>
      <c r="R13" s="57">
        <f>FLOOR(Раскройка!$C$11/C13,1)*FLOOR(Раскройка!$D$11/B13,1)</f>
        <v>30</v>
      </c>
      <c r="S13" s="57">
        <f>MAX(Раскройка!$F$11-E13*R13,0)</f>
        <v>5.8867799999999977E-3</v>
      </c>
      <c r="T13" s="57">
        <f>Q13*S13</f>
        <v>188.37695999999994</v>
      </c>
      <c r="V13" s="16"/>
    </row>
    <row r="14" spans="1:22" x14ac:dyDescent="0.25">
      <c r="A14" s="57"/>
      <c r="B14" s="57"/>
      <c r="C14" s="57"/>
      <c r="D14" s="57"/>
      <c r="E14" s="57"/>
      <c r="F14" s="20"/>
      <c r="G14" s="7"/>
      <c r="H14" s="57"/>
      <c r="I14" s="62"/>
      <c r="J14" s="57"/>
      <c r="K14" s="62"/>
      <c r="L14" s="57"/>
      <c r="M14" s="57"/>
      <c r="N14" s="57"/>
      <c r="O14" s="57"/>
      <c r="P14" s="58"/>
      <c r="Q14" s="57"/>
      <c r="R14" s="57"/>
      <c r="S14" s="57"/>
      <c r="T14" s="57"/>
      <c r="U14" s="26"/>
      <c r="V14" s="26"/>
    </row>
    <row r="15" spans="1:22" x14ac:dyDescent="0.25">
      <c r="A15" s="57"/>
      <c r="B15" s="57"/>
      <c r="C15" s="57"/>
      <c r="D15" s="57"/>
      <c r="E15" s="57"/>
      <c r="F15" s="20"/>
      <c r="G15" s="7"/>
      <c r="H15" s="57"/>
      <c r="I15" s="62"/>
      <c r="J15" s="57"/>
      <c r="K15" s="62"/>
      <c r="L15" s="57"/>
      <c r="M15" s="57"/>
      <c r="N15" s="57"/>
      <c r="O15" s="57"/>
      <c r="P15" s="58"/>
      <c r="Q15" s="57"/>
      <c r="R15" s="57"/>
      <c r="S15" s="57"/>
      <c r="T15" s="57"/>
      <c r="U15" s="26"/>
      <c r="V15" s="26"/>
    </row>
    <row r="16" spans="1:22" x14ac:dyDescent="0.25">
      <c r="A16" s="57" t="s">
        <v>77</v>
      </c>
      <c r="B16" s="57">
        <v>330</v>
      </c>
      <c r="C16" s="57">
        <v>59</v>
      </c>
      <c r="D16" s="57">
        <v>19</v>
      </c>
      <c r="E16" s="57">
        <f t="shared" ref="E16:E18" si="6">B16*C16/1000000</f>
        <v>1.9470000000000001E-2</v>
      </c>
      <c r="F16" s="20"/>
      <c r="G16" s="7" t="s">
        <v>12</v>
      </c>
      <c r="H16" s="57">
        <f>ROUND(Q16+T16/Раскройка!$F$2,0)</f>
        <v>778</v>
      </c>
      <c r="I16" s="62" t="s">
        <v>41</v>
      </c>
      <c r="J16" s="57">
        <v>2</v>
      </c>
      <c r="K16" s="62" t="s">
        <v>39</v>
      </c>
      <c r="L16" s="57">
        <v>4</v>
      </c>
      <c r="M16" s="57">
        <f>E16*(0.25*(VLOOKUP(I16,Покрытия!$A$2:$B$40,2,FALSE)*J16+VLOOKUP(K16,Покрытия!$A$2:$B$40,2,FALSE)*L16)+H16)</f>
        <v>47.273160000000004</v>
      </c>
      <c r="N16" s="57">
        <v>4</v>
      </c>
      <c r="O16" s="57">
        <f t="shared" ref="O16:O18" si="7">M16*N16</f>
        <v>189.09264000000002</v>
      </c>
      <c r="P16" s="58"/>
      <c r="Q16" s="57">
        <f t="array" ref="Q16">INDEX(Материалы!$C$2:$C$50,MATCH(G16&amp;D16,Материалы!$A$2:$A$50&amp;Материалы!$B$2:$B$50,0))</f>
        <v>734</v>
      </c>
      <c r="R16" s="57">
        <f>FLOOR(Раскройка!$D$2/B16,1)*FLOOR(Раскройка!$C$2/C16,1)</f>
        <v>280</v>
      </c>
      <c r="S16" s="57">
        <f>MAX(Раскройка!$F$2-E16*R16,0)</f>
        <v>0.34839999999999982</v>
      </c>
      <c r="T16" s="57">
        <f t="shared" ref="T16:T18" si="8">Q16*S16</f>
        <v>255.72559999999987</v>
      </c>
      <c r="U16" s="58"/>
      <c r="V16" s="26"/>
    </row>
    <row r="17" spans="1:22" x14ac:dyDescent="0.25">
      <c r="A17" s="57" t="s">
        <v>78</v>
      </c>
      <c r="B17" s="57">
        <v>2129</v>
      </c>
      <c r="C17" s="57">
        <v>59</v>
      </c>
      <c r="D17" s="57">
        <v>19</v>
      </c>
      <c r="E17" s="57">
        <f t="shared" si="6"/>
        <v>0.125611</v>
      </c>
      <c r="F17" s="20"/>
      <c r="G17" s="7" t="s">
        <v>12</v>
      </c>
      <c r="H17" s="57">
        <f>ROUND(Q17+T17/Раскройка!$F$2,0)</f>
        <v>912</v>
      </c>
      <c r="I17" s="62" t="s">
        <v>41</v>
      </c>
      <c r="J17" s="57">
        <v>2</v>
      </c>
      <c r="K17" s="62" t="s">
        <v>39</v>
      </c>
      <c r="L17" s="57">
        <v>4</v>
      </c>
      <c r="M17" s="57">
        <f>E17*(0.25*(VLOOKUP(I17,Покрытия!$A$2:$B$40,2,FALSE)*J17+VLOOKUP(K17,Покрытия!$A$2:$B$40,2,FALSE)*L17)+H17)</f>
        <v>321.815382</v>
      </c>
      <c r="N17" s="57">
        <v>1</v>
      </c>
      <c r="O17" s="57">
        <f t="shared" si="7"/>
        <v>321.815382</v>
      </c>
      <c r="P17" s="58"/>
      <c r="Q17" s="57">
        <f t="array" ref="Q17">INDEX(Материалы!$C$2:$C$50,MATCH(G17&amp;D17,Материалы!$A$2:$A$50&amp;Материалы!$B$2:$B$50,0))</f>
        <v>734</v>
      </c>
      <c r="R17" s="57">
        <f>FLOOR(Раскройка!$D$2/B17,1)*FLOOR(Раскройка!$C$2/C17,1)</f>
        <v>35</v>
      </c>
      <c r="S17" s="57">
        <f>MAX(Раскройка!$F$2-E17*R17,0)</f>
        <v>1.4036149999999994</v>
      </c>
      <c r="T17" s="57">
        <f t="shared" si="8"/>
        <v>1030.2534099999996</v>
      </c>
      <c r="U17" s="58"/>
      <c r="V17" s="26"/>
    </row>
    <row r="18" spans="1:22" x14ac:dyDescent="0.25">
      <c r="A18" s="57" t="s">
        <v>57</v>
      </c>
      <c r="B18" s="57">
        <v>330</v>
      </c>
      <c r="C18" s="57">
        <v>407</v>
      </c>
      <c r="D18" s="57">
        <v>19</v>
      </c>
      <c r="E18" s="57">
        <f t="shared" si="6"/>
        <v>0.13431000000000001</v>
      </c>
      <c r="F18" s="20"/>
      <c r="G18" s="7" t="s">
        <v>12</v>
      </c>
      <c r="H18" s="57">
        <f>ROUND(Q18+T18/Раскройка!$F$2,0)</f>
        <v>788</v>
      </c>
      <c r="I18" s="62" t="s">
        <v>41</v>
      </c>
      <c r="J18" s="57">
        <v>2</v>
      </c>
      <c r="K18" s="62" t="s">
        <v>39</v>
      </c>
      <c r="L18" s="57">
        <v>4</v>
      </c>
      <c r="M18" s="57">
        <f>E18*(0.25*(VLOOKUP(I18,Покрытия!$A$2:$B$40,2,FALSE)*J18+VLOOKUP(K18,Покрытия!$A$2:$B$40,2,FALSE)*L18)+H18)</f>
        <v>327.44778000000002</v>
      </c>
      <c r="N18" s="57">
        <v>2</v>
      </c>
      <c r="O18" s="57">
        <f t="shared" si="7"/>
        <v>654.89556000000005</v>
      </c>
      <c r="P18" s="58"/>
      <c r="Q18" s="57">
        <f t="array" ref="Q18">INDEX(Материалы!$C$2:$C$50,MATCH(G18&amp;D18,Материалы!$A$2:$A$50&amp;Материалы!$B$2:$B$50,0))</f>
        <v>734</v>
      </c>
      <c r="R18" s="57">
        <f>FLOOR(Раскройка!$D$2/B18,1)*FLOOR(Раскройка!$C$2/C18,1)</f>
        <v>40</v>
      </c>
      <c r="S18" s="57">
        <f>MAX(Раскройка!$F$2-E18*R18,0)</f>
        <v>0.42759999999999909</v>
      </c>
      <c r="T18" s="57">
        <f t="shared" si="8"/>
        <v>313.85839999999934</v>
      </c>
      <c r="U18" s="58"/>
    </row>
    <row r="19" spans="1:22" x14ac:dyDescent="0.25">
      <c r="A19" s="57" t="s">
        <v>93</v>
      </c>
      <c r="B19" s="57">
        <v>250</v>
      </c>
      <c r="C19" s="57">
        <v>59</v>
      </c>
      <c r="D19" s="57">
        <v>19</v>
      </c>
      <c r="E19" s="57">
        <f>B19*C19*D19/1000000000</f>
        <v>2.8025000000000001E-4</v>
      </c>
      <c r="F19" s="57">
        <f>B19*C19/1000000</f>
        <v>1.4749999999999999E-2</v>
      </c>
      <c r="G19" s="65" t="s">
        <v>15</v>
      </c>
      <c r="H19" s="57">
        <f>ROUND(Q19+T19/Раскройка!$F$11,0)</f>
        <v>40085</v>
      </c>
      <c r="I19" s="62" t="s">
        <v>41</v>
      </c>
      <c r="J19" s="57">
        <v>2</v>
      </c>
      <c r="K19" s="62" t="s">
        <v>39</v>
      </c>
      <c r="L19" s="57">
        <v>4</v>
      </c>
      <c r="M19" s="57">
        <f>E19*H19+0.25*((VLOOKUP(I19,Покрытия!$A$2:$B$50,2,FALSE)*J19+VLOOKUP(K19,Покрытия!$A$2:$B$50,2,FALSE)*L19)*F19)</f>
        <v>35.571321249999997</v>
      </c>
      <c r="N19" s="57">
        <v>4</v>
      </c>
      <c r="O19" s="57">
        <f t="shared" ref="O19:O24" si="9">M19*N19</f>
        <v>142.28528499999999</v>
      </c>
      <c r="P19" s="58"/>
      <c r="Q19" s="57">
        <f t="array" ref="Q19">INDEX(Материалы!$C$2:$C$50,MATCH(G19,Материалы!$A$2:$A$50,0))</f>
        <v>32000</v>
      </c>
      <c r="R19" s="57">
        <f>FLOOR(Раскройка!$C$11/C19,1)*FLOOR(Раскройка!$D$11/B19,1)</f>
        <v>60</v>
      </c>
      <c r="S19" s="57">
        <f>MAX(Раскройка!$F$11-E19*R19,0)</f>
        <v>5.6849999999999991E-3</v>
      </c>
      <c r="T19" s="57">
        <f t="shared" ref="T19:T24" si="10">Q19*S19</f>
        <v>181.91999999999996</v>
      </c>
    </row>
    <row r="20" spans="1:22" x14ac:dyDescent="0.25">
      <c r="A20" s="57" t="s">
        <v>99</v>
      </c>
      <c r="B20" s="57">
        <v>384</v>
      </c>
      <c r="C20" s="57">
        <v>59</v>
      </c>
      <c r="D20" s="57">
        <v>19</v>
      </c>
      <c r="E20" s="57">
        <f>B20*C20*D20/1000000000</f>
        <v>4.3046399999999998E-4</v>
      </c>
      <c r="F20" s="57">
        <f>B20*C20/1000000</f>
        <v>2.2655999999999999E-2</v>
      </c>
      <c r="G20" s="65" t="s">
        <v>15</v>
      </c>
      <c r="H20" s="57">
        <f>ROUND(Q20+T20/Раскройка!$F$11,0)</f>
        <v>42572</v>
      </c>
      <c r="I20" s="62" t="s">
        <v>41</v>
      </c>
      <c r="J20" s="57">
        <v>2</v>
      </c>
      <c r="K20" s="62" t="s">
        <v>39</v>
      </c>
      <c r="L20" s="57">
        <v>4</v>
      </c>
      <c r="M20" s="57">
        <f>E20*H20+0.25*((VLOOKUP(I20,Покрытия!$A$2:$B$50,2,FALSE)*J20+VLOOKUP(K20,Покрытия!$A$2:$B$50,2,FALSE)*L20)*F20)</f>
        <v>55.708113407999996</v>
      </c>
      <c r="N20" s="57">
        <v>4</v>
      </c>
      <c r="O20" s="57">
        <f t="shared" si="9"/>
        <v>222.83245363199998</v>
      </c>
      <c r="P20" s="58"/>
      <c r="Q20" s="57">
        <f t="array" ref="Q20">INDEX(Материалы!$C$2:$C$50,MATCH(G20,Материалы!$A$2:$A$50,0))</f>
        <v>32000</v>
      </c>
      <c r="R20" s="57">
        <f>FLOOR(Раскройка!$C$11/C20,1)*FLOOR(Раскройка!$D$11/B20,1)</f>
        <v>35</v>
      </c>
      <c r="S20" s="57">
        <f>MAX(Раскройка!$F$11-E20*R20,0)</f>
        <v>7.4337599999999993E-3</v>
      </c>
      <c r="T20" s="57">
        <f t="shared" si="10"/>
        <v>237.88031999999998</v>
      </c>
    </row>
    <row r="21" spans="1:22" x14ac:dyDescent="0.25">
      <c r="A21" s="62" t="s">
        <v>57</v>
      </c>
      <c r="B21" s="62">
        <f>2129-407*2-55*4</f>
        <v>1095</v>
      </c>
      <c r="C21" s="62">
        <v>330</v>
      </c>
      <c r="D21" s="62">
        <v>19</v>
      </c>
      <c r="E21" s="62">
        <f>B21*C21/1000000</f>
        <v>0.36135</v>
      </c>
      <c r="F21" s="20"/>
      <c r="G21" s="7" t="s">
        <v>12</v>
      </c>
      <c r="H21" s="62">
        <f>ROUND(Q21+T21/Раскройка!$F$2,0)</f>
        <v>919</v>
      </c>
      <c r="I21" s="62" t="s">
        <v>41</v>
      </c>
      <c r="J21" s="62">
        <v>2</v>
      </c>
      <c r="K21" s="62" t="s">
        <v>39</v>
      </c>
      <c r="L21" s="62">
        <v>4</v>
      </c>
      <c r="M21" s="62">
        <f>E21*(0.25*(VLOOKUP(I21,Покрытия!$A$2:$B$40,2,FALSE)*J21+VLOOKUP(K21,Покрытия!$A$2:$B$40,2,FALSE)*L21)+H21)</f>
        <v>928.30814999999996</v>
      </c>
      <c r="N21" s="62">
        <v>1</v>
      </c>
      <c r="O21" s="62">
        <f t="shared" si="9"/>
        <v>928.30814999999996</v>
      </c>
      <c r="P21" s="63"/>
      <c r="Q21" s="62">
        <f t="array" ref="Q21">INDEX(Материалы!$C$2:$C$50,MATCH(G21&amp;D21,Материалы!$A$2:$A$50&amp;Материалы!$B$2:$B$50,0))</f>
        <v>734</v>
      </c>
      <c r="R21" s="62">
        <f>FLOOR(Раскройка!$D$2/B21,1)*FLOOR(Раскройка!$C$2/C21,1)</f>
        <v>12</v>
      </c>
      <c r="S21" s="62">
        <f>MAX(Раскройка!$F$2-E21*R21,0)</f>
        <v>1.4638</v>
      </c>
      <c r="T21" s="62">
        <f t="shared" si="10"/>
        <v>1074.4292</v>
      </c>
    </row>
    <row r="22" spans="1:22" x14ac:dyDescent="0.25">
      <c r="A22" s="62" t="s">
        <v>93</v>
      </c>
      <c r="B22" s="62">
        <v>330</v>
      </c>
      <c r="C22" s="62">
        <v>59</v>
      </c>
      <c r="D22" s="62">
        <v>19</v>
      </c>
      <c r="E22" s="62">
        <f>B22*C22*D22/1000000000</f>
        <v>3.6992999999999998E-4</v>
      </c>
      <c r="F22" s="62">
        <f>B22*C22/1000000</f>
        <v>1.9470000000000001E-2</v>
      </c>
      <c r="G22" s="65" t="s">
        <v>15</v>
      </c>
      <c r="H22" s="62">
        <f>ROUND(Q22+T22/Раскройка!$F$11,0)</f>
        <v>40324</v>
      </c>
      <c r="I22" s="62" t="s">
        <v>41</v>
      </c>
      <c r="J22" s="62">
        <v>2</v>
      </c>
      <c r="K22" s="62" t="s">
        <v>39</v>
      </c>
      <c r="L22" s="62">
        <v>4</v>
      </c>
      <c r="M22" s="62">
        <f>E22*H22+0.25*((VLOOKUP(I22,Покрытия!$A$2:$B$50,2,FALSE)*J22+VLOOKUP(K22,Покрытия!$A$2:$B$50,2,FALSE)*L22)*F22)</f>
        <v>47.04255732</v>
      </c>
      <c r="N22" s="62">
        <v>4</v>
      </c>
      <c r="O22" s="62">
        <f t="shared" si="9"/>
        <v>188.17022928</v>
      </c>
      <c r="P22" s="63"/>
      <c r="Q22" s="62">
        <f t="array" ref="Q22">INDEX(Материалы!$C$2:$C$50,MATCH(G22,Материалы!$A$2:$A$50,0))</f>
        <v>32000</v>
      </c>
      <c r="R22" s="62">
        <f>FLOOR(Раскройка!$C$11/C22,1)*FLOOR(Раскройка!$D$11/B22,1)</f>
        <v>45</v>
      </c>
      <c r="S22" s="62">
        <f>MAX(Раскройка!$F$11-E22*R22,0)</f>
        <v>5.8531500000000014E-3</v>
      </c>
      <c r="T22" s="62">
        <f t="shared" si="10"/>
        <v>187.30080000000004</v>
      </c>
    </row>
    <row r="23" spans="1:22" x14ac:dyDescent="0.25">
      <c r="A23" s="62" t="s">
        <v>99</v>
      </c>
      <c r="B23" s="62">
        <v>1095</v>
      </c>
      <c r="C23" s="62">
        <v>59</v>
      </c>
      <c r="D23" s="62">
        <v>19</v>
      </c>
      <c r="E23" s="62">
        <f>B23*C23*D23/1000000000</f>
        <v>1.2274950000000001E-3</v>
      </c>
      <c r="F23" s="62">
        <f>B23*C23/1000000</f>
        <v>6.4604999999999996E-2</v>
      </c>
      <c r="G23" s="65" t="s">
        <v>15</v>
      </c>
      <c r="H23" s="62">
        <f>ROUND(Q23+T23/Раскройка!$F$11,0)</f>
        <v>46542</v>
      </c>
      <c r="I23" s="62" t="s">
        <v>41</v>
      </c>
      <c r="J23" s="62">
        <v>2</v>
      </c>
      <c r="K23" s="62" t="s">
        <v>39</v>
      </c>
      <c r="L23" s="62">
        <v>4</v>
      </c>
      <c r="M23" s="62">
        <f>E23*H23+0.25*((VLOOKUP(I23,Покрытия!$A$2:$B$50,2,FALSE)*J23+VLOOKUP(K23,Покрытия!$A$2:$B$50,2,FALSE)*L23)*F23)</f>
        <v>163.72832228999999</v>
      </c>
      <c r="N23" s="62">
        <v>4</v>
      </c>
      <c r="O23" s="62">
        <f t="shared" si="9"/>
        <v>654.91328915999998</v>
      </c>
      <c r="P23" s="63"/>
      <c r="Q23" s="62">
        <f t="array" ref="Q23">INDEX(Материалы!$C$2:$C$50,MATCH(G23,Материалы!$A$2:$A$50,0))</f>
        <v>32000</v>
      </c>
      <c r="R23" s="62">
        <f>FLOOR(Раскройка!$C$11/C23,1)*FLOOR(Раскройка!$D$11/B23,1)</f>
        <v>10</v>
      </c>
      <c r="S23" s="62">
        <f>MAX(Раскройка!$F$11-E23*R23,0)</f>
        <v>1.0225049999999998E-2</v>
      </c>
      <c r="T23" s="62">
        <f t="shared" si="10"/>
        <v>327.20159999999993</v>
      </c>
    </row>
    <row r="24" spans="1:22" x14ac:dyDescent="0.25">
      <c r="A24" s="62" t="s">
        <v>78</v>
      </c>
      <c r="B24" s="62">
        <v>2129</v>
      </c>
      <c r="C24" s="62">
        <v>207</v>
      </c>
      <c r="D24" s="62">
        <v>19</v>
      </c>
      <c r="E24" s="62">
        <f>B24*C24/1000000</f>
        <v>0.44070300000000001</v>
      </c>
      <c r="F24" s="20"/>
      <c r="G24" s="7" t="s">
        <v>12</v>
      </c>
      <c r="H24" s="62">
        <f>ROUND(Q24+T24/Раскройка!$F$2,0)</f>
        <v>910</v>
      </c>
      <c r="I24" s="62" t="s">
        <v>41</v>
      </c>
      <c r="J24" s="62">
        <v>2</v>
      </c>
      <c r="K24" s="62" t="s">
        <v>39</v>
      </c>
      <c r="L24" s="62">
        <v>4</v>
      </c>
      <c r="M24" s="62">
        <f>E24*(0.25*(VLOOKUP(I24,Покрытия!$A$2:$B$40,2,FALSE)*J24+VLOOKUP(K24,Покрытия!$A$2:$B$40,2,FALSE)*L24)+H24)</f>
        <v>1128.1996799999999</v>
      </c>
      <c r="N24" s="62">
        <v>1</v>
      </c>
      <c r="O24" s="62">
        <f t="shared" si="9"/>
        <v>1128.1996799999999</v>
      </c>
      <c r="P24" s="63"/>
      <c r="Q24" s="62">
        <f t="array" ref="Q24">INDEX(Материалы!$C$2:$C$50,MATCH(G24&amp;D24,Материалы!$A$2:$A$50&amp;Материалы!$B$2:$B$50,0))</f>
        <v>734</v>
      </c>
      <c r="R24" s="62">
        <f>FLOOR(Раскройка!$D$2/B24,1)*FLOOR(Раскройка!$C$2/C24,1)</f>
        <v>10</v>
      </c>
      <c r="S24" s="62">
        <f>MAX(Раскройка!$F$2-E24*R24,0)</f>
        <v>1.39297</v>
      </c>
      <c r="T24" s="62">
        <f t="shared" si="10"/>
        <v>1022.43998</v>
      </c>
      <c r="U24" s="26"/>
    </row>
    <row r="25" spans="1:22" x14ac:dyDescent="0.25">
      <c r="A25" s="62"/>
      <c r="B25" s="62"/>
      <c r="C25" s="62"/>
      <c r="D25" s="62"/>
      <c r="E25" s="62"/>
      <c r="F25" s="20"/>
      <c r="G25" s="7"/>
      <c r="H25" s="62"/>
      <c r="I25" s="62"/>
      <c r="J25" s="62"/>
      <c r="K25" s="62"/>
      <c r="L25" s="62"/>
      <c r="M25" s="62"/>
      <c r="N25" s="62"/>
      <c r="O25" s="62"/>
      <c r="P25" s="63"/>
      <c r="Q25" s="62"/>
      <c r="R25" s="62"/>
      <c r="S25" s="62"/>
      <c r="T25" s="62"/>
      <c r="U25" s="26"/>
    </row>
    <row r="26" spans="1:22" x14ac:dyDescent="0.25">
      <c r="A26" s="57"/>
      <c r="B26" s="57"/>
      <c r="C26" s="57"/>
      <c r="D26" s="57"/>
      <c r="E26" s="57"/>
      <c r="F26" s="20"/>
      <c r="G26" s="7"/>
      <c r="H26" s="57"/>
      <c r="I26" s="62"/>
      <c r="J26" s="57"/>
      <c r="K26" s="62"/>
      <c r="L26" s="57"/>
      <c r="M26" s="57"/>
      <c r="N26" s="57"/>
      <c r="O26" s="57"/>
      <c r="P26" s="58"/>
      <c r="Q26" s="57"/>
      <c r="R26" s="57"/>
      <c r="S26" s="57"/>
      <c r="T26" s="57"/>
      <c r="U26" s="26"/>
    </row>
    <row r="27" spans="1:22" x14ac:dyDescent="0.25">
      <c r="A27" s="62" t="s">
        <v>78</v>
      </c>
      <c r="B27" s="62">
        <v>1458</v>
      </c>
      <c r="C27" s="62">
        <v>205</v>
      </c>
      <c r="D27" s="62">
        <v>19</v>
      </c>
      <c r="E27" s="62">
        <f t="shared" ref="E27:E30" si="11">B27*C27/1000000</f>
        <v>0.29888999999999999</v>
      </c>
      <c r="F27" s="20"/>
      <c r="G27" s="7" t="s">
        <v>12</v>
      </c>
      <c r="H27" s="62">
        <f>ROUND(Q27+T27/Раскройка!$F$2,0)</f>
        <v>1090</v>
      </c>
      <c r="I27" s="62" t="s">
        <v>41</v>
      </c>
      <c r="J27" s="62">
        <v>2</v>
      </c>
      <c r="K27" s="62" t="s">
        <v>39</v>
      </c>
      <c r="L27" s="62">
        <v>4</v>
      </c>
      <c r="M27" s="62">
        <f>E27*(0.25*(VLOOKUP(I27,Покрытия!$A$2:$B$40,2,FALSE)*J27+VLOOKUP(K27,Покрытия!$A$2:$B$40,2,FALSE)*L27)+H27)</f>
        <v>818.95859999999993</v>
      </c>
      <c r="N27" s="62">
        <v>1</v>
      </c>
      <c r="O27" s="62">
        <f t="shared" ref="O27:O30" si="12">M27*N27</f>
        <v>818.95859999999993</v>
      </c>
      <c r="P27" s="63"/>
      <c r="Q27" s="62">
        <f t="array" ref="Q27">INDEX(Материалы!$C$2:$C$50,MATCH(G27&amp;D27,Материалы!$A$2:$A$50&amp;Материалы!$B$2:$B$50,0))</f>
        <v>734</v>
      </c>
      <c r="R27" s="62">
        <f>FLOOR(Раскройка!$D$2/B27,1)*FLOOR(Раскройка!$C$2/C27,1)</f>
        <v>10</v>
      </c>
      <c r="S27" s="62">
        <f>MAX(Раскройка!$F$2-E27*R27,0)</f>
        <v>2.8110999999999997</v>
      </c>
      <c r="T27" s="62">
        <f t="shared" ref="T27:T30" si="13">Q27*S27</f>
        <v>2063.3473999999997</v>
      </c>
      <c r="U27" s="63"/>
    </row>
    <row r="28" spans="1:22" x14ac:dyDescent="0.25">
      <c r="A28" s="62" t="s">
        <v>78</v>
      </c>
      <c r="B28" s="62">
        <v>1458</v>
      </c>
      <c r="C28" s="62">
        <v>59</v>
      </c>
      <c r="D28" s="62">
        <v>19</v>
      </c>
      <c r="E28" s="62">
        <f t="shared" si="11"/>
        <v>8.6022000000000001E-2</v>
      </c>
      <c r="F28" s="20"/>
      <c r="G28" s="7" t="s">
        <v>12</v>
      </c>
      <c r="H28" s="62">
        <f>ROUND(Q28+T28/Раскройка!$F$2,0)</f>
        <v>1087</v>
      </c>
      <c r="I28" s="62" t="s">
        <v>41</v>
      </c>
      <c r="J28" s="62">
        <v>2</v>
      </c>
      <c r="K28" s="62" t="s">
        <v>39</v>
      </c>
      <c r="L28" s="62">
        <v>4</v>
      </c>
      <c r="M28" s="62">
        <f>E28*(0.25*(VLOOKUP(I28,Покрытия!$A$2:$B$40,2,FALSE)*J28+VLOOKUP(K28,Покрытия!$A$2:$B$40,2,FALSE)*L28)+H28)</f>
        <v>235.44221400000001</v>
      </c>
      <c r="N28" s="62">
        <v>2</v>
      </c>
      <c r="O28" s="62">
        <f t="shared" si="12"/>
        <v>470.88442800000001</v>
      </c>
      <c r="P28" s="63"/>
      <c r="Q28" s="62">
        <f t="array" ref="Q28">INDEX(Материалы!$C$2:$C$50,MATCH(G28&amp;D28,Материалы!$A$2:$A$50&amp;Материалы!$B$2:$B$50,0))</f>
        <v>734</v>
      </c>
      <c r="R28" s="62">
        <f>FLOOR(Раскройка!$D$2/B28,1)*FLOOR(Раскройка!$C$2/C28,1)</f>
        <v>35</v>
      </c>
      <c r="S28" s="62">
        <f>MAX(Раскройка!$F$2-E28*R28,0)</f>
        <v>2.7892299999999999</v>
      </c>
      <c r="T28" s="62">
        <f t="shared" si="13"/>
        <v>2047.2948199999998</v>
      </c>
    </row>
    <row r="29" spans="1:22" x14ac:dyDescent="0.25">
      <c r="A29" s="62" t="s">
        <v>77</v>
      </c>
      <c r="B29" s="62">
        <f>2229-205</f>
        <v>2024</v>
      </c>
      <c r="C29" s="62">
        <v>59</v>
      </c>
      <c r="D29" s="62">
        <v>19</v>
      </c>
      <c r="E29" s="62">
        <f t="shared" si="11"/>
        <v>0.11941599999999999</v>
      </c>
      <c r="F29" s="20"/>
      <c r="G29" s="7" t="s">
        <v>12</v>
      </c>
      <c r="H29" s="62">
        <f>ROUND(Q29+T29/Раскройка!$F$2,0)</f>
        <v>939</v>
      </c>
      <c r="I29" s="62" t="s">
        <v>41</v>
      </c>
      <c r="J29" s="62">
        <v>2</v>
      </c>
      <c r="K29" s="62" t="s">
        <v>39</v>
      </c>
      <c r="L29" s="62">
        <v>4</v>
      </c>
      <c r="M29" s="62">
        <f>E29*(0.25*(VLOOKUP(I29,Покрытия!$A$2:$B$40,2,FALSE)*J29+VLOOKUP(K29,Покрытия!$A$2:$B$40,2,FALSE)*L29)+H29)</f>
        <v>309.168024</v>
      </c>
      <c r="N29" s="62">
        <v>3</v>
      </c>
      <c r="O29" s="62">
        <f t="shared" si="12"/>
        <v>927.50407199999995</v>
      </c>
      <c r="P29" s="63"/>
      <c r="Q29" s="62">
        <f t="array" ref="Q29">INDEX(Материалы!$C$2:$C$50,MATCH(G29&amp;D29,Материалы!$A$2:$A$50&amp;Материалы!$B$2:$B$50,0))</f>
        <v>734</v>
      </c>
      <c r="R29" s="62">
        <f>FLOOR(Раскройка!$D$2/B29,1)*FLOOR(Раскройка!$C$2/C29,1)</f>
        <v>35</v>
      </c>
      <c r="S29" s="62">
        <f>MAX(Раскройка!$F$2-E29*R29,0)</f>
        <v>1.6204400000000003</v>
      </c>
      <c r="T29" s="62">
        <f t="shared" si="13"/>
        <v>1189.4029600000003</v>
      </c>
    </row>
    <row r="30" spans="1:22" x14ac:dyDescent="0.25">
      <c r="A30" s="62" t="s">
        <v>57</v>
      </c>
      <c r="B30" s="62">
        <v>1984</v>
      </c>
      <c r="C30" s="62">
        <v>647</v>
      </c>
      <c r="D30" s="62">
        <v>19</v>
      </c>
      <c r="E30" s="62">
        <f t="shared" si="11"/>
        <v>1.2836479999999999</v>
      </c>
      <c r="F30" s="20"/>
      <c r="G30" s="7" t="s">
        <v>12</v>
      </c>
      <c r="H30" s="62">
        <f>ROUND(Q30+T30/Раскройка!$F$2,0)</f>
        <v>981</v>
      </c>
      <c r="I30" s="62" t="s">
        <v>41</v>
      </c>
      <c r="J30" s="62">
        <v>2</v>
      </c>
      <c r="K30" s="62" t="s">
        <v>39</v>
      </c>
      <c r="L30" s="62">
        <v>4</v>
      </c>
      <c r="M30" s="62">
        <f>E30*(0.25*(VLOOKUP(I30,Покрытия!$A$2:$B$40,2,FALSE)*J30+VLOOKUP(K30,Покрытия!$A$2:$B$40,2,FALSE)*L30)+H30)</f>
        <v>3377.2778879999996</v>
      </c>
      <c r="N30" s="62">
        <v>2</v>
      </c>
      <c r="O30" s="62">
        <f t="shared" si="12"/>
        <v>6754.5557759999992</v>
      </c>
      <c r="P30" s="63"/>
      <c r="Q30" s="62">
        <f t="array" ref="Q30">INDEX(Материалы!$C$2:$C$50,MATCH(G30&amp;D30,Материалы!$A$2:$A$50&amp;Материалы!$B$2:$B$50,0))</f>
        <v>734</v>
      </c>
      <c r="R30" s="62">
        <f>FLOOR(Раскройка!$D$2/B30,1)*FLOOR(Раскройка!$C$2/C30,1)</f>
        <v>3</v>
      </c>
      <c r="S30" s="62">
        <f>MAX(Раскройка!$F$2-E30*R30,0)</f>
        <v>1.9490560000000001</v>
      </c>
      <c r="T30" s="62">
        <f t="shared" si="13"/>
        <v>1430.6071040000002</v>
      </c>
      <c r="U30" s="26"/>
    </row>
    <row r="31" spans="1:22" x14ac:dyDescent="0.25">
      <c r="A31" s="62" t="s">
        <v>93</v>
      </c>
      <c r="B31" s="62">
        <f>2299-205-55-55</f>
        <v>1984</v>
      </c>
      <c r="C31" s="62">
        <v>59</v>
      </c>
      <c r="D31" s="62">
        <v>19</v>
      </c>
      <c r="E31" s="62">
        <f>B31*C31*D31/1000000000</f>
        <v>2.224064E-3</v>
      </c>
      <c r="F31" s="62">
        <f>B31*C31/1000000</f>
        <v>0.11705599999999999</v>
      </c>
      <c r="G31" s="62" t="s">
        <v>15</v>
      </c>
      <c r="H31" s="62">
        <f>ROUND(Q31+T31/Раскройка!$F$11,0)</f>
        <v>48184</v>
      </c>
      <c r="I31" s="62" t="s">
        <v>41</v>
      </c>
      <c r="J31" s="62">
        <v>2</v>
      </c>
      <c r="K31" s="62" t="s">
        <v>39</v>
      </c>
      <c r="L31" s="62">
        <v>4</v>
      </c>
      <c r="M31" s="62">
        <f>E31*H31+0.25*((VLOOKUP(I31,Покрытия!$A$2:$B$50,2,FALSE)*J31+VLOOKUP(K31,Покрытия!$A$2:$B$50,2,FALSE)*L31)*F31)</f>
        <v>300.30669977599996</v>
      </c>
      <c r="N31" s="62">
        <v>4</v>
      </c>
      <c r="O31" s="62">
        <f>M31*N31</f>
        <v>1201.2267991039998</v>
      </c>
      <c r="P31" s="63"/>
      <c r="Q31" s="62">
        <f t="array" ref="Q31">INDEX(Материалы!$C$2:$C$50,MATCH(G31,Материалы!$A$2:$A$50,0))</f>
        <v>32000</v>
      </c>
      <c r="R31" s="62">
        <f>FLOOR(Раскройка!$C$11/C31,1)*FLOOR(Раскройка!$D$11/B31,1)</f>
        <v>5</v>
      </c>
      <c r="S31" s="62">
        <f>MAX(Раскройка!$F$11-E31*R31,0)</f>
        <v>1.137968E-2</v>
      </c>
      <c r="T31" s="62">
        <f>Q31*S31</f>
        <v>364.14976000000001</v>
      </c>
      <c r="U31" s="63"/>
    </row>
    <row r="32" spans="1:22" x14ac:dyDescent="0.25">
      <c r="A32" s="62" t="s">
        <v>99</v>
      </c>
      <c r="B32" s="62">
        <v>647</v>
      </c>
      <c r="C32" s="62">
        <v>59</v>
      </c>
      <c r="D32" s="62">
        <v>19</v>
      </c>
      <c r="E32" s="62">
        <f>B32*C32*D32/1000000000</f>
        <v>7.2528700000000002E-4</v>
      </c>
      <c r="F32" s="62">
        <f>B32*C32/1000000</f>
        <v>3.8172999999999999E-2</v>
      </c>
      <c r="G32" s="62" t="s">
        <v>15</v>
      </c>
      <c r="H32" s="62">
        <f>ROUND(Q32+T32/Раскройка!$F$11,0)</f>
        <v>43370</v>
      </c>
      <c r="I32" s="62" t="s">
        <v>41</v>
      </c>
      <c r="J32" s="62">
        <v>2</v>
      </c>
      <c r="K32" s="62" t="s">
        <v>39</v>
      </c>
      <c r="L32" s="62">
        <v>4</v>
      </c>
      <c r="M32" s="62">
        <f>E32*H32+0.25*((VLOOKUP(I32,Покрытия!$A$2:$B$50,2,FALSE)*J32+VLOOKUP(K32,Покрытия!$A$2:$B$50,2,FALSE)*L32)*F32)</f>
        <v>94.441147190000009</v>
      </c>
      <c r="N32" s="62">
        <v>8</v>
      </c>
      <c r="O32" s="62">
        <f>M32*N32</f>
        <v>755.52917752000008</v>
      </c>
      <c r="P32" s="63"/>
      <c r="Q32" s="62">
        <f t="array" ref="Q32">INDEX(Материалы!$C$2:$C$50,MATCH(G32,Материалы!$A$2:$A$50,0))</f>
        <v>32000</v>
      </c>
      <c r="R32" s="62">
        <f>FLOOR(Раскройка!$C$11/C32,1)*FLOOR(Раскройка!$D$11/B32,1)</f>
        <v>20</v>
      </c>
      <c r="S32" s="62">
        <f>MAX(Раскройка!$F$11-E32*R32,0)</f>
        <v>7.9942599999999996E-3</v>
      </c>
      <c r="T32" s="62">
        <f>Q32*S32</f>
        <v>255.81631999999999</v>
      </c>
      <c r="U32" s="63"/>
    </row>
    <row r="33" spans="1:21" x14ac:dyDescent="0.25">
      <c r="A33" s="62"/>
      <c r="B33" s="62"/>
      <c r="C33" s="62"/>
      <c r="D33" s="62"/>
      <c r="E33" s="62"/>
      <c r="F33" s="20"/>
      <c r="G33" s="7"/>
      <c r="H33" s="62"/>
      <c r="I33" s="62"/>
      <c r="J33" s="62"/>
      <c r="K33" s="62"/>
      <c r="L33" s="62"/>
      <c r="M33" s="62"/>
      <c r="N33" s="62"/>
      <c r="O33" s="62"/>
      <c r="P33" s="63"/>
      <c r="Q33" s="62"/>
      <c r="R33" s="62"/>
      <c r="S33" s="62"/>
      <c r="T33" s="62"/>
      <c r="U33" s="63"/>
    </row>
    <row r="34" spans="1:21" x14ac:dyDescent="0.25">
      <c r="A34" s="62"/>
      <c r="B34" s="62"/>
      <c r="C34" s="62"/>
      <c r="D34" s="62"/>
      <c r="E34" s="62"/>
      <c r="F34" s="20"/>
      <c r="G34" s="7"/>
      <c r="H34" s="62"/>
      <c r="I34" s="62"/>
      <c r="J34" s="62"/>
      <c r="K34" s="62"/>
      <c r="L34" s="62"/>
      <c r="M34" s="62"/>
      <c r="N34" s="62"/>
      <c r="O34" s="62"/>
      <c r="P34" s="63"/>
      <c r="Q34" s="62"/>
      <c r="R34" s="62"/>
      <c r="S34" s="62"/>
      <c r="T34" s="62"/>
      <c r="U34" s="63"/>
    </row>
    <row r="35" spans="1:21" x14ac:dyDescent="0.25">
      <c r="A35" s="62" t="s">
        <v>77</v>
      </c>
      <c r="B35" s="62">
        <v>605</v>
      </c>
      <c r="C35" s="62">
        <v>59</v>
      </c>
      <c r="D35" s="62">
        <v>19</v>
      </c>
      <c r="E35" s="62">
        <f t="shared" ref="E35:E36" si="14">B35*C35/1000000</f>
        <v>3.5694999999999998E-2</v>
      </c>
      <c r="F35" s="20"/>
      <c r="G35" s="7" t="s">
        <v>12</v>
      </c>
      <c r="H35" s="62">
        <f>ROUND(Q35+T35/Раскройка!$F$2,0)</f>
        <v>836</v>
      </c>
      <c r="I35" s="62" t="s">
        <v>41</v>
      </c>
      <c r="J35" s="62">
        <v>2</v>
      </c>
      <c r="K35" s="62" t="s">
        <v>39</v>
      </c>
      <c r="L35" s="62">
        <v>4</v>
      </c>
      <c r="M35" s="62">
        <f>E35*(0.25*(VLOOKUP(I35,Покрытия!$A$2:$B$40,2,FALSE)*J35+VLOOKUP(K35,Покрытия!$A$2:$B$40,2,FALSE)*L35)+H35)</f>
        <v>88.737769999999998</v>
      </c>
      <c r="N35" s="62">
        <v>2</v>
      </c>
      <c r="O35" s="62">
        <f t="shared" ref="O35:O36" si="15">M35*N35</f>
        <v>177.47554</v>
      </c>
      <c r="P35" s="63"/>
      <c r="Q35" s="62">
        <f t="array" ref="Q35">INDEX(Материалы!$C$2:$C$50,MATCH(G35&amp;D35,Материалы!$A$2:$A$50&amp;Материалы!$B$2:$B$50,0))</f>
        <v>734</v>
      </c>
      <c r="R35" s="62">
        <f>FLOOR(Раскройка!$D$2/B35,1)*FLOOR(Раскройка!$C$2/C35,1)</f>
        <v>140</v>
      </c>
      <c r="S35" s="62">
        <f>MAX(Раскройка!$F$2-E35*R35,0)</f>
        <v>0.80269999999999975</v>
      </c>
      <c r="T35" s="62">
        <f t="shared" ref="T35:T36" si="16">Q35*S35</f>
        <v>589.18179999999984</v>
      </c>
      <c r="U35" s="63"/>
    </row>
    <row r="36" spans="1:21" x14ac:dyDescent="0.25">
      <c r="A36" s="62" t="s">
        <v>78</v>
      </c>
      <c r="B36" s="62">
        <v>589</v>
      </c>
      <c r="C36" s="62">
        <v>59</v>
      </c>
      <c r="D36" s="62">
        <v>19</v>
      </c>
      <c r="E36" s="62">
        <f t="shared" si="14"/>
        <v>3.4750999999999997E-2</v>
      </c>
      <c r="F36" s="20"/>
      <c r="G36" s="7" t="s">
        <v>12</v>
      </c>
      <c r="H36" s="62">
        <f>ROUND(Q36+T36/Раскройка!$F$2,0)</f>
        <v>852</v>
      </c>
      <c r="I36" s="62" t="s">
        <v>41</v>
      </c>
      <c r="J36" s="62">
        <v>2</v>
      </c>
      <c r="K36" s="62" t="s">
        <v>39</v>
      </c>
      <c r="L36" s="62">
        <v>4</v>
      </c>
      <c r="M36" s="62">
        <f>E36*(0.25*(VLOOKUP(I36,Покрытия!$A$2:$B$40,2,FALSE)*J36+VLOOKUP(K36,Покрытия!$A$2:$B$40,2,FALSE)*L36)+H36)</f>
        <v>86.947001999999998</v>
      </c>
      <c r="N36" s="62">
        <v>1</v>
      </c>
      <c r="O36" s="62">
        <f t="shared" si="15"/>
        <v>86.947001999999998</v>
      </c>
      <c r="P36" s="63"/>
      <c r="Q36" s="62">
        <f t="array" ref="Q36">INDEX(Материалы!$C$2:$C$50,MATCH(G36&amp;D36,Материалы!$A$2:$A$50&amp;Материалы!$B$2:$B$50,0))</f>
        <v>734</v>
      </c>
      <c r="R36" s="62">
        <f>FLOOR(Раскройка!$D$2/B36,1)*FLOOR(Раскройка!$C$2/C36,1)</f>
        <v>140</v>
      </c>
      <c r="S36" s="62">
        <f>MAX(Раскройка!$F$2-E36*R36,0)</f>
        <v>0.93486000000000047</v>
      </c>
      <c r="T36" s="62">
        <f t="shared" si="16"/>
        <v>686.18724000000032</v>
      </c>
    </row>
    <row r="37" spans="1:21" x14ac:dyDescent="0.25">
      <c r="A37" s="62" t="s">
        <v>78</v>
      </c>
      <c r="B37" s="62">
        <v>589</v>
      </c>
      <c r="C37" s="62">
        <v>207</v>
      </c>
      <c r="D37" s="62">
        <v>19</v>
      </c>
      <c r="E37" s="62">
        <f t="shared" ref="E37" si="17">B37*C37/1000000</f>
        <v>0.121923</v>
      </c>
      <c r="F37" s="20"/>
      <c r="G37" s="7" t="s">
        <v>12</v>
      </c>
      <c r="H37" s="62">
        <f>ROUND(Q37+T37/Раскройка!$F$2,0)</f>
        <v>851</v>
      </c>
      <c r="I37" s="62" t="s">
        <v>41</v>
      </c>
      <c r="J37" s="62">
        <v>2</v>
      </c>
      <c r="K37" s="62" t="s">
        <v>39</v>
      </c>
      <c r="L37" s="62">
        <v>4</v>
      </c>
      <c r="M37" s="62">
        <f>E37*(0.25*(VLOOKUP(I37,Покрытия!$A$2:$B$40,2,FALSE)*J37+VLOOKUP(K37,Покрытия!$A$2:$B$40,2,FALSE)*L37)+H37)</f>
        <v>304.92942299999999</v>
      </c>
      <c r="N37" s="62">
        <v>1</v>
      </c>
      <c r="O37" s="62">
        <f t="shared" ref="O37" si="18">M37*N37</f>
        <v>304.92942299999999</v>
      </c>
      <c r="P37" s="63"/>
      <c r="Q37" s="62">
        <f t="array" ref="Q37">INDEX(Материалы!$C$2:$C$50,MATCH(G37&amp;D37,Материалы!$A$2:$A$50&amp;Материалы!$B$2:$B$50,0))</f>
        <v>734</v>
      </c>
      <c r="R37" s="62">
        <f>FLOOR(Раскройка!$D$2/B37,1)*FLOOR(Раскройка!$C$2/C37,1)</f>
        <v>40</v>
      </c>
      <c r="S37" s="62">
        <f>MAX(Раскройка!$F$2-E37*R37,0)</f>
        <v>0.92307999999999968</v>
      </c>
      <c r="T37" s="62">
        <f t="shared" ref="T37" si="19">Q37*S37</f>
        <v>677.54071999999974</v>
      </c>
    </row>
    <row r="38" spans="1:21" x14ac:dyDescent="0.25">
      <c r="A38" s="62" t="s">
        <v>57</v>
      </c>
      <c r="B38" s="62">
        <v>495</v>
      </c>
      <c r="C38" s="62">
        <v>479</v>
      </c>
      <c r="D38" s="62">
        <v>19</v>
      </c>
      <c r="E38" s="62">
        <f>B38*C38/1000000</f>
        <v>0.23710500000000001</v>
      </c>
      <c r="F38" s="20"/>
      <c r="G38" s="7" t="s">
        <v>12</v>
      </c>
      <c r="H38" s="62">
        <f>ROUND(Q38+T38/Раскройка!$F$2,0)</f>
        <v>868</v>
      </c>
      <c r="I38" s="62" t="s">
        <v>41</v>
      </c>
      <c r="J38" s="62">
        <v>2</v>
      </c>
      <c r="K38" s="62" t="s">
        <v>39</v>
      </c>
      <c r="L38" s="62">
        <v>4</v>
      </c>
      <c r="M38" s="62">
        <f>E38*(0.25*(VLOOKUP(I38,Покрытия!$A$2:$B$40,2,FALSE)*J38+VLOOKUP(K38,Покрытия!$A$2:$B$40,2,FALSE)*L38)+H38)</f>
        <v>597.03039000000001</v>
      </c>
      <c r="N38" s="62">
        <v>1</v>
      </c>
      <c r="O38" s="62">
        <f>M38*N38</f>
        <v>597.03039000000001</v>
      </c>
      <c r="P38" s="63"/>
      <c r="Q38" s="62">
        <f t="array" ref="Q38">INDEX(Материалы!$C$2:$C$50,MATCH(G38&amp;D38,Материалы!$A$2:$A$50&amp;Материалы!$B$2:$B$50,0))</f>
        <v>734</v>
      </c>
      <c r="R38" s="62">
        <f>FLOOR(Раскройка!$D$2/B38,1)*FLOOR(Раскройка!$C$2/C38,1)</f>
        <v>20</v>
      </c>
      <c r="S38" s="62">
        <f>MAX(Раскройка!$F$2-E38*R38,0)</f>
        <v>1.0578999999999992</v>
      </c>
      <c r="T38" s="62">
        <f>Q38*S38</f>
        <v>776.49859999999944</v>
      </c>
      <c r="U38" s="26"/>
    </row>
    <row r="39" spans="1:21" x14ac:dyDescent="0.25">
      <c r="A39" s="62" t="s">
        <v>93</v>
      </c>
      <c r="B39" s="62">
        <v>495</v>
      </c>
      <c r="C39" s="62">
        <v>59</v>
      </c>
      <c r="D39" s="62">
        <v>19</v>
      </c>
      <c r="E39" s="62">
        <f>B39*C39*D39/1000000000</f>
        <v>5.5489500000000002E-4</v>
      </c>
      <c r="F39" s="62">
        <f>B39*C39/1000000</f>
        <v>2.9204999999999998E-2</v>
      </c>
      <c r="G39" s="62" t="s">
        <v>15</v>
      </c>
      <c r="H39" s="62">
        <f>ROUND(Q39+T39/Раскройка!$F$11,0)</f>
        <v>40324</v>
      </c>
      <c r="I39" s="62" t="s">
        <v>41</v>
      </c>
      <c r="J39" s="62">
        <v>2</v>
      </c>
      <c r="K39" s="62" t="s">
        <v>39</v>
      </c>
      <c r="L39" s="62">
        <v>4</v>
      </c>
      <c r="M39" s="62">
        <f>E39*H39+0.25*((VLOOKUP(I39,Покрытия!$A$2:$B$50,2,FALSE)*J39+VLOOKUP(K39,Покрытия!$A$2:$B$50,2,FALSE)*L39)*F39)</f>
        <v>70.563835979999993</v>
      </c>
      <c r="N39" s="62">
        <v>2</v>
      </c>
      <c r="O39" s="62">
        <f>M39*N39</f>
        <v>141.12767195999999</v>
      </c>
      <c r="P39" s="63"/>
      <c r="Q39" s="62">
        <f t="array" ref="Q39">INDEX(Материалы!$C$2:$C$50,MATCH(G39,Материалы!$A$2:$A$50,0))</f>
        <v>32000</v>
      </c>
      <c r="R39" s="62">
        <f>FLOOR(Раскройка!$C$11/C39,1)*FLOOR(Раскройка!$D$11/B39,1)</f>
        <v>30</v>
      </c>
      <c r="S39" s="62">
        <f>MAX(Раскройка!$F$11-E39*R39,0)</f>
        <v>5.8531499999999979E-3</v>
      </c>
      <c r="T39" s="62">
        <f>Q39*S39</f>
        <v>187.30079999999992</v>
      </c>
      <c r="U39" s="26"/>
    </row>
    <row r="40" spans="1:21" x14ac:dyDescent="0.25">
      <c r="A40" s="62" t="s">
        <v>99</v>
      </c>
      <c r="B40" s="62">
        <v>479</v>
      </c>
      <c r="C40" s="62">
        <v>59</v>
      </c>
      <c r="D40" s="62">
        <v>19</v>
      </c>
      <c r="E40" s="62">
        <f>B40*C40*D40/1000000000</f>
        <v>5.3695900000000005E-4</v>
      </c>
      <c r="F40" s="62">
        <f>B40*C40/1000000</f>
        <v>2.8261000000000001E-2</v>
      </c>
      <c r="G40" s="62" t="s">
        <v>15</v>
      </c>
      <c r="H40" s="62">
        <f>ROUND(Q40+T40/Раскройка!$F$11,0)</f>
        <v>41090</v>
      </c>
      <c r="I40" s="62" t="s">
        <v>41</v>
      </c>
      <c r="J40" s="62">
        <v>2</v>
      </c>
      <c r="K40" s="62" t="s">
        <v>39</v>
      </c>
      <c r="L40" s="62">
        <v>4</v>
      </c>
      <c r="M40" s="62">
        <f>E40*H40+0.25*((VLOOKUP(I40,Покрытия!$A$2:$B$50,2,FALSE)*J40+VLOOKUP(K40,Покрытия!$A$2:$B$50,2,FALSE)*L40)*F40)</f>
        <v>68.694295310000001</v>
      </c>
      <c r="N40" s="62">
        <v>2</v>
      </c>
      <c r="O40" s="62">
        <f>M40*N40</f>
        <v>137.38859062</v>
      </c>
      <c r="P40" s="63"/>
      <c r="Q40" s="62">
        <f t="array" ref="Q40">INDEX(Материалы!$C$2:$C$50,MATCH(G40,Материалы!$A$2:$A$50,0))</f>
        <v>32000</v>
      </c>
      <c r="R40" s="62">
        <f>FLOOR(Раскройка!$C$11/C40,1)*FLOOR(Раскройка!$D$11/B40,1)</f>
        <v>30</v>
      </c>
      <c r="S40" s="62">
        <f>MAX(Раскройка!$F$11-E40*R40,0)</f>
        <v>6.3912299999999977E-3</v>
      </c>
      <c r="T40" s="62">
        <f>Q40*S40</f>
        <v>204.51935999999992</v>
      </c>
      <c r="U40" s="26"/>
    </row>
    <row r="41" spans="1:21" x14ac:dyDescent="0.25">
      <c r="A41" s="62"/>
      <c r="B41" s="62"/>
      <c r="C41" s="62"/>
      <c r="D41" s="62"/>
      <c r="E41" s="62"/>
      <c r="F41" s="20"/>
      <c r="G41" s="7"/>
      <c r="H41" s="62"/>
      <c r="I41" s="62"/>
      <c r="J41" s="62"/>
      <c r="K41" s="62"/>
      <c r="L41" s="62"/>
      <c r="M41" s="62"/>
      <c r="N41" s="62"/>
      <c r="O41" s="62"/>
      <c r="P41" s="63"/>
      <c r="Q41" s="62"/>
      <c r="R41" s="62"/>
      <c r="S41" s="62"/>
      <c r="T41" s="62"/>
      <c r="U41" s="26"/>
    </row>
    <row r="42" spans="1:21" x14ac:dyDescent="0.25">
      <c r="A42" s="62"/>
      <c r="B42" s="62"/>
      <c r="C42" s="62"/>
      <c r="D42" s="62"/>
      <c r="E42" s="62"/>
      <c r="F42" s="20"/>
      <c r="G42" s="7"/>
      <c r="H42" s="62"/>
      <c r="I42" s="62"/>
      <c r="J42" s="62"/>
      <c r="K42" s="62"/>
      <c r="L42" s="62"/>
      <c r="M42" s="62"/>
      <c r="N42" s="62"/>
      <c r="O42" s="62"/>
      <c r="P42" s="63"/>
      <c r="Q42" s="62"/>
      <c r="R42" s="62"/>
      <c r="S42" s="62"/>
      <c r="T42" s="62"/>
      <c r="U42" s="63"/>
    </row>
    <row r="43" spans="1:21" x14ac:dyDescent="0.25">
      <c r="A43" s="62" t="s">
        <v>77</v>
      </c>
      <c r="B43" s="62">
        <v>605</v>
      </c>
      <c r="C43" s="62">
        <v>59</v>
      </c>
      <c r="D43" s="62">
        <v>19</v>
      </c>
      <c r="E43" s="62">
        <f t="shared" ref="E43:E45" si="20">B43*C43/1000000</f>
        <v>3.5694999999999998E-2</v>
      </c>
      <c r="F43" s="20"/>
      <c r="G43" s="7" t="s">
        <v>12</v>
      </c>
      <c r="H43" s="62">
        <f>ROUND(Q43+T43/Раскройка!$F$2,0)</f>
        <v>836</v>
      </c>
      <c r="I43" s="62" t="s">
        <v>41</v>
      </c>
      <c r="J43" s="62">
        <v>2</v>
      </c>
      <c r="K43" s="62" t="s">
        <v>39</v>
      </c>
      <c r="L43" s="62">
        <v>4</v>
      </c>
      <c r="M43" s="62">
        <f>E43*(0.25*(VLOOKUP(I43,Покрытия!$A$2:$B$40,2,FALSE)*J43+VLOOKUP(K43,Покрытия!$A$2:$B$40,2,FALSE)*L43)+H43)</f>
        <v>88.737769999999998</v>
      </c>
      <c r="N43" s="62">
        <v>2</v>
      </c>
      <c r="O43" s="62">
        <f t="shared" ref="O43:O48" si="21">M43*N43</f>
        <v>177.47554</v>
      </c>
      <c r="P43" s="63"/>
      <c r="Q43" s="62">
        <f t="array" ref="Q43">INDEX(Материалы!$C$2:$C$50,MATCH(G43&amp;D43,Материалы!$A$2:$A$50&amp;Материалы!$B$2:$B$50,0))</f>
        <v>734</v>
      </c>
      <c r="R43" s="62">
        <f>FLOOR(Раскройка!$D$2/B43,1)*FLOOR(Раскройка!$C$2/C43,1)</f>
        <v>140</v>
      </c>
      <c r="S43" s="62">
        <f>MAX(Раскройка!$F$2-E43*R43,0)</f>
        <v>0.80269999999999975</v>
      </c>
      <c r="T43" s="62">
        <f t="shared" ref="T43:T45" si="22">Q43*S43</f>
        <v>589.18179999999984</v>
      </c>
    </row>
    <row r="44" spans="1:21" x14ac:dyDescent="0.25">
      <c r="A44" s="62" t="s">
        <v>78</v>
      </c>
      <c r="B44" s="62">
        <v>845</v>
      </c>
      <c r="C44" s="62">
        <v>59</v>
      </c>
      <c r="D44" s="62">
        <v>19</v>
      </c>
      <c r="E44" s="62">
        <f t="shared" si="20"/>
        <v>4.9854999999999997E-2</v>
      </c>
      <c r="F44" s="20"/>
      <c r="G44" s="7" t="s">
        <v>12</v>
      </c>
      <c r="H44" s="62">
        <f>ROUND(Q44+T44/Раскройка!$F$2,0)</f>
        <v>806</v>
      </c>
      <c r="I44" s="62" t="s">
        <v>41</v>
      </c>
      <c r="J44" s="62">
        <v>2</v>
      </c>
      <c r="K44" s="62" t="s">
        <v>39</v>
      </c>
      <c r="L44" s="62">
        <v>4</v>
      </c>
      <c r="M44" s="62">
        <f>E44*(0.25*(VLOOKUP(I44,Покрытия!$A$2:$B$40,2,FALSE)*J44+VLOOKUP(K44,Покрытия!$A$2:$B$40,2,FALSE)*L44)+H44)</f>
        <v>122.44387999999999</v>
      </c>
      <c r="N44" s="62">
        <v>1</v>
      </c>
      <c r="O44" s="62">
        <f t="shared" si="21"/>
        <v>122.44387999999999</v>
      </c>
      <c r="P44" s="63"/>
      <c r="Q44" s="62">
        <f t="array" ref="Q44">INDEX(Материалы!$C$2:$C$50,MATCH(G44&amp;D44,Материалы!$A$2:$A$50&amp;Материалы!$B$2:$B$50,0))</f>
        <v>734</v>
      </c>
      <c r="R44" s="62">
        <f>FLOOR(Раскройка!$D$2/B44,1)*FLOOR(Раскройка!$C$2/C44,1)</f>
        <v>105</v>
      </c>
      <c r="S44" s="62">
        <f>MAX(Раскройка!$F$2-E44*R44,0)</f>
        <v>0.56522499999999987</v>
      </c>
      <c r="T44" s="62">
        <f t="shared" si="22"/>
        <v>414.87514999999991</v>
      </c>
    </row>
    <row r="45" spans="1:21" x14ac:dyDescent="0.25">
      <c r="A45" s="62" t="s">
        <v>78</v>
      </c>
      <c r="B45" s="62">
        <v>845</v>
      </c>
      <c r="C45" s="62">
        <v>207</v>
      </c>
      <c r="D45" s="62">
        <v>19</v>
      </c>
      <c r="E45" s="62">
        <f t="shared" si="20"/>
        <v>0.17491499999999999</v>
      </c>
      <c r="F45" s="20"/>
      <c r="G45" s="7" t="s">
        <v>12</v>
      </c>
      <c r="H45" s="62">
        <f>ROUND(Q45+T45/Раскройка!$F$2,0)</f>
        <v>804</v>
      </c>
      <c r="I45" s="62" t="s">
        <v>41</v>
      </c>
      <c r="J45" s="62">
        <v>2</v>
      </c>
      <c r="K45" s="62" t="s">
        <v>39</v>
      </c>
      <c r="L45" s="62">
        <v>4</v>
      </c>
      <c r="M45" s="62">
        <f>E45*(0.25*(VLOOKUP(I45,Покрытия!$A$2:$B$40,2,FALSE)*J45+VLOOKUP(K45,Покрытия!$A$2:$B$40,2,FALSE)*L45)+H45)</f>
        <v>429.24140999999997</v>
      </c>
      <c r="N45" s="62">
        <v>1</v>
      </c>
      <c r="O45" s="62">
        <f t="shared" si="21"/>
        <v>429.24140999999997</v>
      </c>
      <c r="P45" s="63"/>
      <c r="Q45" s="62">
        <f t="array" ref="Q45">INDEX(Материалы!$C$2:$C$50,MATCH(G45&amp;D45,Материалы!$A$2:$A$50&amp;Материалы!$B$2:$B$50,0))</f>
        <v>734</v>
      </c>
      <c r="R45" s="62">
        <f>FLOOR(Раскройка!$D$2/B45,1)*FLOOR(Раскройка!$C$2/C45,1)</f>
        <v>30</v>
      </c>
      <c r="S45" s="62">
        <f>MAX(Раскройка!$F$2-E45*R45,0)</f>
        <v>0.5525500000000001</v>
      </c>
      <c r="T45" s="62">
        <f t="shared" si="22"/>
        <v>405.57170000000008</v>
      </c>
    </row>
    <row r="46" spans="1:21" x14ac:dyDescent="0.25">
      <c r="A46" s="62" t="s">
        <v>57</v>
      </c>
      <c r="B46" s="62">
        <v>495</v>
      </c>
      <c r="C46" s="62">
        <v>845</v>
      </c>
      <c r="D46" s="62">
        <v>19</v>
      </c>
      <c r="E46" s="62">
        <f>B46*C46/1000000</f>
        <v>0.41827500000000001</v>
      </c>
      <c r="F46" s="20"/>
      <c r="G46" s="7" t="s">
        <v>12</v>
      </c>
      <c r="H46" s="62">
        <f>ROUND(Q46+T46/Раскройка!$F$2,0)</f>
        <v>939</v>
      </c>
      <c r="I46" s="62" t="s">
        <v>41</v>
      </c>
      <c r="J46" s="62">
        <v>2</v>
      </c>
      <c r="K46" s="62" t="s">
        <v>39</v>
      </c>
      <c r="L46" s="62">
        <v>4</v>
      </c>
      <c r="M46" s="62">
        <f>E46*(0.25*(VLOOKUP(I46,Покрытия!$A$2:$B$40,2,FALSE)*J46+VLOOKUP(K46,Покрытия!$A$2:$B$40,2,FALSE)*L46)+H46)</f>
        <v>1082.9139749999999</v>
      </c>
      <c r="N46" s="62">
        <v>1</v>
      </c>
      <c r="O46" s="62">
        <f t="shared" si="21"/>
        <v>1082.9139749999999</v>
      </c>
      <c r="P46" s="63"/>
      <c r="Q46" s="62">
        <f t="array" ref="Q46">INDEX(Материалы!$C$2:$C$50,MATCH(G46&amp;D46,Материалы!$A$2:$A$50&amp;Материалы!$B$2:$B$50,0))</f>
        <v>734</v>
      </c>
      <c r="R46" s="62">
        <f>FLOOR(Раскройка!$D$2/B46,1)*FLOOR(Раскройка!$C$2/C46,1)</f>
        <v>10</v>
      </c>
      <c r="S46" s="62">
        <f>MAX(Раскройка!$F$2-E46*R46,0)</f>
        <v>1.6172499999999994</v>
      </c>
      <c r="T46" s="62">
        <f>Q46*S46</f>
        <v>1187.0614999999996</v>
      </c>
    </row>
    <row r="47" spans="1:21" x14ac:dyDescent="0.25">
      <c r="A47" s="62" t="s">
        <v>93</v>
      </c>
      <c r="B47" s="62">
        <v>495</v>
      </c>
      <c r="C47" s="62">
        <v>59</v>
      </c>
      <c r="D47" s="62">
        <v>19</v>
      </c>
      <c r="E47" s="62">
        <f>B47*C47*D47/1000000000</f>
        <v>5.5489500000000002E-4</v>
      </c>
      <c r="F47" s="62">
        <f>B47*C47/1000000</f>
        <v>2.9204999999999998E-2</v>
      </c>
      <c r="G47" s="7" t="s">
        <v>15</v>
      </c>
      <c r="H47" s="62">
        <f>ROUND(Q47+T47/Раскройка!$F$11,0)</f>
        <v>40324</v>
      </c>
      <c r="I47" s="62" t="s">
        <v>41</v>
      </c>
      <c r="J47" s="62">
        <v>2</v>
      </c>
      <c r="K47" s="62" t="s">
        <v>39</v>
      </c>
      <c r="L47" s="62">
        <v>4</v>
      </c>
      <c r="M47" s="62">
        <f>E47*H47+0.25*((VLOOKUP(I47,Покрытия!$A$2:$B$50,2,FALSE)*J47+VLOOKUP(K47,Покрытия!$A$2:$B$50,2,FALSE)*L47)*F47)</f>
        <v>70.563835979999993</v>
      </c>
      <c r="N47" s="62">
        <v>2</v>
      </c>
      <c r="O47" s="62">
        <f t="shared" si="21"/>
        <v>141.12767195999999</v>
      </c>
      <c r="P47" s="63"/>
      <c r="Q47" s="62">
        <f t="array" ref="Q47">INDEX(Материалы!$C$2:$C$50,MATCH(G47,Материалы!$A$2:$A$50,0))</f>
        <v>32000</v>
      </c>
      <c r="R47" s="62">
        <f>FLOOR(Раскройка!$C$11/C47,1)*FLOOR(Раскройка!$D$11/B47,1)</f>
        <v>30</v>
      </c>
      <c r="S47" s="62">
        <f>MAX(Раскройка!$F$11-E47*R47,0)</f>
        <v>5.8531499999999979E-3</v>
      </c>
      <c r="T47" s="62">
        <f>Q47*S47</f>
        <v>187.30079999999992</v>
      </c>
    </row>
    <row r="48" spans="1:21" x14ac:dyDescent="0.25">
      <c r="A48" s="62" t="s">
        <v>99</v>
      </c>
      <c r="B48" s="62">
        <v>845</v>
      </c>
      <c r="C48" s="62">
        <v>59</v>
      </c>
      <c r="D48" s="62">
        <v>19</v>
      </c>
      <c r="E48" s="62">
        <f>B48*C48*D48/1000000000</f>
        <v>9.4724499999999999E-4</v>
      </c>
      <c r="F48" s="62">
        <f>B48*C48/1000000</f>
        <v>4.9854999999999997E-2</v>
      </c>
      <c r="G48" s="7" t="s">
        <v>15</v>
      </c>
      <c r="H48" s="62">
        <f>ROUND(Q48+T48/Раскройка!$F$11,0)</f>
        <v>43792</v>
      </c>
      <c r="I48" s="62" t="s">
        <v>41</v>
      </c>
      <c r="J48" s="62">
        <v>2</v>
      </c>
      <c r="K48" s="62" t="s">
        <v>39</v>
      </c>
      <c r="L48" s="62">
        <v>4</v>
      </c>
      <c r="M48" s="62">
        <f>E48*H48+0.25*((VLOOKUP(I48,Покрытия!$A$2:$B$50,2,FALSE)*J48+VLOOKUP(K48,Покрытия!$A$2:$B$50,2,FALSE)*L48)*F48)</f>
        <v>123.74250303999999</v>
      </c>
      <c r="N48" s="62">
        <v>2</v>
      </c>
      <c r="O48" s="62">
        <f t="shared" si="21"/>
        <v>247.48500607999998</v>
      </c>
      <c r="P48" s="63"/>
      <c r="Q48" s="62">
        <f t="array" ref="Q48">INDEX(Материалы!$C$2:$C$50,MATCH(G48,Материалы!$A$2:$A$50,0))</f>
        <v>32000</v>
      </c>
      <c r="R48" s="62">
        <f>FLOOR(Раскройка!$C$11/C48,1)*FLOOR(Раскройка!$D$11/B48,1)</f>
        <v>15</v>
      </c>
      <c r="S48" s="62">
        <f>MAX(Раскройка!$F$11-E48*R48,0)</f>
        <v>8.2913249999999987E-3</v>
      </c>
      <c r="T48" s="62">
        <f>Q48*S48</f>
        <v>265.32239999999996</v>
      </c>
    </row>
    <row r="49" spans="1:21" x14ac:dyDescent="0.25">
      <c r="A49" s="62"/>
      <c r="B49" s="62"/>
      <c r="C49" s="62"/>
      <c r="D49" s="62"/>
      <c r="E49" s="62"/>
      <c r="F49" s="20"/>
      <c r="G49" s="7"/>
      <c r="H49" s="62"/>
      <c r="I49" s="62"/>
      <c r="J49" s="62"/>
      <c r="K49" s="62"/>
      <c r="L49" s="62"/>
      <c r="M49" s="62"/>
      <c r="N49" s="62"/>
      <c r="O49" s="62"/>
      <c r="P49" s="63"/>
      <c r="Q49" s="62"/>
      <c r="R49" s="62"/>
      <c r="S49" s="62"/>
      <c r="T49" s="62"/>
    </row>
    <row r="50" spans="1:21" x14ac:dyDescent="0.25">
      <c r="A50" s="62"/>
      <c r="B50" s="62"/>
      <c r="C50" s="62"/>
      <c r="D50" s="62"/>
      <c r="E50" s="62"/>
      <c r="F50" s="20"/>
      <c r="G50" s="7"/>
      <c r="H50" s="62"/>
      <c r="I50" s="62"/>
      <c r="J50" s="62"/>
      <c r="K50" s="62"/>
      <c r="L50" s="62"/>
      <c r="M50" s="62"/>
      <c r="N50" s="62"/>
      <c r="O50" s="62"/>
      <c r="P50" s="63"/>
      <c r="Q50" s="62"/>
      <c r="R50" s="62"/>
      <c r="S50" s="62"/>
      <c r="T50" s="62"/>
      <c r="U50" s="63"/>
    </row>
    <row r="51" spans="1:21" x14ac:dyDescent="0.25">
      <c r="A51" s="62" t="s">
        <v>77</v>
      </c>
      <c r="B51" s="62">
        <v>605</v>
      </c>
      <c r="C51" s="62">
        <v>59</v>
      </c>
      <c r="D51" s="62">
        <v>19</v>
      </c>
      <c r="E51" s="62">
        <f t="shared" ref="E51:E53" si="23">B51*C51/1000000</f>
        <v>3.5694999999999998E-2</v>
      </c>
      <c r="F51" s="20"/>
      <c r="G51" s="7" t="s">
        <v>12</v>
      </c>
      <c r="H51" s="62">
        <f>ROUND(Q51+T51/Раскройка!$F$2,0)</f>
        <v>836</v>
      </c>
      <c r="I51" s="62" t="s">
        <v>41</v>
      </c>
      <c r="J51" s="62">
        <v>2</v>
      </c>
      <c r="K51" s="62" t="s">
        <v>39</v>
      </c>
      <c r="L51" s="62">
        <v>4</v>
      </c>
      <c r="M51" s="62">
        <f>E51*(0.25*(VLOOKUP(I51,Покрытия!$A$2:$B$40,2,FALSE)*J51+VLOOKUP(K51,Покрытия!$A$2:$B$40,2,FALSE)*L51)+H51)</f>
        <v>88.737769999999998</v>
      </c>
      <c r="N51" s="62">
        <v>2</v>
      </c>
      <c r="O51" s="62">
        <f t="shared" ref="O51:O56" si="24">M51*N51</f>
        <v>177.47554</v>
      </c>
      <c r="P51" s="63"/>
      <c r="Q51" s="62">
        <f t="array" ref="Q51">INDEX(Материалы!$C$2:$C$50,MATCH(G51&amp;D51,Материалы!$A$2:$A$50&amp;Материалы!$B$2:$B$50,0))</f>
        <v>734</v>
      </c>
      <c r="R51" s="62">
        <f>FLOOR(Раскройка!$D$2/B51,1)*FLOOR(Раскройка!$C$2/C51,1)</f>
        <v>140</v>
      </c>
      <c r="S51" s="62">
        <f>MAX(Раскройка!$F$2-E51*R51,0)</f>
        <v>0.80269999999999975</v>
      </c>
      <c r="T51" s="62">
        <f t="shared" ref="T51:T53" si="25">Q51*S51</f>
        <v>589.18179999999984</v>
      </c>
    </row>
    <row r="52" spans="1:21" x14ac:dyDescent="0.25">
      <c r="A52" s="62" t="s">
        <v>78</v>
      </c>
      <c r="B52" s="62">
        <v>295</v>
      </c>
      <c r="C52" s="62">
        <v>59</v>
      </c>
      <c r="D52" s="62">
        <v>19</v>
      </c>
      <c r="E52" s="62">
        <f t="shared" si="23"/>
        <v>1.7405E-2</v>
      </c>
      <c r="F52" s="20"/>
      <c r="G52" s="7" t="s">
        <v>12</v>
      </c>
      <c r="H52" s="62">
        <f>ROUND(Q52+T52/Раскройка!$F$2,0)</f>
        <v>774</v>
      </c>
      <c r="I52" s="62" t="s">
        <v>41</v>
      </c>
      <c r="J52" s="62">
        <v>2</v>
      </c>
      <c r="K52" s="62" t="s">
        <v>39</v>
      </c>
      <c r="L52" s="62">
        <v>4</v>
      </c>
      <c r="M52" s="62">
        <f>E52*(0.25*(VLOOKUP(I52,Покрытия!$A$2:$B$40,2,FALSE)*J52+VLOOKUP(K52,Покрытия!$A$2:$B$40,2,FALSE)*L52)+H52)</f>
        <v>42.189720000000001</v>
      </c>
      <c r="N52" s="62">
        <v>1</v>
      </c>
      <c r="O52" s="62">
        <f t="shared" si="24"/>
        <v>42.189720000000001</v>
      </c>
      <c r="P52" s="63"/>
      <c r="Q52" s="62">
        <f t="array" ref="Q52">INDEX(Материалы!$C$2:$C$50,MATCH(G52&amp;D52,Материалы!$A$2:$A$50&amp;Материалы!$B$2:$B$50,0))</f>
        <v>734</v>
      </c>
      <c r="R52" s="62">
        <f>FLOOR(Раскройка!$D$2/B52,1)*FLOOR(Раскройка!$C$2/C52,1)</f>
        <v>315</v>
      </c>
      <c r="S52" s="62">
        <f>MAX(Раскройка!$F$2-E52*R52,0)</f>
        <v>0.31742500000000007</v>
      </c>
      <c r="T52" s="62">
        <f t="shared" si="25"/>
        <v>232.98995000000005</v>
      </c>
    </row>
    <row r="53" spans="1:21" x14ac:dyDescent="0.25">
      <c r="A53" s="62" t="s">
        <v>78</v>
      </c>
      <c r="B53" s="62">
        <v>295</v>
      </c>
      <c r="C53" s="62">
        <v>207</v>
      </c>
      <c r="D53" s="62">
        <v>19</v>
      </c>
      <c r="E53" s="62">
        <f t="shared" si="23"/>
        <v>6.1065000000000001E-2</v>
      </c>
      <c r="F53" s="20"/>
      <c r="G53" s="7" t="s">
        <v>12</v>
      </c>
      <c r="H53" s="62">
        <f>ROUND(Q53+T53/Раскройка!$F$2,0)</f>
        <v>772</v>
      </c>
      <c r="I53" s="62" t="s">
        <v>41</v>
      </c>
      <c r="J53" s="62">
        <v>2</v>
      </c>
      <c r="K53" s="62" t="s">
        <v>39</v>
      </c>
      <c r="L53" s="62">
        <v>4</v>
      </c>
      <c r="M53" s="62">
        <f>E53*(0.25*(VLOOKUP(I53,Покрытия!$A$2:$B$40,2,FALSE)*J53+VLOOKUP(K53,Покрытия!$A$2:$B$40,2,FALSE)*L53)+H53)</f>
        <v>147.89943</v>
      </c>
      <c r="N53" s="62">
        <v>1</v>
      </c>
      <c r="O53" s="62">
        <f t="shared" si="24"/>
        <v>147.89943</v>
      </c>
      <c r="P53" s="63"/>
      <c r="Q53" s="62">
        <f t="array" ref="Q53">INDEX(Материалы!$C$2:$C$50,MATCH(G53&amp;D53,Материалы!$A$2:$A$50&amp;Материалы!$B$2:$B$50,0))</f>
        <v>734</v>
      </c>
      <c r="R53" s="62">
        <f>FLOOR(Раскройка!$D$2/B53,1)*FLOOR(Раскройка!$C$2/C53,1)</f>
        <v>90</v>
      </c>
      <c r="S53" s="62">
        <f>MAX(Раскройка!$F$2-E53*R53,0)</f>
        <v>0.30414999999999992</v>
      </c>
      <c r="T53" s="62">
        <f t="shared" si="25"/>
        <v>223.24609999999996</v>
      </c>
    </row>
    <row r="54" spans="1:21" x14ac:dyDescent="0.25">
      <c r="A54" s="62" t="s">
        <v>57</v>
      </c>
      <c r="B54" s="62">
        <v>495</v>
      </c>
      <c r="C54" s="62">
        <v>295</v>
      </c>
      <c r="D54" s="62">
        <v>19</v>
      </c>
      <c r="E54" s="62">
        <f>B54*C54/1000000</f>
        <v>0.14602499999999999</v>
      </c>
      <c r="F54" s="20"/>
      <c r="G54" s="7" t="s">
        <v>12</v>
      </c>
      <c r="H54" s="62">
        <f>ROUND(Q54+T54/Раскройка!$F$2,0)</f>
        <v>821</v>
      </c>
      <c r="I54" s="62" t="s">
        <v>41</v>
      </c>
      <c r="J54" s="62">
        <v>2</v>
      </c>
      <c r="K54" s="62" t="s">
        <v>39</v>
      </c>
      <c r="L54" s="62">
        <v>4</v>
      </c>
      <c r="M54" s="62">
        <f>E54*(0.25*(VLOOKUP(I54,Покрытия!$A$2:$B$40,2,FALSE)*J54+VLOOKUP(K54,Покрытия!$A$2:$B$40,2,FALSE)*L54)+H54)</f>
        <v>360.82777499999997</v>
      </c>
      <c r="N54" s="62">
        <v>1</v>
      </c>
      <c r="O54" s="62">
        <f t="shared" si="24"/>
        <v>360.82777499999997</v>
      </c>
      <c r="P54" s="63"/>
      <c r="Q54" s="62">
        <f t="array" ref="Q54">INDEX(Материалы!$C$2:$C$50,MATCH(G54&amp;D54,Материалы!$A$2:$A$50&amp;Материалы!$B$2:$B$50,0))</f>
        <v>734</v>
      </c>
      <c r="R54" s="62">
        <f>FLOOR(Раскройка!$D$2/B54,1)*FLOOR(Раскройка!$C$2/C54,1)</f>
        <v>35</v>
      </c>
      <c r="S54" s="62">
        <f>MAX(Раскройка!$F$2-E54*R54,0)</f>
        <v>0.68912500000000065</v>
      </c>
      <c r="T54" s="62">
        <f>Q54*S54</f>
        <v>505.8177500000005</v>
      </c>
    </row>
    <row r="55" spans="1:21" x14ac:dyDescent="0.25">
      <c r="A55" s="62" t="s">
        <v>93</v>
      </c>
      <c r="B55" s="62">
        <v>495</v>
      </c>
      <c r="C55" s="62">
        <v>59</v>
      </c>
      <c r="D55" s="62">
        <v>19</v>
      </c>
      <c r="E55" s="62">
        <f>B55*C55*D55/1000000000</f>
        <v>5.5489500000000002E-4</v>
      </c>
      <c r="F55" s="62">
        <f>B55*C55/1000000</f>
        <v>2.9204999999999998E-2</v>
      </c>
      <c r="G55" s="7" t="s">
        <v>15</v>
      </c>
      <c r="H55" s="62">
        <f>ROUND(Q55+T55/Раскройка!$F$11,0)</f>
        <v>40324</v>
      </c>
      <c r="I55" s="62" t="s">
        <v>41</v>
      </c>
      <c r="J55" s="62">
        <v>2</v>
      </c>
      <c r="K55" s="62" t="s">
        <v>39</v>
      </c>
      <c r="L55" s="62">
        <v>4</v>
      </c>
      <c r="M55" s="62">
        <f>E55*H55+0.25*((VLOOKUP(I55,Покрытия!$A$2:$B$50,2,FALSE)*J55+VLOOKUP(K55,Покрытия!$A$2:$B$50,2,FALSE)*L55)*F55)</f>
        <v>70.563835979999993</v>
      </c>
      <c r="N55" s="62">
        <v>2</v>
      </c>
      <c r="O55" s="62">
        <f t="shared" si="24"/>
        <v>141.12767195999999</v>
      </c>
      <c r="P55" s="63"/>
      <c r="Q55" s="62">
        <f t="array" ref="Q55">INDEX(Материалы!$C$2:$C$50,MATCH(G55,Материалы!$A$2:$A$50,0))</f>
        <v>32000</v>
      </c>
      <c r="R55" s="62">
        <f>FLOOR(Раскройка!$C$11/C55,1)*FLOOR(Раскройка!$D$11/B55,1)</f>
        <v>30</v>
      </c>
      <c r="S55" s="62">
        <f>MAX(Раскройка!$F$11-E55*R55,0)</f>
        <v>5.8531499999999979E-3</v>
      </c>
      <c r="T55" s="62">
        <f>Q55*S55</f>
        <v>187.30079999999992</v>
      </c>
    </row>
    <row r="56" spans="1:21" x14ac:dyDescent="0.25">
      <c r="A56" s="62" t="s">
        <v>99</v>
      </c>
      <c r="B56" s="62">
        <v>295</v>
      </c>
      <c r="C56" s="62">
        <v>59</v>
      </c>
      <c r="D56" s="62">
        <v>19</v>
      </c>
      <c r="E56" s="62">
        <f>B56*C56*D56/1000000000</f>
        <v>3.3069499999999999E-4</v>
      </c>
      <c r="F56" s="62">
        <f>B56*C56/1000000</f>
        <v>1.7405E-2</v>
      </c>
      <c r="G56" s="7" t="s">
        <v>15</v>
      </c>
      <c r="H56" s="62">
        <f>ROUND(Q56+T56/Раскройка!$F$11,0)</f>
        <v>40484</v>
      </c>
      <c r="I56" s="62" t="s">
        <v>41</v>
      </c>
      <c r="J56" s="62">
        <v>2</v>
      </c>
      <c r="K56" s="62" t="s">
        <v>39</v>
      </c>
      <c r="L56" s="62">
        <v>4</v>
      </c>
      <c r="M56" s="62">
        <f>E56*H56+0.25*((VLOOKUP(I56,Покрытия!$A$2:$B$50,2,FALSE)*J56+VLOOKUP(K56,Покрытия!$A$2:$B$50,2,FALSE)*L56)*F56)</f>
        <v>42.10610638</v>
      </c>
      <c r="N56" s="62">
        <v>2</v>
      </c>
      <c r="O56" s="62">
        <f t="shared" si="24"/>
        <v>84.21221276</v>
      </c>
      <c r="P56" s="63"/>
      <c r="Q56" s="62">
        <f t="array" ref="Q56">INDEX(Материалы!$C$2:$C$50,MATCH(G56,Материалы!$A$2:$A$50,0))</f>
        <v>32000</v>
      </c>
      <c r="R56" s="62">
        <f>FLOOR(Раскройка!$C$11/C56,1)*FLOOR(Раскройка!$D$11/B56,1)</f>
        <v>50</v>
      </c>
      <c r="S56" s="62">
        <f>MAX(Раскройка!$F$11-E56*R56,0)</f>
        <v>5.9652499999999983E-3</v>
      </c>
      <c r="T56" s="62">
        <f>Q56*S56</f>
        <v>190.88799999999995</v>
      </c>
    </row>
    <row r="57" spans="1:21" x14ac:dyDescent="0.25">
      <c r="A57" s="62"/>
      <c r="B57" s="62"/>
      <c r="C57" s="62"/>
      <c r="D57" s="62"/>
      <c r="E57" s="62"/>
      <c r="F57" s="20"/>
      <c r="G57" s="7"/>
      <c r="H57" s="62"/>
      <c r="I57" s="62"/>
      <c r="J57" s="62"/>
      <c r="K57" s="62"/>
      <c r="L57" s="62"/>
      <c r="M57" s="62"/>
      <c r="N57" s="62"/>
      <c r="O57" s="62"/>
      <c r="P57" s="63"/>
      <c r="Q57" s="62"/>
      <c r="R57" s="62"/>
      <c r="S57" s="62"/>
      <c r="T57" s="62"/>
    </row>
    <row r="58" spans="1:21" x14ac:dyDescent="0.25">
      <c r="A58" s="62"/>
      <c r="B58" s="62"/>
      <c r="C58" s="62"/>
      <c r="D58" s="62"/>
      <c r="E58" s="62"/>
      <c r="F58" s="20"/>
      <c r="G58" s="7"/>
      <c r="H58" s="62"/>
      <c r="I58" s="62"/>
      <c r="J58" s="62"/>
      <c r="K58" s="62"/>
      <c r="L58" s="62"/>
      <c r="M58" s="62"/>
      <c r="N58" s="62"/>
      <c r="O58" s="62"/>
      <c r="P58" s="63"/>
      <c r="Q58" s="62"/>
      <c r="R58" s="62"/>
      <c r="S58" s="62"/>
      <c r="T58" s="62"/>
    </row>
    <row r="59" spans="1:21" x14ac:dyDescent="0.25">
      <c r="A59" s="62" t="s">
        <v>77</v>
      </c>
      <c r="B59" s="62">
        <v>605</v>
      </c>
      <c r="C59" s="62">
        <v>59</v>
      </c>
      <c r="D59" s="62">
        <v>19</v>
      </c>
      <c r="E59" s="62">
        <f t="shared" ref="E59:E61" si="26">B59*C59/1000000</f>
        <v>3.5694999999999998E-2</v>
      </c>
      <c r="F59" s="20"/>
      <c r="G59" s="7" t="s">
        <v>12</v>
      </c>
      <c r="H59" s="62">
        <f>ROUND(Q59+T59/Раскройка!$F$2,0)</f>
        <v>836</v>
      </c>
      <c r="I59" s="62" t="s">
        <v>41</v>
      </c>
      <c r="J59" s="62">
        <v>2</v>
      </c>
      <c r="K59" s="62" t="s">
        <v>39</v>
      </c>
      <c r="L59" s="62">
        <v>4</v>
      </c>
      <c r="M59" s="62">
        <f>E59*(0.25*(VLOOKUP(I59,Покрытия!$A$2:$B$40,2,FALSE)*J59+VLOOKUP(K59,Покрытия!$A$2:$B$40,2,FALSE)*L59)+H59)</f>
        <v>88.737769999999998</v>
      </c>
      <c r="N59" s="62">
        <v>4</v>
      </c>
      <c r="O59" s="62">
        <f t="shared" ref="O59:O64" si="27">M59*N59</f>
        <v>354.95107999999999</v>
      </c>
      <c r="P59" s="63"/>
      <c r="Q59" s="62">
        <f t="array" ref="Q59">INDEX(Материалы!$C$2:$C$50,MATCH(G59&amp;D59,Материалы!$A$2:$A$50&amp;Материалы!$B$2:$B$50,0))</f>
        <v>734</v>
      </c>
      <c r="R59" s="62">
        <f>FLOOR(Раскройка!$D$2/B59,1)*FLOOR(Раскройка!$C$2/C59,1)</f>
        <v>140</v>
      </c>
      <c r="S59" s="62">
        <f>MAX(Раскройка!$F$2-E59*R59,0)</f>
        <v>0.80269999999999975</v>
      </c>
      <c r="T59" s="62">
        <f t="shared" ref="T59:T61" si="28">Q59*S59</f>
        <v>589.18179999999984</v>
      </c>
    </row>
    <row r="60" spans="1:21" x14ac:dyDescent="0.25">
      <c r="A60" s="62" t="s">
        <v>78</v>
      </c>
      <c r="B60" s="62">
        <v>2000</v>
      </c>
      <c r="C60" s="62">
        <v>59</v>
      </c>
      <c r="D60" s="62">
        <v>19</v>
      </c>
      <c r="E60" s="62">
        <f t="shared" si="26"/>
        <v>0.11799999999999999</v>
      </c>
      <c r="F60" s="20"/>
      <c r="G60" s="7" t="s">
        <v>12</v>
      </c>
      <c r="H60" s="62">
        <f>ROUND(Q60+T60/Раскройка!$F$2,0)</f>
        <v>945</v>
      </c>
      <c r="I60" s="62" t="s">
        <v>41</v>
      </c>
      <c r="J60" s="62">
        <v>2</v>
      </c>
      <c r="K60" s="62" t="s">
        <v>39</v>
      </c>
      <c r="L60" s="62">
        <v>4</v>
      </c>
      <c r="M60" s="62">
        <f>E60*(0.25*(VLOOKUP(I60,Покрытия!$A$2:$B$40,2,FALSE)*J60+VLOOKUP(K60,Покрытия!$A$2:$B$40,2,FALSE)*L60)+H60)</f>
        <v>306.20999999999998</v>
      </c>
      <c r="N60" s="62">
        <v>1</v>
      </c>
      <c r="O60" s="62">
        <f t="shared" si="27"/>
        <v>306.20999999999998</v>
      </c>
      <c r="P60" s="63"/>
      <c r="Q60" s="62">
        <f t="array" ref="Q60">INDEX(Материалы!$C$2:$C$50,MATCH(G60&amp;D60,Материалы!$A$2:$A$50&amp;Материалы!$B$2:$B$50,0))</f>
        <v>734</v>
      </c>
      <c r="R60" s="62">
        <f>FLOOR(Раскройка!$D$2/B60,1)*FLOOR(Раскройка!$C$2/C60,1)</f>
        <v>35</v>
      </c>
      <c r="S60" s="62">
        <f>MAX(Раскройка!$F$2-E60*R60,0)</f>
        <v>1.67</v>
      </c>
      <c r="T60" s="62">
        <f t="shared" si="28"/>
        <v>1225.78</v>
      </c>
    </row>
    <row r="61" spans="1:21" x14ac:dyDescent="0.25">
      <c r="A61" s="62" t="s">
        <v>78</v>
      </c>
      <c r="B61" s="62">
        <v>2000</v>
      </c>
      <c r="C61" s="62">
        <v>207</v>
      </c>
      <c r="D61" s="62">
        <v>19</v>
      </c>
      <c r="E61" s="62">
        <f t="shared" si="26"/>
        <v>0.41399999999999998</v>
      </c>
      <c r="F61" s="20"/>
      <c r="G61" s="7" t="s">
        <v>12</v>
      </c>
      <c r="H61" s="62">
        <f>ROUND(Q61+T61/Раскройка!$F$2,0)</f>
        <v>944</v>
      </c>
      <c r="I61" s="62" t="s">
        <v>41</v>
      </c>
      <c r="J61" s="62">
        <v>2</v>
      </c>
      <c r="K61" s="62" t="s">
        <v>39</v>
      </c>
      <c r="L61" s="62">
        <v>4</v>
      </c>
      <c r="M61" s="62">
        <f>E61*(0.25*(VLOOKUP(I61,Покрытия!$A$2:$B$40,2,FALSE)*J61+VLOOKUP(K61,Покрытия!$A$2:$B$40,2,FALSE)*L61)+H61)</f>
        <v>1073.9159999999999</v>
      </c>
      <c r="N61" s="62">
        <v>1</v>
      </c>
      <c r="O61" s="62">
        <f t="shared" si="27"/>
        <v>1073.9159999999999</v>
      </c>
      <c r="P61" s="63"/>
      <c r="Q61" s="62">
        <f t="array" ref="Q61">INDEX(Материалы!$C$2:$C$50,MATCH(G61&amp;D61,Материалы!$A$2:$A$50&amp;Материалы!$B$2:$B$50,0))</f>
        <v>734</v>
      </c>
      <c r="R61" s="62">
        <f>FLOOR(Раскройка!$D$2/B61,1)*FLOOR(Раскройка!$C$2/C61,1)</f>
        <v>10</v>
      </c>
      <c r="S61" s="62">
        <f>MAX(Раскройка!$F$2-E61*R61,0)</f>
        <v>1.6600000000000001</v>
      </c>
      <c r="T61" s="62">
        <f t="shared" si="28"/>
        <v>1218.44</v>
      </c>
    </row>
    <row r="62" spans="1:21" x14ac:dyDescent="0.25">
      <c r="A62" s="62" t="s">
        <v>57</v>
      </c>
      <c r="B62" s="62">
        <v>495</v>
      </c>
      <c r="C62" s="62">
        <v>579</v>
      </c>
      <c r="D62" s="62">
        <v>19</v>
      </c>
      <c r="E62" s="62">
        <f>B62*C62/1000000</f>
        <v>0.286605</v>
      </c>
      <c r="F62" s="20"/>
      <c r="G62" s="7" t="s">
        <v>12</v>
      </c>
      <c r="H62" s="62">
        <f>ROUND(Q62+T62/Раскройка!$F$2,0)</f>
        <v>924</v>
      </c>
      <c r="I62" s="62" t="s">
        <v>41</v>
      </c>
      <c r="J62" s="62">
        <v>2</v>
      </c>
      <c r="K62" s="62" t="s">
        <v>39</v>
      </c>
      <c r="L62" s="62">
        <v>4</v>
      </c>
      <c r="M62" s="62">
        <f>E62*(0.25*(VLOOKUP(I62,Покрытия!$A$2:$B$40,2,FALSE)*J62+VLOOKUP(K62,Покрытия!$A$2:$B$40,2,FALSE)*L62)+H62)</f>
        <v>737.72127</v>
      </c>
      <c r="N62" s="62">
        <v>3</v>
      </c>
      <c r="O62" s="62">
        <f t="shared" si="27"/>
        <v>2213.16381</v>
      </c>
      <c r="P62" s="63"/>
      <c r="Q62" s="62">
        <f t="array" ref="Q62">INDEX(Материалы!$C$2:$C$50,MATCH(G62&amp;D62,Материалы!$A$2:$A$50&amp;Материалы!$B$2:$B$50,0))</f>
        <v>734</v>
      </c>
      <c r="R62" s="62">
        <f>FLOOR(Раскройка!$D$2/B62,1)*FLOOR(Раскройка!$C$2/C62,1)</f>
        <v>15</v>
      </c>
      <c r="S62" s="62">
        <f>MAX(Раскройка!$F$2-E62*R62,0)</f>
        <v>1.5009249999999996</v>
      </c>
      <c r="T62" s="62">
        <f>Q62*S62</f>
        <v>1101.6789499999998</v>
      </c>
    </row>
    <row r="63" spans="1:21" x14ac:dyDescent="0.25">
      <c r="A63" s="62" t="s">
        <v>93</v>
      </c>
      <c r="B63" s="62">
        <v>495</v>
      </c>
      <c r="C63" s="62">
        <v>59</v>
      </c>
      <c r="D63" s="62">
        <v>19</v>
      </c>
      <c r="E63" s="62">
        <f>B63*C63*D63/1000000000</f>
        <v>5.5489500000000002E-4</v>
      </c>
      <c r="F63" s="62">
        <f>B63*C63/1000000</f>
        <v>2.9204999999999998E-2</v>
      </c>
      <c r="G63" s="7" t="s">
        <v>15</v>
      </c>
      <c r="H63" s="62">
        <f>ROUND(Q63+T63/Раскройка!$F$11,0)</f>
        <v>40324</v>
      </c>
      <c r="I63" s="62" t="s">
        <v>41</v>
      </c>
      <c r="J63" s="62">
        <v>2</v>
      </c>
      <c r="K63" s="62" t="s">
        <v>39</v>
      </c>
      <c r="L63" s="62">
        <v>4</v>
      </c>
      <c r="M63" s="62">
        <f>E63*H63+0.25*((VLOOKUP(I63,Покрытия!$A$2:$B$50,2,FALSE)*J63+VLOOKUP(K63,Покрытия!$A$2:$B$50,2,FALSE)*L63)*F63)</f>
        <v>70.563835979999993</v>
      </c>
      <c r="N63" s="62">
        <v>6</v>
      </c>
      <c r="O63" s="62">
        <f t="shared" si="27"/>
        <v>423.38301587999996</v>
      </c>
      <c r="P63" s="63"/>
      <c r="Q63" s="62">
        <f t="array" ref="Q63">INDEX(Материалы!$C$2:$C$50,MATCH(G63,Материалы!$A$2:$A$50,0))</f>
        <v>32000</v>
      </c>
      <c r="R63" s="62">
        <f>FLOOR(Раскройка!$C$11/C63,1)*FLOOR(Раскройка!$D$11/B63,1)</f>
        <v>30</v>
      </c>
      <c r="S63" s="62">
        <f>MAX(Раскройка!$F$11-E63*R63,0)</f>
        <v>5.8531499999999979E-3</v>
      </c>
      <c r="T63" s="62">
        <f>Q63*S63</f>
        <v>187.30079999999992</v>
      </c>
    </row>
    <row r="64" spans="1:21" x14ac:dyDescent="0.25">
      <c r="A64" s="62" t="s">
        <v>99</v>
      </c>
      <c r="B64" s="62">
        <v>579</v>
      </c>
      <c r="C64" s="62">
        <v>59</v>
      </c>
      <c r="D64" s="62">
        <v>19</v>
      </c>
      <c r="E64" s="62">
        <f>B64*C64*D64/1000000000</f>
        <v>6.4905900000000001E-4</v>
      </c>
      <c r="F64" s="62">
        <f>B64*C64/1000000</f>
        <v>3.4160999999999997E-2</v>
      </c>
      <c r="G64" s="7" t="s">
        <v>15</v>
      </c>
      <c r="H64" s="62">
        <f>ROUND(Q64+T64/Раскройка!$F$11,0)</f>
        <v>40922</v>
      </c>
      <c r="I64" s="62" t="s">
        <v>41</v>
      </c>
      <c r="J64" s="62">
        <v>2</v>
      </c>
      <c r="K64" s="62" t="s">
        <v>39</v>
      </c>
      <c r="L64" s="62">
        <v>4</v>
      </c>
      <c r="M64" s="62">
        <f>E64*H64+0.25*((VLOOKUP(I64,Покрытия!$A$2:$B$50,2,FALSE)*J64+VLOOKUP(K64,Покрытия!$A$2:$B$50,2,FALSE)*L64)*F64)</f>
        <v>82.926442397999992</v>
      </c>
      <c r="N64" s="62">
        <v>6</v>
      </c>
      <c r="O64" s="62">
        <f t="shared" si="27"/>
        <v>497.55865438799992</v>
      </c>
      <c r="P64" s="63"/>
      <c r="Q64" s="62">
        <f t="array" ref="Q64">INDEX(Материалы!$C$2:$C$50,MATCH(G64,Материалы!$A$2:$A$50,0))</f>
        <v>32000</v>
      </c>
      <c r="R64" s="62">
        <f>FLOOR(Раскройка!$C$11/C64,1)*FLOOR(Раскройка!$D$11/B64,1)</f>
        <v>25</v>
      </c>
      <c r="S64" s="62">
        <f>MAX(Раскройка!$F$11-E64*R64,0)</f>
        <v>6.2735249999999985E-3</v>
      </c>
      <c r="T64" s="62">
        <f>Q64*S64</f>
        <v>200.75279999999995</v>
      </c>
    </row>
    <row r="65" spans="1:20" x14ac:dyDescent="0.25">
      <c r="A65" s="62"/>
      <c r="B65" s="62"/>
      <c r="C65" s="62"/>
      <c r="D65" s="62"/>
      <c r="E65" s="62"/>
      <c r="F65" s="20"/>
      <c r="G65" s="7"/>
      <c r="H65" s="62"/>
      <c r="I65" s="62"/>
      <c r="J65" s="62"/>
      <c r="K65" s="62"/>
      <c r="L65" s="62"/>
      <c r="M65" s="62"/>
      <c r="N65" s="62"/>
      <c r="O65" s="62"/>
      <c r="P65" s="63"/>
      <c r="Q65" s="62"/>
      <c r="R65" s="62"/>
      <c r="S65" s="62"/>
      <c r="T65" s="62"/>
    </row>
    <row r="66" spans="1:20" x14ac:dyDescent="0.25">
      <c r="A66" s="62"/>
      <c r="B66" s="62"/>
      <c r="C66" s="62"/>
      <c r="D66" s="62"/>
      <c r="E66" s="62"/>
      <c r="F66" s="20"/>
      <c r="G66" s="7"/>
      <c r="H66" s="62"/>
      <c r="I66" s="62"/>
      <c r="J66" s="62"/>
      <c r="K66" s="62"/>
      <c r="L66" s="62"/>
      <c r="M66" s="62"/>
      <c r="N66" s="62"/>
      <c r="O66" s="62"/>
      <c r="P66" s="63"/>
      <c r="Q66" s="62"/>
      <c r="R66" s="62"/>
      <c r="S66" s="62"/>
      <c r="T66" s="62"/>
    </row>
    <row r="67" spans="1:20" x14ac:dyDescent="0.25">
      <c r="A67" s="62" t="s">
        <v>77</v>
      </c>
      <c r="B67" s="62">
        <v>2299</v>
      </c>
      <c r="C67" s="62">
        <v>59</v>
      </c>
      <c r="D67" s="62">
        <v>19</v>
      </c>
      <c r="E67" s="62">
        <f t="shared" ref="E67:E69" si="29">B67*C67/1000000</f>
        <v>0.13564100000000001</v>
      </c>
      <c r="F67" s="20"/>
      <c r="G67" s="7" t="s">
        <v>12</v>
      </c>
      <c r="H67" s="62">
        <f>ROUND(Q67+T67/Раскройка!$F$2,0)</f>
        <v>867</v>
      </c>
      <c r="I67" s="62" t="s">
        <v>41</v>
      </c>
      <c r="J67" s="62">
        <v>2</v>
      </c>
      <c r="K67" s="62" t="s">
        <v>39</v>
      </c>
      <c r="L67" s="62">
        <v>4</v>
      </c>
      <c r="M67" s="62">
        <f>E67*(0.25*(VLOOKUP(I67,Покрытия!$A$2:$B$40,2,FALSE)*J67+VLOOKUP(K67,Покрытия!$A$2:$B$40,2,FALSE)*L67)+H67)</f>
        <v>341.40839700000004</v>
      </c>
      <c r="N67" s="62">
        <v>2</v>
      </c>
      <c r="O67" s="62">
        <f t="shared" ref="O67:O72" si="30">M67*N67</f>
        <v>682.81679400000007</v>
      </c>
      <c r="P67" s="63"/>
      <c r="Q67" s="62">
        <f t="array" ref="Q67">INDEX(Материалы!$C$2:$C$50,MATCH(G67&amp;D67,Материалы!$A$2:$A$50&amp;Материалы!$B$2:$B$50,0))</f>
        <v>734</v>
      </c>
      <c r="R67" s="62">
        <f>FLOOR(Раскройка!$D$2/B67,1)*FLOOR(Раскройка!$C$2/C67,1)</f>
        <v>35</v>
      </c>
      <c r="S67" s="62">
        <f>MAX(Раскройка!$F$2-E67*R67,0)</f>
        <v>1.0525649999999995</v>
      </c>
      <c r="T67" s="62">
        <f t="shared" ref="T67:T69" si="31">Q67*S67</f>
        <v>772.58270999999968</v>
      </c>
    </row>
    <row r="68" spans="1:20" x14ac:dyDescent="0.25">
      <c r="A68" s="62" t="s">
        <v>78</v>
      </c>
      <c r="B68" s="62">
        <v>1101</v>
      </c>
      <c r="C68" s="62">
        <v>59</v>
      </c>
      <c r="D68" s="62">
        <v>19</v>
      </c>
      <c r="E68" s="62">
        <f t="shared" si="29"/>
        <v>6.4959000000000003E-2</v>
      </c>
      <c r="F68" s="20"/>
      <c r="G68" s="7" t="s">
        <v>12</v>
      </c>
      <c r="H68" s="62">
        <f>ROUND(Q68+T68/Раскройка!$F$2,0)</f>
        <v>893</v>
      </c>
      <c r="I68" s="62" t="s">
        <v>41</v>
      </c>
      <c r="J68" s="62">
        <v>2</v>
      </c>
      <c r="K68" s="62" t="s">
        <v>39</v>
      </c>
      <c r="L68" s="62">
        <v>4</v>
      </c>
      <c r="M68" s="62">
        <f>E68*(0.25*(VLOOKUP(I68,Покрытия!$A$2:$B$40,2,FALSE)*J68+VLOOKUP(K68,Покрытия!$A$2:$B$40,2,FALSE)*L68)+H68)</f>
        <v>165.19073700000001</v>
      </c>
      <c r="N68" s="62">
        <v>1</v>
      </c>
      <c r="O68" s="62">
        <f t="shared" si="30"/>
        <v>165.19073700000001</v>
      </c>
      <c r="P68" s="63"/>
      <c r="Q68" s="62">
        <f t="array" ref="Q68">INDEX(Материалы!$C$2:$C$50,MATCH(G68&amp;D68,Материалы!$A$2:$A$50&amp;Материалы!$B$2:$B$50,0))</f>
        <v>734</v>
      </c>
      <c r="R68" s="62">
        <f>FLOOR(Раскройка!$D$2/B68,1)*FLOOR(Раскройка!$C$2/C68,1)</f>
        <v>70</v>
      </c>
      <c r="S68" s="62">
        <f>MAX(Раскройка!$F$2-E68*R68,0)</f>
        <v>1.2528699999999997</v>
      </c>
      <c r="T68" s="62">
        <f t="shared" si="31"/>
        <v>919.60657999999978</v>
      </c>
    </row>
    <row r="69" spans="1:20" x14ac:dyDescent="0.25">
      <c r="A69" s="62" t="s">
        <v>78</v>
      </c>
      <c r="B69" s="62">
        <v>1101</v>
      </c>
      <c r="C69" s="62">
        <v>207</v>
      </c>
      <c r="D69" s="62">
        <v>19</v>
      </c>
      <c r="E69" s="62">
        <f t="shared" si="29"/>
        <v>0.227907</v>
      </c>
      <c r="F69" s="20"/>
      <c r="G69" s="7" t="s">
        <v>12</v>
      </c>
      <c r="H69" s="62">
        <f>ROUND(Q69+T69/Раскройка!$F$2,0)</f>
        <v>891</v>
      </c>
      <c r="I69" s="62" t="s">
        <v>41</v>
      </c>
      <c r="J69" s="62">
        <v>2</v>
      </c>
      <c r="K69" s="62" t="s">
        <v>39</v>
      </c>
      <c r="L69" s="62">
        <v>4</v>
      </c>
      <c r="M69" s="62">
        <f>E69*(0.25*(VLOOKUP(I69,Покрытия!$A$2:$B$40,2,FALSE)*J69+VLOOKUP(K69,Покрытия!$A$2:$B$40,2,FALSE)*L69)+H69)</f>
        <v>579.11168699999996</v>
      </c>
      <c r="N69" s="62">
        <v>1</v>
      </c>
      <c r="O69" s="62">
        <f t="shared" si="30"/>
        <v>579.11168699999996</v>
      </c>
      <c r="P69" s="63"/>
      <c r="Q69" s="62">
        <f t="array" ref="Q69">INDEX(Материалы!$C$2:$C$50,MATCH(G69&amp;D69,Материалы!$A$2:$A$50&amp;Материалы!$B$2:$B$50,0))</f>
        <v>734</v>
      </c>
      <c r="R69" s="62">
        <f>FLOOR(Раскройка!$D$2/B69,1)*FLOOR(Раскройка!$C$2/C69,1)</f>
        <v>20</v>
      </c>
      <c r="S69" s="62">
        <f>MAX(Раскройка!$F$2-E69*R69,0)</f>
        <v>1.24186</v>
      </c>
      <c r="T69" s="62">
        <f t="shared" si="31"/>
        <v>911.52523999999994</v>
      </c>
    </row>
    <row r="70" spans="1:20" x14ac:dyDescent="0.25">
      <c r="A70" s="62" t="s">
        <v>57</v>
      </c>
      <c r="B70" s="62">
        <f>2299-207-57</f>
        <v>2035</v>
      </c>
      <c r="C70" s="62">
        <f>1101-57*2</f>
        <v>987</v>
      </c>
      <c r="D70" s="62">
        <v>19</v>
      </c>
      <c r="E70" s="62">
        <f>B70*C70/1000000</f>
        <v>2.0085449999999998</v>
      </c>
      <c r="F70" s="20"/>
      <c r="G70" s="7" t="s">
        <v>12</v>
      </c>
      <c r="H70" s="62">
        <f>ROUND(Q70+T70/Раскройка!$F$2,0)</f>
        <v>960</v>
      </c>
      <c r="I70" s="62" t="s">
        <v>41</v>
      </c>
      <c r="J70" s="62">
        <v>2</v>
      </c>
      <c r="K70" s="62" t="s">
        <v>39</v>
      </c>
      <c r="L70" s="62">
        <v>4</v>
      </c>
      <c r="M70" s="62">
        <f>E70*(0.25*(VLOOKUP(I70,Покрытия!$A$2:$B$40,2,FALSE)*J70+VLOOKUP(K70,Покрытия!$A$2:$B$40,2,FALSE)*L70)+H70)</f>
        <v>5242.3024499999992</v>
      </c>
      <c r="N70" s="62">
        <v>1</v>
      </c>
      <c r="O70" s="62">
        <f t="shared" si="30"/>
        <v>5242.3024499999992</v>
      </c>
      <c r="P70" s="63"/>
      <c r="Q70" s="62">
        <f t="array" ref="Q70">INDEX(Материалы!$C$2:$C$50,MATCH(G70&amp;D70,Материалы!$A$2:$A$50&amp;Материалы!$B$2:$B$50,0))</f>
        <v>734</v>
      </c>
      <c r="R70" s="62">
        <f>FLOOR(Раскройка!$D$2/B70,1)*FLOOR(Раскройка!$C$2/C70,1)</f>
        <v>2</v>
      </c>
      <c r="S70" s="62">
        <f>MAX(Раскройка!$F$2-E70*R70,0)</f>
        <v>1.7829100000000002</v>
      </c>
      <c r="T70" s="62">
        <f>Q70*S70</f>
        <v>1308.6559400000001</v>
      </c>
    </row>
    <row r="71" spans="1:20" x14ac:dyDescent="0.25">
      <c r="A71" s="62" t="s">
        <v>93</v>
      </c>
      <c r="B71" s="62">
        <v>2035</v>
      </c>
      <c r="C71" s="62">
        <v>59</v>
      </c>
      <c r="D71" s="62">
        <v>19</v>
      </c>
      <c r="E71" s="62">
        <f>B71*C71*D71/1000000000</f>
        <v>2.2812349999999999E-3</v>
      </c>
      <c r="F71" s="62">
        <f>B71*C71/1000000</f>
        <v>0.12006500000000001</v>
      </c>
      <c r="G71" s="7" t="s">
        <v>15</v>
      </c>
      <c r="H71" s="62">
        <f>ROUND(Q71+T71/Раскройка!$F$11,0)</f>
        <v>47778</v>
      </c>
      <c r="I71" s="62" t="s">
        <v>41</v>
      </c>
      <c r="J71" s="62">
        <v>2</v>
      </c>
      <c r="K71" s="62" t="s">
        <v>39</v>
      </c>
      <c r="L71" s="62">
        <v>4</v>
      </c>
      <c r="M71" s="62">
        <f>E71*H71+0.25*((VLOOKUP(I71,Покрытия!$A$2:$B$50,2,FALSE)*J71+VLOOKUP(K71,Покрытия!$A$2:$B$50,2,FALSE)*L71)*F71)</f>
        <v>307.10009582999999</v>
      </c>
      <c r="N71" s="62">
        <v>2</v>
      </c>
      <c r="O71" s="62">
        <f t="shared" si="30"/>
        <v>614.20019165999997</v>
      </c>
      <c r="P71" s="63"/>
      <c r="Q71" s="62">
        <f t="array" ref="Q71">INDEX(Материалы!$C$2:$C$50,MATCH(G71,Материалы!$A$2:$A$50,0))</f>
        <v>32000</v>
      </c>
      <c r="R71" s="62">
        <f>FLOOR(Раскройка!$C$11/C71,1)*FLOOR(Раскройка!$D$11/B71,1)</f>
        <v>5</v>
      </c>
      <c r="S71" s="62">
        <f>MAX(Раскройка!$F$11-E71*R71,0)</f>
        <v>1.1093825E-2</v>
      </c>
      <c r="T71" s="62">
        <f>Q71*S71</f>
        <v>355.00240000000002</v>
      </c>
    </row>
    <row r="72" spans="1:20" x14ac:dyDescent="0.25">
      <c r="A72" s="62" t="s">
        <v>99</v>
      </c>
      <c r="B72" s="62">
        <v>987</v>
      </c>
      <c r="C72" s="62">
        <v>59</v>
      </c>
      <c r="D72" s="62">
        <v>19</v>
      </c>
      <c r="E72" s="62">
        <f>B72*C72*D72/1000000000</f>
        <v>1.1064270000000001E-3</v>
      </c>
      <c r="F72" s="62">
        <f>B72*C72/1000000</f>
        <v>5.8233E-2</v>
      </c>
      <c r="G72" s="7" t="s">
        <v>15</v>
      </c>
      <c r="H72" s="62">
        <f>ROUND(Q72+T72/Раскройка!$F$11,0)</f>
        <v>40396</v>
      </c>
      <c r="I72" s="62" t="s">
        <v>41</v>
      </c>
      <c r="J72" s="62">
        <v>2</v>
      </c>
      <c r="K72" s="62" t="s">
        <v>39</v>
      </c>
      <c r="L72" s="62">
        <v>4</v>
      </c>
      <c r="M72" s="62">
        <f>E72*H72+0.25*((VLOOKUP(I72,Покрытия!$A$2:$B$50,2,FALSE)*J72+VLOOKUP(K72,Покрытия!$A$2:$B$50,2,FALSE)*L72)*F72)</f>
        <v>140.77967509199999</v>
      </c>
      <c r="N72" s="62">
        <v>2</v>
      </c>
      <c r="O72" s="62">
        <f t="shared" si="30"/>
        <v>281.55935018399998</v>
      </c>
      <c r="P72" s="63"/>
      <c r="Q72" s="62">
        <f t="array" ref="Q72">INDEX(Материалы!$C$2:$C$50,MATCH(G72,Материалы!$A$2:$A$50,0))</f>
        <v>32000</v>
      </c>
      <c r="R72" s="62">
        <f>FLOOR(Раскройка!$C$11/C72,1)*FLOOR(Раскройка!$D$11/B72,1)</f>
        <v>15</v>
      </c>
      <c r="S72" s="62">
        <f>MAX(Раскройка!$F$11-E72*R72,0)</f>
        <v>5.9035949999999976E-3</v>
      </c>
      <c r="T72" s="62">
        <f>Q72*S72</f>
        <v>188.91503999999992</v>
      </c>
    </row>
    <row r="75" spans="1:20" x14ac:dyDescent="0.25">
      <c r="A75" s="62" t="s">
        <v>178</v>
      </c>
      <c r="B75" s="62">
        <v>546</v>
      </c>
      <c r="C75" s="62">
        <v>59</v>
      </c>
      <c r="D75" s="62">
        <v>25</v>
      </c>
      <c r="E75" s="62">
        <f t="shared" ref="E75" si="32">B75*C75/1000000</f>
        <v>3.2214E-2</v>
      </c>
      <c r="F75" s="20"/>
      <c r="G75" s="7" t="s">
        <v>12</v>
      </c>
      <c r="H75" s="62">
        <f>ROUND(Q75+T75/Раскройка!$F$2,0)</f>
        <v>993</v>
      </c>
      <c r="I75" s="62" t="s">
        <v>41</v>
      </c>
      <c r="J75" s="62">
        <v>2</v>
      </c>
      <c r="K75" s="62" t="s">
        <v>39</v>
      </c>
      <c r="L75" s="62">
        <v>4</v>
      </c>
      <c r="M75" s="62">
        <f>E75*(0.25*(VLOOKUP(I75,Покрытия!$A$2:$B$40,2,FALSE)*J75+VLOOKUP(K75,Покрытия!$A$2:$B$40,2,FALSE)*L75)+H75)</f>
        <v>85.141601999999992</v>
      </c>
      <c r="N75" s="62">
        <v>2</v>
      </c>
      <c r="O75" s="62">
        <f t="shared" ref="O75" si="33">M75*N75</f>
        <v>170.28320399999998</v>
      </c>
      <c r="P75" s="63"/>
      <c r="Q75" s="62">
        <f t="array" ref="Q75">INDEX(Материалы!$C$2:$C$50,MATCH(G75&amp;D75,Материалы!$A$2:$A$50&amp;Материалы!$B$2:$B$50,0))</f>
        <v>966</v>
      </c>
      <c r="R75" s="62">
        <f>FLOOR(Раскройка!$D$2/B75,1)*FLOOR(Раскройка!$C$2/C75,1)</f>
        <v>175</v>
      </c>
      <c r="S75" s="62">
        <f>MAX(Раскройка!$F$2-E75*R75,0)</f>
        <v>0.16254999999999953</v>
      </c>
      <c r="T75" s="62">
        <f t="shared" ref="T75" si="34">Q75*S75</f>
        <v>157.02329999999955</v>
      </c>
    </row>
    <row r="76" spans="1:20" x14ac:dyDescent="0.25">
      <c r="A76" s="62" t="s">
        <v>179</v>
      </c>
      <c r="B76" s="62">
        <v>420</v>
      </c>
      <c r="C76" s="62">
        <v>59</v>
      </c>
      <c r="D76" s="62">
        <v>25</v>
      </c>
      <c r="E76" s="62">
        <f t="shared" ref="E76:E77" si="35">B76*C76/1000000</f>
        <v>2.478E-2</v>
      </c>
      <c r="F76" s="20"/>
      <c r="G76" s="7" t="s">
        <v>12</v>
      </c>
      <c r="H76" s="62">
        <f>ROUND(Q76+T76/Раскройка!$F$2,0)</f>
        <v>1065</v>
      </c>
      <c r="I76" s="62" t="s">
        <v>41</v>
      </c>
      <c r="J76" s="62">
        <v>2</v>
      </c>
      <c r="K76" s="62" t="s">
        <v>39</v>
      </c>
      <c r="L76" s="62">
        <v>4</v>
      </c>
      <c r="M76" s="62">
        <f>E76*(0.25*(VLOOKUP(I76,Покрытия!$A$2:$B$40,2,FALSE)*J76+VLOOKUP(K76,Покрытия!$A$2:$B$40,2,FALSE)*L76)+H76)</f>
        <v>67.277699999999996</v>
      </c>
      <c r="N76" s="62">
        <v>2</v>
      </c>
      <c r="O76" s="62">
        <f t="shared" ref="O76:O77" si="36">M76*N76</f>
        <v>134.55539999999999</v>
      </c>
      <c r="P76" s="63"/>
      <c r="Q76" s="62">
        <f t="array" ref="Q76">INDEX(Материалы!$C$2:$C$50,MATCH(G76&amp;D76,Материалы!$A$2:$A$50&amp;Материалы!$B$2:$B$50,0))</f>
        <v>966</v>
      </c>
      <c r="R76" s="62">
        <f>FLOOR(Раскройка!$D$2/B76,1)*FLOOR(Раскройка!$C$2/C76,1)</f>
        <v>210</v>
      </c>
      <c r="S76" s="62">
        <f>MAX(Раскройка!$F$2-E76*R76,0)</f>
        <v>0.59619999999999962</v>
      </c>
      <c r="T76" s="62">
        <f t="shared" ref="T76:T77" si="37">Q76*S76</f>
        <v>575.92919999999958</v>
      </c>
    </row>
    <row r="77" spans="1:20" x14ac:dyDescent="0.25">
      <c r="A77" s="62" t="s">
        <v>107</v>
      </c>
      <c r="B77" s="62">
        <v>2099</v>
      </c>
      <c r="C77" s="62">
        <v>422</v>
      </c>
      <c r="D77" s="62">
        <v>19</v>
      </c>
      <c r="E77" s="62">
        <f t="shared" si="35"/>
        <v>0.88577799999999995</v>
      </c>
      <c r="F77" s="20"/>
      <c r="G77" s="7" t="s">
        <v>12</v>
      </c>
      <c r="H77" s="62">
        <f>ROUND(Q77+T77/Раскройка!$F$2,0)</f>
        <v>1020</v>
      </c>
      <c r="I77" s="62" t="s">
        <v>41</v>
      </c>
      <c r="J77" s="62">
        <v>2</v>
      </c>
      <c r="K77" s="62" t="s">
        <v>39</v>
      </c>
      <c r="L77" s="62">
        <v>4</v>
      </c>
      <c r="M77" s="62">
        <f>E77*(0.25*(VLOOKUP(I77,Покрытия!$A$2:$B$40,2,FALSE)*J77+VLOOKUP(K77,Покрытия!$A$2:$B$40,2,FALSE)*L77)+H77)</f>
        <v>2365.0272599999998</v>
      </c>
      <c r="N77" s="62">
        <v>2</v>
      </c>
      <c r="O77" s="62">
        <f t="shared" si="36"/>
        <v>4730.0545199999997</v>
      </c>
      <c r="P77" s="63"/>
      <c r="Q77" s="62">
        <f t="array" ref="Q77">INDEX(Материалы!$C$2:$C$50,MATCH(G77&amp;D77,Материалы!$A$2:$A$50&amp;Материалы!$B$2:$B$50,0))</f>
        <v>734</v>
      </c>
      <c r="R77" s="62">
        <f>FLOOR(Раскройка!$D$2/B77,1)*FLOOR(Раскройка!$C$2/C77,1)</f>
        <v>4</v>
      </c>
      <c r="S77" s="62">
        <f>MAX(Раскройка!$F$2-E77*R77,0)</f>
        <v>2.256888</v>
      </c>
      <c r="T77" s="62">
        <f t="shared" si="37"/>
        <v>1656.5557920000001</v>
      </c>
    </row>
    <row r="78" spans="1:20" x14ac:dyDescent="0.25">
      <c r="A78" s="62" t="s">
        <v>108</v>
      </c>
      <c r="B78" s="62">
        <v>2099</v>
      </c>
      <c r="C78" s="62">
        <v>546</v>
      </c>
      <c r="D78" s="62">
        <v>6</v>
      </c>
      <c r="E78" s="62">
        <f t="shared" ref="E78:E80" si="38">B78*C78/1000000</f>
        <v>1.1460539999999999</v>
      </c>
      <c r="F78" s="20"/>
      <c r="G78" s="7" t="s">
        <v>3</v>
      </c>
      <c r="H78" s="62">
        <f>ROUND(Q78+T78/Раскройка!$F$2,0)</f>
        <v>146</v>
      </c>
      <c r="I78" s="62" t="s">
        <v>41</v>
      </c>
      <c r="J78" s="62">
        <v>2</v>
      </c>
      <c r="K78" s="62" t="s">
        <v>39</v>
      </c>
      <c r="L78" s="62">
        <v>4</v>
      </c>
      <c r="M78" s="62">
        <f>E78*(0.25*(VLOOKUP(I78,Покрытия!$A$2:$B$40,2,FALSE)*J78+VLOOKUP(K78,Покрытия!$A$2:$B$40,2,FALSE)*L78)+H78)</f>
        <v>2058.3129839999997</v>
      </c>
      <c r="N78" s="62">
        <v>1</v>
      </c>
      <c r="O78" s="62">
        <f t="shared" ref="O78:O80" si="39">M78*N78</f>
        <v>2058.3129839999997</v>
      </c>
      <c r="P78" s="63"/>
      <c r="Q78" s="62">
        <f t="array" ref="Q78">INDEX(Материалы!$C$2:$C$50,MATCH(G78&amp;D78,Материалы!$A$2:$A$50&amp;Материалы!$B$2:$B$50,0))</f>
        <v>104</v>
      </c>
      <c r="R78" s="62">
        <f>FLOOR(Раскройка!$D$2/B78,1)*FLOOR(Раскройка!$C$2/C78,1)</f>
        <v>3</v>
      </c>
      <c r="S78" s="62">
        <f>MAX(Раскройка!$F$2-E78*R78,0)</f>
        <v>2.3618380000000001</v>
      </c>
      <c r="T78" s="62">
        <f t="shared" ref="T78:T80" si="40">Q78*S78</f>
        <v>245.63115200000001</v>
      </c>
    </row>
    <row r="79" spans="1:20" x14ac:dyDescent="0.25">
      <c r="A79" s="65" t="s">
        <v>78</v>
      </c>
      <c r="B79" s="65">
        <f>735+66</f>
        <v>801</v>
      </c>
      <c r="C79" s="65">
        <v>43</v>
      </c>
      <c r="D79" s="65">
        <v>25</v>
      </c>
      <c r="E79" s="65">
        <f t="shared" si="38"/>
        <v>3.4443000000000001E-2</v>
      </c>
      <c r="F79" s="20"/>
      <c r="G79" s="7" t="s">
        <v>12</v>
      </c>
      <c r="H79" s="65">
        <f>ROUND(Q79+T79/Раскройка!$F$2,0)</f>
        <v>1106</v>
      </c>
      <c r="I79" s="65" t="s">
        <v>41</v>
      </c>
      <c r="J79" s="65">
        <v>2</v>
      </c>
      <c r="K79" s="65" t="s">
        <v>39</v>
      </c>
      <c r="L79" s="65">
        <v>4</v>
      </c>
      <c r="M79" s="65">
        <f>E79*(0.25*(VLOOKUP(I79,Покрытия!$A$2:$B$40,2,FALSE)*J79+VLOOKUP(K79,Покрытия!$A$2:$B$40,2,FALSE)*L79)+H79)</f>
        <v>94.924908000000002</v>
      </c>
      <c r="N79" s="65">
        <v>2</v>
      </c>
      <c r="O79" s="65">
        <f t="shared" si="39"/>
        <v>189.849816</v>
      </c>
      <c r="P79" s="66"/>
      <c r="Q79" s="65">
        <f t="array" ref="Q79">INDEX(Материалы!$C$2:$C$50,MATCH(G79&amp;D79,Материалы!$A$2:$A$50&amp;Материалы!$B$2:$B$50,0))</f>
        <v>966</v>
      </c>
      <c r="R79" s="65">
        <f>FLOOR(Раскройка!$D$2/B79,1)*FLOOR(Раскройка!$C$2/C79,1)</f>
        <v>144</v>
      </c>
      <c r="S79" s="65">
        <f>MAX(Раскройка!$F$2-E79*R79,0)</f>
        <v>0.84020799999999962</v>
      </c>
      <c r="T79" s="65">
        <f t="shared" si="40"/>
        <v>811.64092799999969</v>
      </c>
    </row>
    <row r="80" spans="1:20" x14ac:dyDescent="0.25">
      <c r="A80" s="65" t="s">
        <v>77</v>
      </c>
      <c r="B80" s="65">
        <v>2099</v>
      </c>
      <c r="C80" s="65">
        <v>43</v>
      </c>
      <c r="D80" s="65">
        <v>25</v>
      </c>
      <c r="E80" s="65">
        <f t="shared" si="38"/>
        <v>9.0257000000000004E-2</v>
      </c>
      <c r="F80" s="20"/>
      <c r="G80" s="7" t="s">
        <v>12</v>
      </c>
      <c r="H80" s="65">
        <f>ROUND(Q80+T80/Раскройка!$F$2,0)</f>
        <v>1210</v>
      </c>
      <c r="I80" s="65" t="s">
        <v>41</v>
      </c>
      <c r="J80" s="65">
        <v>2</v>
      </c>
      <c r="K80" s="65" t="s">
        <v>39</v>
      </c>
      <c r="L80" s="65">
        <v>4</v>
      </c>
      <c r="M80" s="65">
        <f>E80*(0.25*(VLOOKUP(I80,Покрытия!$A$2:$B$40,2,FALSE)*J80+VLOOKUP(K80,Покрытия!$A$2:$B$40,2,FALSE)*L80)+H80)</f>
        <v>258.13502</v>
      </c>
      <c r="N80" s="65">
        <v>2</v>
      </c>
      <c r="O80" s="65">
        <f t="shared" si="39"/>
        <v>516.27003999999999</v>
      </c>
      <c r="P80" s="66"/>
      <c r="Q80" s="65">
        <f t="array" ref="Q80">INDEX(Материалы!$C$2:$C$50,MATCH(G80&amp;D80,Материалы!$A$2:$A$50&amp;Материалы!$B$2:$B$50,0))</f>
        <v>966</v>
      </c>
      <c r="R80" s="65">
        <f>FLOOR(Раскройка!$D$2/B80,1)*FLOOR(Раскройка!$C$2/C80,1)</f>
        <v>48</v>
      </c>
      <c r="S80" s="65">
        <f>MAX(Раскройка!$F$2-E80*R80,0)</f>
        <v>1.4676640000000001</v>
      </c>
      <c r="T80" s="65">
        <f t="shared" si="40"/>
        <v>1417.763424</v>
      </c>
    </row>
    <row r="81" spans="1:20" x14ac:dyDescent="0.25">
      <c r="A81" s="65" t="s">
        <v>109</v>
      </c>
      <c r="B81" s="65">
        <v>546</v>
      </c>
      <c r="C81" s="65">
        <v>400</v>
      </c>
      <c r="D81" s="65">
        <v>6</v>
      </c>
      <c r="E81" s="65">
        <f t="shared" ref="E81:E82" si="41">B81*C81/1000000</f>
        <v>0.21840000000000001</v>
      </c>
      <c r="F81" s="20"/>
      <c r="G81" s="7" t="s">
        <v>4</v>
      </c>
      <c r="H81" s="65">
        <f>ROUND(Q81+T81/Раскройка!$F$2,0)</f>
        <v>7410</v>
      </c>
      <c r="I81" s="65" t="s">
        <v>41</v>
      </c>
      <c r="J81" s="65">
        <v>2</v>
      </c>
      <c r="K81" s="65" t="s">
        <v>39</v>
      </c>
      <c r="L81" s="65">
        <v>4</v>
      </c>
      <c r="M81" s="65">
        <f>E81*(0.25*(VLOOKUP(I81,Покрытия!$A$2:$B$40,2,FALSE)*J81+VLOOKUP(K81,Покрытия!$A$2:$B$40,2,FALSE)*L81)+H81)</f>
        <v>1978.7040000000002</v>
      </c>
      <c r="N81" s="65">
        <v>5</v>
      </c>
      <c r="O81" s="65">
        <f t="shared" ref="O81:O83" si="42">M81*N81</f>
        <v>9893.52</v>
      </c>
      <c r="P81" s="66"/>
      <c r="Q81" s="65">
        <f t="array" ref="Q81">INDEX(Материалы!$C$2:$C$100,MATCH(G81&amp;D81,Материалы!$A$2:$A$100&amp;Материалы!$B$2:$B$100,0))</f>
        <v>7000</v>
      </c>
      <c r="R81" s="65">
        <f>FLOOR(Раскройка!$D$2/B81,1)*FLOOR(Раскройка!$C$2/C81,1)</f>
        <v>25</v>
      </c>
      <c r="S81" s="65">
        <f>MAX(Раскройка!$F$2-E81*R81,0)</f>
        <v>0.33999999999999986</v>
      </c>
      <c r="T81" s="65">
        <f t="shared" ref="T81:T82" si="43">Q81*S81</f>
        <v>2379.9999999999991</v>
      </c>
    </row>
    <row r="82" spans="1:20" x14ac:dyDescent="0.25">
      <c r="A82" s="65" t="s">
        <v>180</v>
      </c>
      <c r="B82" s="65">
        <v>546</v>
      </c>
      <c r="C82" s="65">
        <v>400</v>
      </c>
      <c r="D82" s="65">
        <v>25</v>
      </c>
      <c r="E82" s="65">
        <f t="shared" si="41"/>
        <v>0.21840000000000001</v>
      </c>
      <c r="F82" s="20"/>
      <c r="G82" s="7" t="s">
        <v>12</v>
      </c>
      <c r="H82" s="65">
        <f>ROUND(Q82+T82/Раскройка!$F$2,0)</f>
        <v>1023</v>
      </c>
      <c r="I82" s="65" t="s">
        <v>41</v>
      </c>
      <c r="J82" s="65">
        <v>2</v>
      </c>
      <c r="K82" s="65" t="s">
        <v>39</v>
      </c>
      <c r="L82" s="65">
        <v>4</v>
      </c>
      <c r="M82" s="65">
        <f>E82*(0.25*(VLOOKUP(I82,Покрытия!$A$2:$B$40,2,FALSE)*J82+VLOOKUP(K82,Покрытия!$A$2:$B$40,2,FALSE)*L82)+H82)</f>
        <v>583.78320000000008</v>
      </c>
      <c r="N82" s="65">
        <v>2</v>
      </c>
      <c r="O82" s="65">
        <f t="shared" si="42"/>
        <v>1167.5664000000002</v>
      </c>
      <c r="P82" s="66"/>
      <c r="Q82" s="65">
        <f t="array" ref="Q82">INDEX(Материалы!$C$2:$C$50,MATCH(G82&amp;D82,Материалы!$A$2:$A$50&amp;Материалы!$B$2:$B$50,0))</f>
        <v>966</v>
      </c>
      <c r="R82" s="65">
        <f>FLOOR(Раскройка!$D$2/B82,1)*FLOOR(Раскройка!$C$2/C82,1)</f>
        <v>25</v>
      </c>
      <c r="S82" s="65">
        <f>MAX(Раскройка!$F$2-E82*R82,0)</f>
        <v>0.33999999999999986</v>
      </c>
      <c r="T82" s="65">
        <f t="shared" si="43"/>
        <v>328.43999999999988</v>
      </c>
    </row>
    <row r="83" spans="1:20" x14ac:dyDescent="0.25">
      <c r="A83" s="65" t="s">
        <v>182</v>
      </c>
      <c r="B83" s="65">
        <v>2099</v>
      </c>
      <c r="C83" s="65">
        <v>80</v>
      </c>
      <c r="D83" s="65">
        <v>38</v>
      </c>
      <c r="E83" s="65">
        <f>B83*C83*D83/1000000000</f>
        <v>6.3809599999999998E-3</v>
      </c>
      <c r="F83" s="65">
        <f>B83*C83/1000000</f>
        <v>0.16792000000000001</v>
      </c>
      <c r="G83" s="7" t="s">
        <v>15</v>
      </c>
      <c r="H83" s="65">
        <f>ROUND(Q83+T83/Раскройка!$F$11,0)</f>
        <v>36775</v>
      </c>
      <c r="I83" s="65" t="s">
        <v>41</v>
      </c>
      <c r="J83" s="65">
        <v>2</v>
      </c>
      <c r="K83" s="65" t="s">
        <v>39</v>
      </c>
      <c r="L83" s="65">
        <v>4</v>
      </c>
      <c r="M83" s="65">
        <f>E83*H83+0.25*((VLOOKUP(I83,Покрытия!$A$2:$B$50,2,FALSE)*J83+VLOOKUP(K83,Покрытия!$A$2:$B$50,2,FALSE)*L83)*F83)</f>
        <v>511.72780399999999</v>
      </c>
      <c r="N83" s="65">
        <v>5</v>
      </c>
      <c r="O83" s="65">
        <f t="shared" si="42"/>
        <v>2558.6390200000001</v>
      </c>
      <c r="P83" s="66"/>
      <c r="Q83" s="65">
        <f t="array" ref="Q83">INDEX(Материалы!$C$2:$C$50,MATCH(G83,Материалы!$A$2:$A$50,0))</f>
        <v>32000</v>
      </c>
      <c r="R83" s="65">
        <f>FLOOR(Раскройка!$C$11/C83,1)*FLOOR(Раскройка!$D$11/B83,1)</f>
        <v>3</v>
      </c>
      <c r="S83" s="65">
        <f>MAX(Раскройка!$F$11-E83*R83,0)</f>
        <v>3.3571199999999982E-3</v>
      </c>
      <c r="T83" s="65">
        <f>Q83*S83</f>
        <v>107.42783999999995</v>
      </c>
    </row>
    <row r="85" spans="1:20" x14ac:dyDescent="0.25">
      <c r="A85" s="65" t="s">
        <v>181</v>
      </c>
      <c r="B85" s="65">
        <v>1000</v>
      </c>
      <c r="C85" s="65">
        <v>219</v>
      </c>
      <c r="D85" s="65">
        <v>25</v>
      </c>
      <c r="E85" s="65">
        <f>B85*C85/1000000</f>
        <v>0.219</v>
      </c>
      <c r="F85" s="20"/>
      <c r="G85" s="7" t="s">
        <v>12</v>
      </c>
      <c r="H85" s="65">
        <f>ROUND(Q85+T85/Раскройка!$F$2,0)</f>
        <v>1275</v>
      </c>
      <c r="I85" s="65" t="s">
        <v>41</v>
      </c>
      <c r="J85" s="65">
        <v>2</v>
      </c>
      <c r="K85" s="65" t="s">
        <v>39</v>
      </c>
      <c r="L85" s="65">
        <v>4</v>
      </c>
      <c r="M85" s="65">
        <f>E85*(0.25*(VLOOKUP(I85,Покрытия!$A$2:$B$40,2,FALSE)*J85+VLOOKUP(K85,Покрытия!$A$2:$B$40,2,FALSE)*L85)+H85)</f>
        <v>640.57500000000005</v>
      </c>
      <c r="N85" s="65">
        <v>1</v>
      </c>
      <c r="O85" s="65">
        <f t="shared" ref="O85" si="44">M85*N85</f>
        <v>640.57500000000005</v>
      </c>
      <c r="P85" s="66"/>
      <c r="Q85" s="65">
        <f t="array" ref="Q85">INDEX(Материалы!$C$2:$C$50,MATCH(G85&amp;D85,Материалы!$A$2:$A$50&amp;Материалы!$B$2:$B$50,0))</f>
        <v>966</v>
      </c>
      <c r="R85" s="65">
        <f>FLOOR(Раскройка!$D$2/B85,1)*FLOOR(Раскройка!$C$2/C85,1)</f>
        <v>18</v>
      </c>
      <c r="S85" s="65">
        <f>MAX(Раскройка!$F$2-E85*R85,0)</f>
        <v>1.8579999999999997</v>
      </c>
      <c r="T85" s="65">
        <f>Q85*S85</f>
        <v>1794.8279999999997</v>
      </c>
    </row>
    <row r="86" spans="1:20" x14ac:dyDescent="0.25">
      <c r="A86" s="65" t="s">
        <v>181</v>
      </c>
      <c r="B86" s="65">
        <v>1000</v>
      </c>
      <c r="C86" s="65">
        <v>141</v>
      </c>
      <c r="D86" s="65">
        <v>25</v>
      </c>
      <c r="E86" s="65">
        <f>B86*C86/1000000</f>
        <v>0.14099999999999999</v>
      </c>
      <c r="F86" s="20"/>
      <c r="G86" s="7" t="s">
        <v>12</v>
      </c>
      <c r="H86" s="65">
        <f>ROUND(Q86+T86/Раскройка!$F$2,0)</f>
        <v>1274</v>
      </c>
      <c r="I86" s="65" t="s">
        <v>41</v>
      </c>
      <c r="J86" s="65">
        <v>2</v>
      </c>
      <c r="K86" s="65" t="s">
        <v>39</v>
      </c>
      <c r="L86" s="65">
        <v>4</v>
      </c>
      <c r="M86" s="65">
        <f>E86*(0.25*(VLOOKUP(I86,Покрытия!$A$2:$B$40,2,FALSE)*J86+VLOOKUP(K86,Покрытия!$A$2:$B$40,2,FALSE)*L86)+H86)</f>
        <v>412.28399999999993</v>
      </c>
      <c r="N86" s="65">
        <v>1</v>
      </c>
      <c r="O86" s="65">
        <f t="shared" ref="O86:O87" si="45">M86*N86</f>
        <v>412.28399999999993</v>
      </c>
      <c r="P86" s="66"/>
      <c r="Q86" s="65">
        <f t="array" ref="Q86">INDEX(Материалы!$C$2:$C$50,MATCH(G86&amp;D86,Материалы!$A$2:$A$50&amp;Материалы!$B$2:$B$50,0))</f>
        <v>966</v>
      </c>
      <c r="R86" s="65">
        <f>FLOOR(Раскройка!$D$2/B86,1)*FLOOR(Раскройка!$C$2/C86,1)</f>
        <v>28</v>
      </c>
      <c r="S86" s="65">
        <f>MAX(Раскройка!$F$2-E86*R86,0)</f>
        <v>1.8520000000000003</v>
      </c>
      <c r="T86" s="65">
        <f>Q86*S86</f>
        <v>1789.0320000000004</v>
      </c>
    </row>
    <row r="87" spans="1:20" x14ac:dyDescent="0.25">
      <c r="A87" s="65" t="s">
        <v>118</v>
      </c>
      <c r="B87" s="65">
        <v>1000</v>
      </c>
      <c r="C87" s="65">
        <v>100</v>
      </c>
      <c r="D87" s="65">
        <v>30</v>
      </c>
      <c r="E87" s="65">
        <f>B87*C87*D87/1000000000</f>
        <v>3.0000000000000001E-3</v>
      </c>
      <c r="F87" s="65">
        <f>B87*C87/1000000</f>
        <v>0.1</v>
      </c>
      <c r="G87" s="7" t="s">
        <v>15</v>
      </c>
      <c r="H87" s="65">
        <f>ROUND(Q87+T87/Раскройка!$F$11,0)</f>
        <v>32000</v>
      </c>
      <c r="I87" s="65" t="s">
        <v>41</v>
      </c>
      <c r="J87" s="65">
        <v>2</v>
      </c>
      <c r="K87" s="65" t="s">
        <v>39</v>
      </c>
      <c r="L87" s="65">
        <v>4</v>
      </c>
      <c r="M87" s="65">
        <f>E87*H87+0.25*((VLOOKUP(I87,Покрытия!$A$2:$B$50,2,FALSE)*J87+VLOOKUP(K87,Покрытия!$A$2:$B$50,2,FALSE)*L87)*F87)</f>
        <v>261</v>
      </c>
      <c r="N87" s="65">
        <v>1</v>
      </c>
      <c r="O87" s="65">
        <f t="shared" si="45"/>
        <v>261</v>
      </c>
      <c r="P87" s="66"/>
      <c r="Q87" s="65">
        <f t="array" ref="Q87">INDEX(Материалы!$C$2:$C$50,MATCH(G87,Материалы!$A$2:$A$50,0))</f>
        <v>32000</v>
      </c>
      <c r="R87" s="65">
        <f>FLOOR(Раскройка!$C$11/C87,1)*FLOOR(Раскройка!$D$11/B87,1)</f>
        <v>9</v>
      </c>
      <c r="S87" s="65">
        <f>MAX(Раскройка!$F$11-E87*R87,0)</f>
        <v>0</v>
      </c>
      <c r="T87" s="65">
        <f>Q87*S87</f>
        <v>0</v>
      </c>
    </row>
  </sheetData>
  <mergeCells count="6">
    <mergeCell ref="G2:G5"/>
    <mergeCell ref="C1:F1"/>
    <mergeCell ref="C2:F2"/>
    <mergeCell ref="C3:F3"/>
    <mergeCell ref="C4:F4"/>
    <mergeCell ref="C5:F5"/>
  </mergeCells>
  <pageMargins left="0.7" right="0.7" top="0.75" bottom="0.75" header="0.3" footer="0.3"/>
  <pageSetup paperSize="8" scale="52" fitToHeight="0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89"/>
  <sheetViews>
    <sheetView workbookViewId="0">
      <selection activeCell="A3" sqref="A1:B3"/>
    </sheetView>
  </sheetViews>
  <sheetFormatPr defaultRowHeight="15" x14ac:dyDescent="0.25"/>
  <cols>
    <col min="1" max="1" width="24" customWidth="1"/>
    <col min="2" max="2" width="11.140625" customWidth="1"/>
    <col min="3" max="3" width="11.7109375" customWidth="1"/>
    <col min="4" max="4" width="11.85546875" customWidth="1"/>
    <col min="5" max="6" width="11.140625" customWidth="1"/>
    <col min="7" max="7" width="14.5703125" customWidth="1"/>
    <col min="8" max="8" width="16" customWidth="1"/>
    <col min="10" max="10" width="14.140625" customWidth="1"/>
    <col min="12" max="12" width="13.7109375" customWidth="1"/>
    <col min="13" max="13" width="15.28515625" customWidth="1"/>
    <col min="14" max="14" width="17.5703125" customWidth="1"/>
    <col min="17" max="20" width="9.140625" customWidth="1"/>
  </cols>
  <sheetData>
    <row r="1" spans="1:22" x14ac:dyDescent="0.25">
      <c r="A1" s="88" t="s">
        <v>92</v>
      </c>
      <c r="B1" s="88" t="s">
        <v>185</v>
      </c>
      <c r="C1" s="91" t="s">
        <v>186</v>
      </c>
      <c r="D1" s="88" t="s">
        <v>187</v>
      </c>
      <c r="E1" s="88" t="s">
        <v>188</v>
      </c>
      <c r="F1" s="88" t="s">
        <v>190</v>
      </c>
      <c r="G1" s="88" t="s">
        <v>191</v>
      </c>
      <c r="H1" s="88" t="s">
        <v>192</v>
      </c>
      <c r="I1" s="88" t="s">
        <v>58</v>
      </c>
    </row>
    <row r="2" spans="1:22" x14ac:dyDescent="0.25">
      <c r="A2" s="90"/>
      <c r="B2" s="90"/>
      <c r="C2" s="91"/>
      <c r="D2" s="90"/>
      <c r="E2" s="90"/>
      <c r="F2" s="90"/>
      <c r="G2" s="90"/>
      <c r="H2" s="90"/>
      <c r="I2" s="90"/>
    </row>
    <row r="3" spans="1:22" x14ac:dyDescent="0.25">
      <c r="A3" s="65" t="s">
        <v>61</v>
      </c>
      <c r="B3" s="65">
        <f>CEILING(SUM(O8:O15),1)</f>
        <v>2157</v>
      </c>
      <c r="C3" s="65">
        <f>CEILING(SUM(O17:O24),1)</f>
        <v>2194</v>
      </c>
      <c r="D3" s="65">
        <f>CEILING(SUM(O26:O37),1)</f>
        <v>3742</v>
      </c>
      <c r="E3" s="65">
        <f>CEILING(SUM(O39:O50),1)</f>
        <v>3685</v>
      </c>
      <c r="F3" s="65">
        <f>CEILING(SUM(O52:O63),1)</f>
        <v>3642</v>
      </c>
      <c r="G3" s="65">
        <f>CEILING(SUM(O65:O76),1)</f>
        <v>3486</v>
      </c>
      <c r="H3" s="65">
        <f>CEILING(SUM(O78:O89),1)</f>
        <v>4401</v>
      </c>
      <c r="I3" s="65">
        <f>SUM(B3:H3)</f>
        <v>23307</v>
      </c>
    </row>
    <row r="7" spans="1:22" x14ac:dyDescent="0.25">
      <c r="A7" s="65" t="s">
        <v>32</v>
      </c>
      <c r="B7" s="65" t="s">
        <v>20</v>
      </c>
      <c r="C7" s="65" t="s">
        <v>19</v>
      </c>
      <c r="D7" s="65" t="s">
        <v>21</v>
      </c>
      <c r="E7" s="65" t="s">
        <v>22</v>
      </c>
      <c r="F7" s="7" t="s">
        <v>26</v>
      </c>
      <c r="G7" s="7" t="s">
        <v>49</v>
      </c>
      <c r="H7" s="65" t="s">
        <v>46</v>
      </c>
      <c r="I7" s="65" t="s">
        <v>35</v>
      </c>
      <c r="J7" s="65" t="s">
        <v>47</v>
      </c>
      <c r="K7" s="65" t="s">
        <v>35</v>
      </c>
      <c r="L7" s="65" t="s">
        <v>47</v>
      </c>
      <c r="M7" s="7" t="s">
        <v>48</v>
      </c>
      <c r="N7" s="65" t="s">
        <v>59</v>
      </c>
      <c r="O7" s="65" t="s">
        <v>58</v>
      </c>
      <c r="P7" s="66"/>
      <c r="Q7" s="7" t="s">
        <v>50</v>
      </c>
      <c r="R7" s="7" t="s">
        <v>53</v>
      </c>
      <c r="S7" s="7" t="s">
        <v>51</v>
      </c>
      <c r="T7" s="7" t="s">
        <v>52</v>
      </c>
      <c r="U7" s="66"/>
    </row>
    <row r="8" spans="1:22" x14ac:dyDescent="0.25">
      <c r="A8" s="65" t="s">
        <v>77</v>
      </c>
      <c r="B8" s="65">
        <v>597</v>
      </c>
      <c r="C8" s="65">
        <v>165</v>
      </c>
      <c r="D8" s="65">
        <v>18</v>
      </c>
      <c r="E8" s="65">
        <f t="shared" ref="E8:E9" si="0">B8*C8/1000000</f>
        <v>9.8504999999999995E-2</v>
      </c>
      <c r="F8" s="20"/>
      <c r="G8" s="7" t="s">
        <v>12</v>
      </c>
      <c r="H8" s="65">
        <f>ROUND(Q8+T8/Раскройка!$F$2,0)</f>
        <v>592</v>
      </c>
      <c r="I8" s="65" t="s">
        <v>41</v>
      </c>
      <c r="J8" s="65">
        <v>2</v>
      </c>
      <c r="K8" s="65" t="s">
        <v>39</v>
      </c>
      <c r="L8" s="65">
        <v>4</v>
      </c>
      <c r="M8" s="65">
        <f>E8*(0.25*(VLOOKUP(I8,Покрытия!$A$2:$B$40,2,FALSE)*J8+VLOOKUP(K8,Покрытия!$A$2:$B$40,2,FALSE)*L8)+H8)</f>
        <v>220.84820999999999</v>
      </c>
      <c r="N8" s="65">
        <v>2</v>
      </c>
      <c r="O8" s="65">
        <f t="shared" ref="O8:O9" si="1">M8*N8</f>
        <v>441.69641999999999</v>
      </c>
      <c r="P8" s="66"/>
      <c r="Q8" s="65">
        <f t="array" ref="Q8">INDEX(Материалы!$C$2:$C$50,MATCH(G8&amp;D8,Материалы!$A$2:$A$50&amp;Материалы!$B$2:$B$50,0))</f>
        <v>500</v>
      </c>
      <c r="R8" s="65">
        <f>FLOOR(Раскройка!$D$2/B8,1)*FLOOR(Раскройка!$C$2/C8,1)</f>
        <v>48</v>
      </c>
      <c r="S8" s="65">
        <f>MAX(Раскройка!$F$2-E8*R8,0)</f>
        <v>1.0717600000000003</v>
      </c>
      <c r="T8" s="65">
        <f>Q8*S8</f>
        <v>535.88000000000011</v>
      </c>
      <c r="U8" s="66"/>
    </row>
    <row r="9" spans="1:22" x14ac:dyDescent="0.25">
      <c r="A9" s="65" t="s">
        <v>78</v>
      </c>
      <c r="B9" s="65">
        <v>1491</v>
      </c>
      <c r="C9" s="65">
        <v>70</v>
      </c>
      <c r="D9" s="65">
        <v>18</v>
      </c>
      <c r="E9" s="65">
        <f t="shared" si="0"/>
        <v>0.10437</v>
      </c>
      <c r="F9" s="20"/>
      <c r="G9" s="7" t="s">
        <v>12</v>
      </c>
      <c r="H9" s="65">
        <f>ROUND(Q9+T9/Раскройка!$F$2,0)</f>
        <v>739</v>
      </c>
      <c r="I9" s="65" t="s">
        <v>41</v>
      </c>
      <c r="J9" s="65">
        <v>2</v>
      </c>
      <c r="K9" s="65" t="s">
        <v>39</v>
      </c>
      <c r="L9" s="65">
        <v>4</v>
      </c>
      <c r="M9" s="65">
        <f>E9*(0.25*(VLOOKUP(I9,Покрытия!$A$2:$B$40,2,FALSE)*J9+VLOOKUP(K9,Покрытия!$A$2:$B$40,2,FALSE)*L9)+H9)</f>
        <v>249.33993000000001</v>
      </c>
      <c r="N9" s="65">
        <v>2</v>
      </c>
      <c r="O9" s="65">
        <f t="shared" si="1"/>
        <v>498.67986000000002</v>
      </c>
      <c r="P9" s="66"/>
      <c r="Q9" s="65">
        <f t="array" ref="Q9">INDEX(Материалы!$C$2:$C$50,MATCH(G9&amp;D9,Материалы!$A$2:$A$50&amp;Материалы!$B$2:$B$50,0))</f>
        <v>500</v>
      </c>
      <c r="R9" s="65">
        <f>FLOOR(Раскройка!$D$2/B9,1)*FLOOR(Раскройка!$C$2/C9,1)</f>
        <v>29</v>
      </c>
      <c r="S9" s="65">
        <f>MAX(Раскройка!$F$2-E9*R9,0)</f>
        <v>2.7732699999999997</v>
      </c>
      <c r="T9" s="65">
        <f t="shared" ref="T9" si="2">Q9*S9</f>
        <v>1386.6349999999998</v>
      </c>
      <c r="U9" s="66"/>
    </row>
    <row r="10" spans="1:22" x14ac:dyDescent="0.25">
      <c r="A10" s="65" t="s">
        <v>129</v>
      </c>
      <c r="B10" s="65">
        <v>597</v>
      </c>
      <c r="C10" s="65">
        <v>95</v>
      </c>
      <c r="D10" s="65">
        <v>16</v>
      </c>
      <c r="E10" s="65">
        <f t="shared" ref="E10:E11" si="3">B10*C10/1000000</f>
        <v>5.6715000000000002E-2</v>
      </c>
      <c r="F10" s="20"/>
      <c r="G10" s="7" t="s">
        <v>12</v>
      </c>
      <c r="H10" s="65">
        <f>ROUND(Q10+T10/Раскройка!$F$2,0)</f>
        <v>761</v>
      </c>
      <c r="I10" s="65" t="s">
        <v>41</v>
      </c>
      <c r="J10" s="65">
        <v>2</v>
      </c>
      <c r="K10" s="65" t="s">
        <v>39</v>
      </c>
      <c r="L10" s="65">
        <v>4</v>
      </c>
      <c r="M10" s="65">
        <f>E10*(0.25*(VLOOKUP(I10,Покрытия!$A$2:$B$40,2,FALSE)*J10+VLOOKUP(K10,Покрытия!$A$2:$B$40,2,FALSE)*L10)+H10)</f>
        <v>136.73986500000001</v>
      </c>
      <c r="N10" s="65">
        <v>2</v>
      </c>
      <c r="O10" s="65">
        <f t="shared" ref="O10:O11" si="4">M10*N10</f>
        <v>273.47973000000002</v>
      </c>
      <c r="P10" s="66"/>
      <c r="Q10" s="65">
        <f t="array" ref="Q10">INDEX(Материалы!$C$2:$C$50,MATCH(G10&amp;D10,Материалы!$A$2:$A$50&amp;Материалы!$B$2:$B$50,0))</f>
        <v>646</v>
      </c>
      <c r="R10" s="65">
        <f>FLOOR(Раскройка!$D$2/B10,1)*FLOOR(Раскройка!$C$2/C10,1)</f>
        <v>84</v>
      </c>
      <c r="S10" s="65">
        <f>MAX(Раскройка!$F$2-E10*R10,0)</f>
        <v>1.0359400000000001</v>
      </c>
      <c r="T10" s="65">
        <f t="shared" ref="T10:T11" si="5">Q10*S10</f>
        <v>669.21724000000006</v>
      </c>
      <c r="U10" s="66"/>
    </row>
    <row r="11" spans="1:22" x14ac:dyDescent="0.25">
      <c r="A11" s="65" t="s">
        <v>107</v>
      </c>
      <c r="B11" s="65">
        <v>597</v>
      </c>
      <c r="C11" s="65">
        <v>103</v>
      </c>
      <c r="D11" s="65">
        <v>18</v>
      </c>
      <c r="E11" s="65">
        <f t="shared" si="3"/>
        <v>6.1490999999999997E-2</v>
      </c>
      <c r="F11" s="20"/>
      <c r="G11" s="7" t="s">
        <v>12</v>
      </c>
      <c r="H11" s="65">
        <f>ROUND(Q11+T11/Раскройка!$F$2,0)</f>
        <v>576</v>
      </c>
      <c r="I11" s="65" t="s">
        <v>41</v>
      </c>
      <c r="J11" s="65">
        <v>2</v>
      </c>
      <c r="K11" s="65" t="s">
        <v>39</v>
      </c>
      <c r="L11" s="65">
        <v>4</v>
      </c>
      <c r="M11" s="65">
        <f>E11*(0.25*(VLOOKUP(I11,Покрытия!$A$2:$B$40,2,FALSE)*J11+VLOOKUP(K11,Покрытия!$A$2:$B$40,2,FALSE)*L11)+H11)</f>
        <v>136.87896599999999</v>
      </c>
      <c r="N11" s="65">
        <v>2</v>
      </c>
      <c r="O11" s="65">
        <f t="shared" si="4"/>
        <v>273.75793199999998</v>
      </c>
      <c r="P11" s="66"/>
      <c r="Q11" s="65">
        <f t="array" ref="Q11">INDEX(Материалы!$C$2:$C$50,MATCH(G11&amp;D11,Материалы!$A$2:$A$50&amp;Материалы!$B$2:$B$50,0))</f>
        <v>500</v>
      </c>
      <c r="R11" s="65">
        <f>FLOOR(Раскройка!$D$2/B11,1)*FLOOR(Раскройка!$C$2/C11,1)</f>
        <v>80</v>
      </c>
      <c r="S11" s="65">
        <f>MAX(Раскройка!$F$2-E11*R11,0)</f>
        <v>0.88072000000000017</v>
      </c>
      <c r="T11" s="65">
        <f t="shared" si="5"/>
        <v>440.36000000000007</v>
      </c>
      <c r="U11" s="66"/>
    </row>
    <row r="12" spans="1:22" x14ac:dyDescent="0.25">
      <c r="A12" s="65" t="s">
        <v>144</v>
      </c>
      <c r="B12" s="65">
        <f>B8-70*2</f>
        <v>457</v>
      </c>
      <c r="C12" s="65">
        <v>23</v>
      </c>
      <c r="D12" s="65">
        <v>23</v>
      </c>
      <c r="E12" s="65">
        <f>B12*C12*D12/1000000000</f>
        <v>2.4175299999999999E-4</v>
      </c>
      <c r="F12" s="65">
        <f>B12*C12/1000000</f>
        <v>1.0511E-2</v>
      </c>
      <c r="G12" s="65" t="s">
        <v>15</v>
      </c>
      <c r="H12" s="65">
        <f>ROUND(Q12+T12/Раскройка!$F$11,0)</f>
        <v>37182</v>
      </c>
      <c r="I12" s="65" t="s">
        <v>41</v>
      </c>
      <c r="J12" s="65">
        <v>2</v>
      </c>
      <c r="K12" s="65" t="s">
        <v>39</v>
      </c>
      <c r="L12" s="65">
        <v>4</v>
      </c>
      <c r="M12" s="65">
        <f>E12*H12+0.25*((VLOOKUP(I12,Покрытия!$A$2:$B$50,2,FALSE)*J12+VLOOKUP(K12,Покрытия!$A$2:$B$50,2,FALSE)*L12)*F12)</f>
        <v>26.332010045999997</v>
      </c>
      <c r="N12" s="65">
        <v>2</v>
      </c>
      <c r="O12" s="65">
        <f>M12*N12</f>
        <v>52.664020091999994</v>
      </c>
      <c r="P12" s="66"/>
      <c r="Q12" s="65">
        <f t="array" ref="Q12">INDEX(Материалы!$C$2:$C$50,MATCH(G12,Материалы!$A$2:$A$50,0))</f>
        <v>32000</v>
      </c>
      <c r="R12" s="65">
        <f>FLOOR(Раскройка!$C$11/C12,1)*FLOOR(Раскройка!$D$11/B12,1)</f>
        <v>78</v>
      </c>
      <c r="S12" s="65">
        <f>MAX(Раскройка!$F$11-E12*R12,0)</f>
        <v>3.6432659999999992E-3</v>
      </c>
      <c r="T12" s="65">
        <f>Q12*S12</f>
        <v>116.58451199999998</v>
      </c>
      <c r="V12" s="16"/>
    </row>
    <row r="13" spans="1:22" x14ac:dyDescent="0.25">
      <c r="A13" s="65" t="s">
        <v>145</v>
      </c>
      <c r="B13" s="65">
        <f>B9-165*2</f>
        <v>1161</v>
      </c>
      <c r="C13" s="65">
        <v>23</v>
      </c>
      <c r="D13" s="65">
        <v>23</v>
      </c>
      <c r="E13" s="65">
        <f>B13*C13*D13/1000000000</f>
        <v>6.1416900000000002E-4</v>
      </c>
      <c r="F13" s="65">
        <f>B13*C13/1000000</f>
        <v>2.6703000000000001E-2</v>
      </c>
      <c r="G13" s="65" t="s">
        <v>15</v>
      </c>
      <c r="H13" s="65">
        <f>ROUND(Q13+T13/Раскройка!$F$11,0)</f>
        <v>41289</v>
      </c>
      <c r="I13" s="65" t="s">
        <v>41</v>
      </c>
      <c r="J13" s="65">
        <v>2</v>
      </c>
      <c r="K13" s="65" t="s">
        <v>39</v>
      </c>
      <c r="L13" s="65">
        <v>4</v>
      </c>
      <c r="M13" s="65">
        <f>E13*H13+0.25*((VLOOKUP(I13,Покрытия!$A$2:$B$50,2,FALSE)*J13+VLOOKUP(K13,Покрытия!$A$2:$B$50,2,FALSE)*L13)*F13)</f>
        <v>69.418373841000005</v>
      </c>
      <c r="N13" s="65">
        <v>2</v>
      </c>
      <c r="O13" s="65">
        <f>M13*N13</f>
        <v>138.83674768200001</v>
      </c>
      <c r="P13" s="66"/>
      <c r="Q13" s="65">
        <f t="array" ref="Q13">INDEX(Материалы!$C$2:$C$50,MATCH(G13,Материалы!$A$2:$A$50,0))</f>
        <v>32000</v>
      </c>
      <c r="R13" s="65">
        <f>FLOOR(Раскройка!$C$11/C13,1)*FLOOR(Раскройка!$D$11/B13,1)</f>
        <v>26</v>
      </c>
      <c r="S13" s="65">
        <f>MAX(Раскройка!$F$11-E13*R13,0)</f>
        <v>6.5316059999999988E-3</v>
      </c>
      <c r="T13" s="65">
        <f>Q13*S13</f>
        <v>209.01139199999997</v>
      </c>
      <c r="V13" s="16"/>
    </row>
    <row r="14" spans="1:22" x14ac:dyDescent="0.25">
      <c r="A14" s="65" t="s">
        <v>184</v>
      </c>
      <c r="B14" s="65">
        <f>(95+113)*2</f>
        <v>416</v>
      </c>
      <c r="C14" s="65">
        <v>200</v>
      </c>
      <c r="D14" s="65">
        <v>8</v>
      </c>
      <c r="E14" s="65">
        <f>B14*C14*D14/1000000000</f>
        <v>6.6560000000000002E-4</v>
      </c>
      <c r="F14" s="65">
        <f>B14*C14/1000000</f>
        <v>8.3199999999999996E-2</v>
      </c>
      <c r="G14" s="65" t="s">
        <v>15</v>
      </c>
      <c r="H14" s="65">
        <f>ROUND(Q14+T14/Раскройка!$F$11,0)</f>
        <v>57374</v>
      </c>
      <c r="I14" s="65" t="s">
        <v>41</v>
      </c>
      <c r="J14" s="65">
        <v>2</v>
      </c>
      <c r="K14" s="65" t="s">
        <v>39</v>
      </c>
      <c r="L14" s="65">
        <v>4</v>
      </c>
      <c r="M14" s="65">
        <f>E14*H14+0.25*((VLOOKUP(I14,Покрытия!$A$2:$B$50,2,FALSE)*J14+VLOOKUP(K14,Покрытия!$A$2:$B$50,2,FALSE)*L14)*F14)</f>
        <v>175.4681344</v>
      </c>
      <c r="N14" s="65">
        <v>2</v>
      </c>
      <c r="O14" s="65">
        <f>M14*N14</f>
        <v>350.93626879999999</v>
      </c>
      <c r="P14" s="66"/>
      <c r="Q14" s="65">
        <f t="array" ref="Q14">INDEX(Материалы!$C$2:$C$50,MATCH(G14,Материалы!$A$2:$A$50,0))</f>
        <v>32000</v>
      </c>
      <c r="R14" s="65">
        <f>FLOOR(Раскройка!$C$11/C14,1)*FLOOR(Раскройка!$D$11/B14,1)</f>
        <v>7</v>
      </c>
      <c r="S14" s="65">
        <f>MAX(Раскройка!$F$11-E14*R14,0)</f>
        <v>1.7840799999999997E-2</v>
      </c>
      <c r="T14" s="65">
        <f>Q14*S14</f>
        <v>570.90559999999994</v>
      </c>
    </row>
    <row r="15" spans="1:22" x14ac:dyDescent="0.25">
      <c r="A15" s="65" t="s">
        <v>189</v>
      </c>
      <c r="B15" s="65">
        <f>(95+113)*2</f>
        <v>416</v>
      </c>
      <c r="C15" s="65">
        <v>120</v>
      </c>
      <c r="D15" s="65">
        <v>20</v>
      </c>
      <c r="E15" s="65">
        <f>B15*C15*D15/1000000000</f>
        <v>9.9839999999999998E-4</v>
      </c>
      <c r="F15" s="65">
        <f>B15*C15/1000000</f>
        <v>4.9919999999999999E-2</v>
      </c>
      <c r="G15" s="65" t="s">
        <v>15</v>
      </c>
      <c r="H15" s="65">
        <f>ROUND(Q15+T15/Раскройка!$F$11,0)</f>
        <v>44121</v>
      </c>
      <c r="I15" s="65" t="s">
        <v>41</v>
      </c>
      <c r="J15" s="65">
        <v>2</v>
      </c>
      <c r="K15" s="65" t="s">
        <v>39</v>
      </c>
      <c r="L15" s="65">
        <v>4</v>
      </c>
      <c r="M15" s="65">
        <f>E15*H15+0.25*((VLOOKUP(I15,Покрытия!$A$2:$B$50,2,FALSE)*J15+VLOOKUP(K15,Покрытия!$A$2:$B$50,2,FALSE)*L15)*F15)</f>
        <v>126.41840639999999</v>
      </c>
      <c r="N15" s="65">
        <v>1</v>
      </c>
      <c r="O15" s="65">
        <f>M15*N15</f>
        <v>126.41840639999999</v>
      </c>
      <c r="P15" s="66"/>
      <c r="Q15" s="65">
        <f t="array" ref="Q15">INDEX(Материалы!$C$2:$C$50,MATCH(G15,Материалы!$A$2:$A$50,0))</f>
        <v>32000</v>
      </c>
      <c r="R15" s="65">
        <f>FLOOR(Раскройка!$C$11/C15,1)*FLOOR(Раскройка!$D$11/B15,1)</f>
        <v>14</v>
      </c>
      <c r="S15" s="65">
        <f>MAX(Раскройка!$F$11-E15*R15,0)</f>
        <v>8.5223999999999994E-3</v>
      </c>
      <c r="T15" s="65">
        <f>Q15*S15</f>
        <v>272.71679999999998</v>
      </c>
    </row>
    <row r="17" spans="1:20" x14ac:dyDescent="0.25">
      <c r="A17" s="65" t="s">
        <v>77</v>
      </c>
      <c r="B17" s="65">
        <v>623</v>
      </c>
      <c r="C17" s="65">
        <v>165</v>
      </c>
      <c r="D17" s="65">
        <v>18</v>
      </c>
      <c r="E17" s="65">
        <f t="shared" ref="E17:E20" si="6">B17*C17/1000000</f>
        <v>0.102795</v>
      </c>
      <c r="F17" s="20"/>
      <c r="G17" s="7" t="s">
        <v>12</v>
      </c>
      <c r="H17" s="65">
        <f>ROUND(Q17+T17/Раскройка!$F$2,0)</f>
        <v>575</v>
      </c>
      <c r="I17" s="65" t="s">
        <v>41</v>
      </c>
      <c r="J17" s="65">
        <v>2</v>
      </c>
      <c r="K17" s="65" t="s">
        <v>39</v>
      </c>
      <c r="L17" s="65">
        <v>4</v>
      </c>
      <c r="M17" s="65">
        <f>E17*(0.25*(VLOOKUP(I17,Покрытия!$A$2:$B$40,2,FALSE)*J17+VLOOKUP(K17,Покрытия!$A$2:$B$40,2,FALSE)*L17)+H17)</f>
        <v>228.718875</v>
      </c>
      <c r="N17" s="65">
        <v>2</v>
      </c>
      <c r="O17" s="65">
        <f t="shared" ref="O17:O20" si="7">M17*N17</f>
        <v>457.43774999999999</v>
      </c>
      <c r="P17" s="66"/>
      <c r="Q17" s="65">
        <f t="array" ref="Q17">INDEX(Материалы!$C$2:$C$50,MATCH(G17&amp;D17,Материалы!$A$2:$A$50&amp;Материалы!$B$2:$B$50,0))</f>
        <v>500</v>
      </c>
      <c r="R17" s="65">
        <f>FLOOR(Раскройка!$D$2/B17,1)*FLOOR(Раскройка!$C$2/C17,1)</f>
        <v>48</v>
      </c>
      <c r="S17" s="65">
        <f>MAX(Раскройка!$F$2-E17*R17,0)</f>
        <v>0.8658399999999995</v>
      </c>
      <c r="T17" s="65">
        <f t="shared" ref="T17:T20" si="8">Q17*S17</f>
        <v>432.91999999999973</v>
      </c>
    </row>
    <row r="18" spans="1:20" x14ac:dyDescent="0.25">
      <c r="A18" s="65" t="s">
        <v>78</v>
      </c>
      <c r="B18" s="65">
        <v>1491</v>
      </c>
      <c r="C18" s="65">
        <v>70</v>
      </c>
      <c r="D18" s="65">
        <v>18</v>
      </c>
      <c r="E18" s="65">
        <f t="shared" si="6"/>
        <v>0.10437</v>
      </c>
      <c r="F18" s="20"/>
      <c r="G18" s="7" t="s">
        <v>12</v>
      </c>
      <c r="H18" s="65">
        <f>ROUND(Q18+T18/Раскройка!$F$2,0)</f>
        <v>739</v>
      </c>
      <c r="I18" s="65" t="s">
        <v>41</v>
      </c>
      <c r="J18" s="65">
        <v>2</v>
      </c>
      <c r="K18" s="65" t="s">
        <v>39</v>
      </c>
      <c r="L18" s="65">
        <v>4</v>
      </c>
      <c r="M18" s="65">
        <f>E18*(0.25*(VLOOKUP(I18,Покрытия!$A$2:$B$40,2,FALSE)*J18+VLOOKUP(K18,Покрытия!$A$2:$B$40,2,FALSE)*L18)+H18)</f>
        <v>249.33993000000001</v>
      </c>
      <c r="N18" s="65">
        <v>2</v>
      </c>
      <c r="O18" s="65">
        <f t="shared" si="7"/>
        <v>498.67986000000002</v>
      </c>
      <c r="P18" s="66"/>
      <c r="Q18" s="65">
        <f t="array" ref="Q18">INDEX(Материалы!$C$2:$C$50,MATCH(G18&amp;D18,Материалы!$A$2:$A$50&amp;Материалы!$B$2:$B$50,0))</f>
        <v>500</v>
      </c>
      <c r="R18" s="65">
        <f>FLOOR(Раскройка!$D$2/B18,1)*FLOOR(Раскройка!$C$2/C18,1)</f>
        <v>29</v>
      </c>
      <c r="S18" s="65">
        <f>MAX(Раскройка!$F$2-E18*R18,0)</f>
        <v>2.7732699999999997</v>
      </c>
      <c r="T18" s="65">
        <f t="shared" si="8"/>
        <v>1386.6349999999998</v>
      </c>
    </row>
    <row r="19" spans="1:20" x14ac:dyDescent="0.25">
      <c r="A19" s="65" t="s">
        <v>129</v>
      </c>
      <c r="B19" s="65">
        <f>B17</f>
        <v>623</v>
      </c>
      <c r="C19" s="65">
        <v>95</v>
      </c>
      <c r="D19" s="65">
        <v>16</v>
      </c>
      <c r="E19" s="65">
        <f t="shared" si="6"/>
        <v>5.9185000000000001E-2</v>
      </c>
      <c r="F19" s="20"/>
      <c r="G19" s="7" t="s">
        <v>12</v>
      </c>
      <c r="H19" s="65">
        <f>ROUND(Q19+T19/Раскройка!$F$2,0)</f>
        <v>738</v>
      </c>
      <c r="I19" s="65" t="s">
        <v>41</v>
      </c>
      <c r="J19" s="65">
        <v>2</v>
      </c>
      <c r="K19" s="65" t="s">
        <v>39</v>
      </c>
      <c r="L19" s="65">
        <v>4</v>
      </c>
      <c r="M19" s="65">
        <f>E19*(0.25*(VLOOKUP(I19,Покрытия!$A$2:$B$40,2,FALSE)*J19+VLOOKUP(K19,Покрытия!$A$2:$B$40,2,FALSE)*L19)+H19)</f>
        <v>141.33377999999999</v>
      </c>
      <c r="N19" s="65">
        <v>2</v>
      </c>
      <c r="O19" s="65">
        <f t="shared" si="7"/>
        <v>282.66755999999998</v>
      </c>
      <c r="P19" s="66"/>
      <c r="Q19" s="65">
        <f t="array" ref="Q19">INDEX(Материалы!$C$2:$C$50,MATCH(G19&amp;D19,Материалы!$A$2:$A$50&amp;Материалы!$B$2:$B$50,0))</f>
        <v>646</v>
      </c>
      <c r="R19" s="65">
        <f>FLOOR(Раскройка!$D$2/B19,1)*FLOOR(Раскройка!$C$2/C19,1)</f>
        <v>84</v>
      </c>
      <c r="S19" s="65">
        <f>MAX(Раскройка!$F$2-E19*R19,0)</f>
        <v>0.82845999999999975</v>
      </c>
      <c r="T19" s="65">
        <f t="shared" si="8"/>
        <v>535.18515999999988</v>
      </c>
    </row>
    <row r="20" spans="1:20" x14ac:dyDescent="0.25">
      <c r="A20" s="65" t="s">
        <v>107</v>
      </c>
      <c r="B20" s="65">
        <f>B17</f>
        <v>623</v>
      </c>
      <c r="C20" s="65">
        <v>103</v>
      </c>
      <c r="D20" s="65">
        <v>18</v>
      </c>
      <c r="E20" s="65">
        <f t="shared" si="6"/>
        <v>6.4169000000000004E-2</v>
      </c>
      <c r="F20" s="20"/>
      <c r="G20" s="7" t="s">
        <v>12</v>
      </c>
      <c r="H20" s="65">
        <f>ROUND(Q20+T20/Раскройка!$F$2,0)</f>
        <v>557</v>
      </c>
      <c r="I20" s="65" t="s">
        <v>41</v>
      </c>
      <c r="J20" s="65">
        <v>2</v>
      </c>
      <c r="K20" s="65" t="s">
        <v>39</v>
      </c>
      <c r="L20" s="65">
        <v>4</v>
      </c>
      <c r="M20" s="65">
        <f>E20*(0.25*(VLOOKUP(I20,Покрытия!$A$2:$B$40,2,FALSE)*J20+VLOOKUP(K20,Покрытия!$A$2:$B$40,2,FALSE)*L20)+H20)</f>
        <v>141.620983</v>
      </c>
      <c r="N20" s="65">
        <v>2</v>
      </c>
      <c r="O20" s="65">
        <f t="shared" si="7"/>
        <v>283.24196599999999</v>
      </c>
      <c r="P20" s="66"/>
      <c r="Q20" s="65">
        <f t="array" ref="Q20">INDEX(Материалы!$C$2:$C$50,MATCH(G20&amp;D20,Материалы!$A$2:$A$50&amp;Материалы!$B$2:$B$50,0))</f>
        <v>500</v>
      </c>
      <c r="R20" s="65">
        <f>FLOOR(Раскройка!$D$2/B20,1)*FLOOR(Раскройка!$C$2/C20,1)</f>
        <v>80</v>
      </c>
      <c r="S20" s="65">
        <f>MAX(Раскройка!$F$2-E20*R20,0)</f>
        <v>0.66647999999999907</v>
      </c>
      <c r="T20" s="65">
        <f t="shared" si="8"/>
        <v>333.23999999999955</v>
      </c>
    </row>
    <row r="21" spans="1:20" x14ac:dyDescent="0.25">
      <c r="A21" s="65" t="s">
        <v>144</v>
      </c>
      <c r="B21" s="65">
        <f>B17-70*2</f>
        <v>483</v>
      </c>
      <c r="C21" s="65">
        <v>23</v>
      </c>
      <c r="D21" s="65">
        <v>23</v>
      </c>
      <c r="E21" s="65">
        <f>B21*C21*D21/1000000000</f>
        <v>2.5550699999999998E-4</v>
      </c>
      <c r="F21" s="65">
        <f>B21*C21/1000000</f>
        <v>1.1109000000000001E-2</v>
      </c>
      <c r="G21" s="65" t="s">
        <v>15</v>
      </c>
      <c r="H21" s="65">
        <f>ROUND(Q21+T21/Раскройка!$F$11,0)</f>
        <v>35656</v>
      </c>
      <c r="I21" s="65" t="s">
        <v>41</v>
      </c>
      <c r="J21" s="65">
        <v>2</v>
      </c>
      <c r="K21" s="65" t="s">
        <v>39</v>
      </c>
      <c r="L21" s="65">
        <v>4</v>
      </c>
      <c r="M21" s="65">
        <f>E21*H21+0.25*((VLOOKUP(I21,Покрытия!$A$2:$B$50,2,FALSE)*J21+VLOOKUP(K21,Покрытия!$A$2:$B$50,2,FALSE)*L21)*F21)</f>
        <v>27.440207592</v>
      </c>
      <c r="N21" s="65">
        <v>2</v>
      </c>
      <c r="O21" s="65">
        <f>M21*N21</f>
        <v>54.880415184</v>
      </c>
      <c r="P21" s="66"/>
      <c r="Q21" s="65">
        <f t="array" ref="Q21">INDEX(Материалы!$C$2:$C$50,MATCH(G21,Материалы!$A$2:$A$50,0))</f>
        <v>32000</v>
      </c>
      <c r="R21" s="65">
        <f>FLOOR(Раскройка!$C$11/C21,1)*FLOOR(Раскройка!$D$11/B21,1)</f>
        <v>78</v>
      </c>
      <c r="S21" s="65">
        <f>MAX(Раскройка!$F$11-E21*R21,0)</f>
        <v>2.5704539999999998E-3</v>
      </c>
      <c r="T21" s="65">
        <f>Q21*S21</f>
        <v>82.254527999999993</v>
      </c>
    </row>
    <row r="22" spans="1:20" x14ac:dyDescent="0.25">
      <c r="A22" s="65" t="s">
        <v>145</v>
      </c>
      <c r="B22" s="65">
        <f>B18-165*2</f>
        <v>1161</v>
      </c>
      <c r="C22" s="65">
        <v>23</v>
      </c>
      <c r="D22" s="65">
        <v>23</v>
      </c>
      <c r="E22" s="65">
        <f>B22*C22*D22/1000000000</f>
        <v>6.1416900000000002E-4</v>
      </c>
      <c r="F22" s="65">
        <f>B22*C22/1000000</f>
        <v>2.6703000000000001E-2</v>
      </c>
      <c r="G22" s="65" t="s">
        <v>15</v>
      </c>
      <c r="H22" s="65">
        <f>ROUND(Q22+T22/Раскройка!$F$11,0)</f>
        <v>41289</v>
      </c>
      <c r="I22" s="65" t="s">
        <v>41</v>
      </c>
      <c r="J22" s="65">
        <v>2</v>
      </c>
      <c r="K22" s="65" t="s">
        <v>39</v>
      </c>
      <c r="L22" s="65">
        <v>4</v>
      </c>
      <c r="M22" s="65">
        <f>E22*H22+0.25*((VLOOKUP(I22,Покрытия!$A$2:$B$50,2,FALSE)*J22+VLOOKUP(K22,Покрытия!$A$2:$B$50,2,FALSE)*L22)*F22)</f>
        <v>69.418373841000005</v>
      </c>
      <c r="N22" s="65">
        <v>2</v>
      </c>
      <c r="O22" s="65">
        <f>M22*N22</f>
        <v>138.83674768200001</v>
      </c>
      <c r="P22" s="66"/>
      <c r="Q22" s="65">
        <f t="array" ref="Q22">INDEX(Материалы!$C$2:$C$50,MATCH(G22,Материалы!$A$2:$A$50,0))</f>
        <v>32000</v>
      </c>
      <c r="R22" s="65">
        <f>FLOOR(Раскройка!$C$11/C22,1)*FLOOR(Раскройка!$D$11/B22,1)</f>
        <v>26</v>
      </c>
      <c r="S22" s="65">
        <f>MAX(Раскройка!$F$11-E22*R22,0)</f>
        <v>6.5316059999999988E-3</v>
      </c>
      <c r="T22" s="65">
        <f>Q22*S22</f>
        <v>209.01139199999997</v>
      </c>
    </row>
    <row r="23" spans="1:20" x14ac:dyDescent="0.25">
      <c r="A23" s="65" t="s">
        <v>184</v>
      </c>
      <c r="B23" s="65">
        <f>(95+113)*2</f>
        <v>416</v>
      </c>
      <c r="C23" s="65">
        <v>200</v>
      </c>
      <c r="D23" s="65">
        <v>8</v>
      </c>
      <c r="E23" s="65">
        <f>B23*C23*D23/1000000000</f>
        <v>6.6560000000000002E-4</v>
      </c>
      <c r="F23" s="65">
        <f>B23*C23/1000000</f>
        <v>8.3199999999999996E-2</v>
      </c>
      <c r="G23" s="65" t="s">
        <v>15</v>
      </c>
      <c r="H23" s="65">
        <f>ROUND(Q23+T23/Раскройка!$F$11,0)</f>
        <v>57374</v>
      </c>
      <c r="I23" s="65" t="s">
        <v>41</v>
      </c>
      <c r="J23" s="65">
        <v>2</v>
      </c>
      <c r="K23" s="65" t="s">
        <v>39</v>
      </c>
      <c r="L23" s="65">
        <v>4</v>
      </c>
      <c r="M23" s="65">
        <f>E23*H23+0.25*((VLOOKUP(I23,Покрытия!$A$2:$B$50,2,FALSE)*J23+VLOOKUP(K23,Покрытия!$A$2:$B$50,2,FALSE)*L23)*F23)</f>
        <v>175.4681344</v>
      </c>
      <c r="N23" s="65">
        <v>2</v>
      </c>
      <c r="O23" s="65">
        <f>M23*N23</f>
        <v>350.93626879999999</v>
      </c>
      <c r="P23" s="66"/>
      <c r="Q23" s="65">
        <f t="array" ref="Q23">INDEX(Материалы!$C$2:$C$50,MATCH(G23,Материалы!$A$2:$A$50,0))</f>
        <v>32000</v>
      </c>
      <c r="R23" s="65">
        <f>FLOOR(Раскройка!$C$11/C23,1)*FLOOR(Раскройка!$D$11/B23,1)</f>
        <v>7</v>
      </c>
      <c r="S23" s="65">
        <f>MAX(Раскройка!$F$11-E23*R23,0)</f>
        <v>1.7840799999999997E-2</v>
      </c>
      <c r="T23" s="65">
        <f>Q23*S23</f>
        <v>570.90559999999994</v>
      </c>
    </row>
    <row r="24" spans="1:20" x14ac:dyDescent="0.25">
      <c r="A24" s="65" t="s">
        <v>189</v>
      </c>
      <c r="B24" s="65">
        <f>(95+113)*2</f>
        <v>416</v>
      </c>
      <c r="C24" s="65">
        <v>120</v>
      </c>
      <c r="D24" s="65">
        <v>20</v>
      </c>
      <c r="E24" s="65">
        <f>B24*C24*D24/1000000000</f>
        <v>9.9839999999999998E-4</v>
      </c>
      <c r="F24" s="65">
        <f>B24*C24/1000000</f>
        <v>4.9919999999999999E-2</v>
      </c>
      <c r="G24" s="65" t="s">
        <v>15</v>
      </c>
      <c r="H24" s="65">
        <f>ROUND(Q24+T24/Раскройка!$F$11,0)</f>
        <v>44121</v>
      </c>
      <c r="I24" s="65" t="s">
        <v>41</v>
      </c>
      <c r="J24" s="65">
        <v>2</v>
      </c>
      <c r="K24" s="65" t="s">
        <v>39</v>
      </c>
      <c r="L24" s="65">
        <v>4</v>
      </c>
      <c r="M24" s="65">
        <f>E24*H24+0.25*((VLOOKUP(I24,Покрытия!$A$2:$B$50,2,FALSE)*J24+VLOOKUP(K24,Покрытия!$A$2:$B$50,2,FALSE)*L24)*F24)</f>
        <v>126.41840639999999</v>
      </c>
      <c r="N24" s="65">
        <v>1</v>
      </c>
      <c r="O24" s="65">
        <f>M24*N24</f>
        <v>126.41840639999999</v>
      </c>
      <c r="P24" s="66"/>
      <c r="Q24" s="65">
        <f t="array" ref="Q24">INDEX(Материалы!$C$2:$C$50,MATCH(G24,Материалы!$A$2:$A$50,0))</f>
        <v>32000</v>
      </c>
      <c r="R24" s="65">
        <f>FLOOR(Раскройка!$C$11/C24,1)*FLOOR(Раскройка!$D$11/B24,1)</f>
        <v>14</v>
      </c>
      <c r="S24" s="65">
        <f>MAX(Раскройка!$F$11-E24*R24,0)</f>
        <v>8.5223999999999994E-3</v>
      </c>
      <c r="T24" s="65">
        <f>Q24*S24</f>
        <v>272.71679999999998</v>
      </c>
    </row>
    <row r="26" spans="1:20" x14ac:dyDescent="0.25">
      <c r="A26" s="65" t="s">
        <v>77</v>
      </c>
      <c r="B26" s="65">
        <v>593</v>
      </c>
      <c r="C26" s="65">
        <v>165</v>
      </c>
      <c r="D26" s="65">
        <v>18</v>
      </c>
      <c r="E26" s="65">
        <f t="shared" ref="E26:E29" si="9">B26*C26/1000000</f>
        <v>9.7845000000000001E-2</v>
      </c>
      <c r="F26" s="20"/>
      <c r="G26" s="7" t="s">
        <v>12</v>
      </c>
      <c r="H26" s="65">
        <f>ROUND(Q26+T26/Раскройка!$F$2,0)</f>
        <v>595</v>
      </c>
      <c r="I26" s="65" t="s">
        <v>75</v>
      </c>
      <c r="J26" s="65">
        <v>0</v>
      </c>
      <c r="K26" s="65" t="s">
        <v>44</v>
      </c>
      <c r="L26" s="65">
        <v>0</v>
      </c>
      <c r="M26" s="65">
        <f>E26*(0.25*(VLOOKUP(I26,Покрытия!$A$2:$B$40,2,FALSE)*J26+VLOOKUP(K26,Покрытия!$A$2:$B$40,2,FALSE)*L26)+H26)</f>
        <v>58.217775000000003</v>
      </c>
      <c r="N26" s="65">
        <v>2</v>
      </c>
      <c r="O26" s="65">
        <f t="shared" ref="O26:O29" si="10">M26*N26</f>
        <v>116.43555000000001</v>
      </c>
      <c r="P26" s="66"/>
      <c r="Q26" s="65">
        <f t="array" ref="Q26">INDEX(Материалы!$C$2:$C$50,MATCH(G26&amp;D26,Материалы!$A$2:$A$50&amp;Материалы!$B$2:$B$50,0))</f>
        <v>500</v>
      </c>
      <c r="R26" s="65">
        <f>FLOOR(Раскройка!$D$2/B26,1)*FLOOR(Раскройка!$C$2/C26,1)</f>
        <v>48</v>
      </c>
      <c r="S26" s="65">
        <f>MAX(Раскройка!$F$2-E26*R26,0)</f>
        <v>1.10344</v>
      </c>
      <c r="T26" s="65">
        <f t="shared" ref="T26:T29" si="11">Q26*S26</f>
        <v>551.72</v>
      </c>
    </row>
    <row r="27" spans="1:20" x14ac:dyDescent="0.25">
      <c r="A27" s="65" t="s">
        <v>78</v>
      </c>
      <c r="B27" s="65">
        <v>1271</v>
      </c>
      <c r="C27" s="65">
        <v>70</v>
      </c>
      <c r="D27" s="65">
        <v>18</v>
      </c>
      <c r="E27" s="65">
        <f t="shared" si="9"/>
        <v>8.8969999999999994E-2</v>
      </c>
      <c r="F27" s="20"/>
      <c r="G27" s="7" t="s">
        <v>12</v>
      </c>
      <c r="H27" s="65">
        <f>ROUND(Q27+T27/Раскройка!$F$2,0)</f>
        <v>555</v>
      </c>
      <c r="I27" s="71" t="s">
        <v>75</v>
      </c>
      <c r="J27" s="65">
        <v>0</v>
      </c>
      <c r="K27" s="71" t="s">
        <v>44</v>
      </c>
      <c r="L27" s="65">
        <v>0</v>
      </c>
      <c r="M27" s="65">
        <f>E27*(0.25*(VLOOKUP(I27,Покрытия!$A$2:$B$40,2,FALSE)*J27+VLOOKUP(K27,Покрытия!$A$2:$B$40,2,FALSE)*L27)+H27)</f>
        <v>49.378349999999998</v>
      </c>
      <c r="N27" s="65">
        <v>2</v>
      </c>
      <c r="O27" s="65">
        <f t="shared" si="10"/>
        <v>98.756699999999995</v>
      </c>
      <c r="P27" s="66"/>
      <c r="Q27" s="65">
        <f t="array" ref="Q27">INDEX(Материалы!$C$2:$C$50,MATCH(G27&amp;D27,Материалы!$A$2:$A$50&amp;Материалы!$B$2:$B$50,0))</f>
        <v>500</v>
      </c>
      <c r="R27" s="65">
        <f>FLOOR(Раскройка!$D$2/B27,1)*FLOOR(Раскройка!$C$2/C27,1)</f>
        <v>58</v>
      </c>
      <c r="S27" s="65">
        <f>MAX(Раскройка!$F$2-E27*R27,0)</f>
        <v>0.63974000000000064</v>
      </c>
      <c r="T27" s="65">
        <f t="shared" si="11"/>
        <v>319.87000000000035</v>
      </c>
    </row>
    <row r="28" spans="1:20" x14ac:dyDescent="0.25">
      <c r="A28" s="65" t="s">
        <v>129</v>
      </c>
      <c r="B28" s="65">
        <f>B26</f>
        <v>593</v>
      </c>
      <c r="C28" s="65">
        <v>115</v>
      </c>
      <c r="D28" s="65">
        <v>16</v>
      </c>
      <c r="E28" s="65">
        <f t="shared" si="9"/>
        <v>6.8195000000000006E-2</v>
      </c>
      <c r="F28" s="20"/>
      <c r="G28" s="7" t="s">
        <v>12</v>
      </c>
      <c r="H28" s="65">
        <f>ROUND(Q28+T28/Раскройка!$F$2,0)</f>
        <v>745</v>
      </c>
      <c r="I28" s="71" t="s">
        <v>75</v>
      </c>
      <c r="J28" s="65">
        <v>0</v>
      </c>
      <c r="K28" s="71" t="s">
        <v>44</v>
      </c>
      <c r="L28" s="65">
        <v>0</v>
      </c>
      <c r="M28" s="65">
        <f>E28*(0.25*(VLOOKUP(I28,Покрытия!$A$2:$B$40,2,FALSE)*J28+VLOOKUP(K28,Покрытия!$A$2:$B$40,2,FALSE)*L28)+H28)</f>
        <v>50.805275000000002</v>
      </c>
      <c r="N28" s="65">
        <v>2</v>
      </c>
      <c r="O28" s="65">
        <f t="shared" si="10"/>
        <v>101.61055</v>
      </c>
      <c r="P28" s="66"/>
      <c r="Q28" s="65">
        <f t="array" ref="Q28">INDEX(Материалы!$C$2:$C$50,MATCH(G28&amp;D28,Материалы!$A$2:$A$50&amp;Материалы!$B$2:$B$50,0))</f>
        <v>646</v>
      </c>
      <c r="R28" s="65">
        <f>FLOOR(Раскройка!$D$2/B28,1)*FLOOR(Раскройка!$C$2/C28,1)</f>
        <v>72</v>
      </c>
      <c r="S28" s="65">
        <f>MAX(Раскройка!$F$2-E28*R28,0)</f>
        <v>0.88995999999999942</v>
      </c>
      <c r="T28" s="65">
        <f t="shared" si="11"/>
        <v>574.91415999999958</v>
      </c>
    </row>
    <row r="29" spans="1:20" x14ac:dyDescent="0.25">
      <c r="A29" s="65" t="s">
        <v>107</v>
      </c>
      <c r="B29" s="65">
        <f>B26</f>
        <v>593</v>
      </c>
      <c r="C29" s="65">
        <v>103</v>
      </c>
      <c r="D29" s="65">
        <v>18</v>
      </c>
      <c r="E29" s="65">
        <f t="shared" si="9"/>
        <v>6.1079000000000001E-2</v>
      </c>
      <c r="F29" s="20"/>
      <c r="G29" s="7" t="s">
        <v>12</v>
      </c>
      <c r="H29" s="65">
        <f>ROUND(Q29+T29/Раскройка!$F$2,0)</f>
        <v>579</v>
      </c>
      <c r="I29" s="71" t="s">
        <v>75</v>
      </c>
      <c r="J29" s="65">
        <v>0</v>
      </c>
      <c r="K29" s="71" t="s">
        <v>44</v>
      </c>
      <c r="L29" s="65">
        <v>0</v>
      </c>
      <c r="M29" s="65">
        <f>E29*(0.25*(VLOOKUP(I29,Покрытия!$A$2:$B$40,2,FALSE)*J29+VLOOKUP(K29,Покрытия!$A$2:$B$40,2,FALSE)*L29)+H29)</f>
        <v>35.364741000000002</v>
      </c>
      <c r="N29" s="65">
        <v>2</v>
      </c>
      <c r="O29" s="65">
        <f t="shared" si="10"/>
        <v>70.729482000000004</v>
      </c>
      <c r="P29" s="66"/>
      <c r="Q29" s="65">
        <f t="array" ref="Q29">INDEX(Материалы!$C$2:$C$50,MATCH(G29&amp;D29,Материалы!$A$2:$A$50&amp;Материалы!$B$2:$B$50,0))</f>
        <v>500</v>
      </c>
      <c r="R29" s="65">
        <f>FLOOR(Раскройка!$D$2/B29,1)*FLOOR(Раскройка!$C$2/C29,1)</f>
        <v>80</v>
      </c>
      <c r="S29" s="65">
        <f>MAX(Раскройка!$F$2-E29*R29,0)</f>
        <v>0.91367999999999938</v>
      </c>
      <c r="T29" s="65">
        <f t="shared" si="11"/>
        <v>456.83999999999969</v>
      </c>
    </row>
    <row r="30" spans="1:20" x14ac:dyDescent="0.25">
      <c r="A30" s="65" t="s">
        <v>144</v>
      </c>
      <c r="B30" s="65">
        <f>B26-70*2</f>
        <v>453</v>
      </c>
      <c r="C30" s="65">
        <v>23</v>
      </c>
      <c r="D30" s="65">
        <v>23</v>
      </c>
      <c r="E30" s="65">
        <f>B30*C30*D30/1000000000</f>
        <v>2.3963700000000001E-4</v>
      </c>
      <c r="F30" s="65">
        <f>B30*C30/1000000</f>
        <v>1.0418999999999999E-2</v>
      </c>
      <c r="G30" s="65" t="s">
        <v>16</v>
      </c>
      <c r="H30" s="65">
        <f>ROUND(Q30+T30/Раскройка!$F$11,0)</f>
        <v>53201</v>
      </c>
      <c r="I30" s="71" t="s">
        <v>75</v>
      </c>
      <c r="J30" s="65">
        <v>2</v>
      </c>
      <c r="K30" s="71" t="s">
        <v>44</v>
      </c>
      <c r="L30" s="65">
        <v>4</v>
      </c>
      <c r="M30" s="65">
        <f>E30*H30+0.25*((VLOOKUP(I30,Покрытия!$A$2:$B$50,2,FALSE)*J30+VLOOKUP(K30,Покрытия!$A$2:$B$50,2,FALSE)*L30)*F30)</f>
        <v>31.503128036999996</v>
      </c>
      <c r="N30" s="65">
        <v>2</v>
      </c>
      <c r="O30" s="65">
        <f>M30*N30</f>
        <v>63.006256073999992</v>
      </c>
      <c r="P30" s="66"/>
      <c r="Q30" s="65">
        <f t="array" ref="Q30">INDEX(Материалы!$C$2:$C$50,MATCH(G30,Материалы!$A$2:$A$50,0))</f>
        <v>45500</v>
      </c>
      <c r="R30" s="65">
        <f>FLOOR(Раскройка!$C$11/C30,1)*FLOOR(Раскройка!$D$11/B30,1)</f>
        <v>78</v>
      </c>
      <c r="S30" s="65">
        <f>MAX(Раскройка!$F$11-E30*R30,0)</f>
        <v>3.8083140000000001E-3</v>
      </c>
      <c r="T30" s="65">
        <f>Q30*S30</f>
        <v>173.27828700000001</v>
      </c>
    </row>
    <row r="31" spans="1:20" x14ac:dyDescent="0.25">
      <c r="A31" s="65" t="s">
        <v>145</v>
      </c>
      <c r="B31" s="65">
        <f>B27-165*2</f>
        <v>941</v>
      </c>
      <c r="C31" s="65">
        <v>23</v>
      </c>
      <c r="D31" s="65">
        <v>23</v>
      </c>
      <c r="E31" s="65">
        <f>B31*C31*D31/1000000000</f>
        <v>4.97789E-4</v>
      </c>
      <c r="F31" s="65">
        <f>B31*C31/1000000</f>
        <v>2.1642999999999999E-2</v>
      </c>
      <c r="G31" s="71" t="s">
        <v>16</v>
      </c>
      <c r="H31" s="65">
        <f>ROUND(Q31+T31/Раскройка!$F$11,0)</f>
        <v>51741</v>
      </c>
      <c r="I31" s="71" t="s">
        <v>75</v>
      </c>
      <c r="J31" s="65">
        <v>2</v>
      </c>
      <c r="K31" s="71" t="s">
        <v>44</v>
      </c>
      <c r="L31" s="65">
        <v>4</v>
      </c>
      <c r="M31" s="65">
        <f>E31*H31+0.25*((VLOOKUP(I31,Покрытия!$A$2:$B$50,2,FALSE)*J31+VLOOKUP(K31,Покрытия!$A$2:$B$50,2,FALSE)*L31)*F31)</f>
        <v>64.713500648999997</v>
      </c>
      <c r="N31" s="65">
        <v>2</v>
      </c>
      <c r="O31" s="65">
        <f>M31*N31</f>
        <v>129.42700129799999</v>
      </c>
      <c r="P31" s="66"/>
      <c r="Q31" s="65">
        <f t="array" ref="Q31">INDEX(Материалы!$C$2:$C$50,MATCH(G31,Материалы!$A$2:$A$50,0))</f>
        <v>45500</v>
      </c>
      <c r="R31" s="65">
        <f>FLOOR(Раскройка!$C$11/C31,1)*FLOOR(Раскройка!$D$11/B31,1)</f>
        <v>39</v>
      </c>
      <c r="S31" s="65">
        <f>MAX(Раскройка!$F$11-E31*R31,0)</f>
        <v>3.0862289999999994E-3</v>
      </c>
      <c r="T31" s="65">
        <f>Q31*S31</f>
        <v>140.42341949999997</v>
      </c>
    </row>
    <row r="32" spans="1:20" x14ac:dyDescent="0.25">
      <c r="A32" s="65" t="s">
        <v>184</v>
      </c>
      <c r="B32" s="65">
        <f>(121+113)*2</f>
        <v>468</v>
      </c>
      <c r="C32" s="65">
        <v>145</v>
      </c>
      <c r="D32" s="65">
        <v>8</v>
      </c>
      <c r="E32" s="65">
        <f>B32*C32*D32/1000000000</f>
        <v>5.4288000000000003E-4</v>
      </c>
      <c r="F32" s="65">
        <f>B32*C32/1000000</f>
        <v>6.7860000000000004E-2</v>
      </c>
      <c r="G32" s="71" t="s">
        <v>16</v>
      </c>
      <c r="H32" s="65">
        <f>ROUND(Q32+T32/Раскройка!$F$11,0)</f>
        <v>77826</v>
      </c>
      <c r="I32" s="71" t="s">
        <v>75</v>
      </c>
      <c r="J32" s="65">
        <v>2</v>
      </c>
      <c r="K32" s="71" t="s">
        <v>44</v>
      </c>
      <c r="L32" s="65">
        <v>4</v>
      </c>
      <c r="M32" s="65">
        <f>E32*H32+0.25*((VLOOKUP(I32,Покрытия!$A$2:$B$50,2,FALSE)*J32+VLOOKUP(K32,Покрытия!$A$2:$B$50,2,FALSE)*L32)*F32)</f>
        <v>164.39817888000002</v>
      </c>
      <c r="N32" s="65">
        <v>2</v>
      </c>
      <c r="O32" s="65">
        <f>M32*N32</f>
        <v>328.79635776000003</v>
      </c>
      <c r="P32" s="66"/>
      <c r="Q32" s="65">
        <f t="array" ref="Q32">INDEX(Материалы!$C$2:$C$50,MATCH(G32,Материалы!$A$2:$A$50,0))</f>
        <v>45500</v>
      </c>
      <c r="R32" s="65">
        <f>FLOOR(Раскройка!$C$11/C32,1)*FLOOR(Раскройка!$D$11/B32,1)</f>
        <v>12</v>
      </c>
      <c r="S32" s="65">
        <f>MAX(Раскройка!$F$11-E32*R32,0)</f>
        <v>1.5985439999999997E-2</v>
      </c>
      <c r="T32" s="65">
        <f>Q32*S32</f>
        <v>727.33751999999981</v>
      </c>
    </row>
    <row r="33" spans="1:20" x14ac:dyDescent="0.25">
      <c r="A33" s="65" t="s">
        <v>189</v>
      </c>
      <c r="B33" s="65">
        <f>(95+113)*2</f>
        <v>416</v>
      </c>
      <c r="C33" s="65">
        <v>120</v>
      </c>
      <c r="D33" s="65">
        <v>20</v>
      </c>
      <c r="E33" s="65">
        <f>B33*C33*D33/1000000000</f>
        <v>9.9839999999999998E-4</v>
      </c>
      <c r="F33" s="65">
        <f>B33*C33/1000000</f>
        <v>4.9919999999999999E-2</v>
      </c>
      <c r="G33" s="71" t="s">
        <v>16</v>
      </c>
      <c r="H33" s="65">
        <f>ROUND(Q33+T33/Раскройка!$F$11,0)</f>
        <v>62734</v>
      </c>
      <c r="I33" s="71" t="s">
        <v>75</v>
      </c>
      <c r="J33" s="65">
        <v>2</v>
      </c>
      <c r="K33" s="71" t="s">
        <v>44</v>
      </c>
      <c r="L33" s="65">
        <v>4</v>
      </c>
      <c r="M33" s="65">
        <f>E33*H33+0.25*((VLOOKUP(I33,Покрытия!$A$2:$B$50,2,FALSE)*J33+VLOOKUP(K33,Покрытия!$A$2:$B$50,2,FALSE)*L33)*F33)</f>
        <v>152.48962560000001</v>
      </c>
      <c r="N33" s="65">
        <v>1</v>
      </c>
      <c r="O33" s="65">
        <f>M33*N33</f>
        <v>152.48962560000001</v>
      </c>
      <c r="P33" s="66"/>
      <c r="Q33" s="65">
        <f t="array" ref="Q33">INDEX(Материалы!$C$2:$C$50,MATCH(G33,Материалы!$A$2:$A$50,0))</f>
        <v>45500</v>
      </c>
      <c r="R33" s="65">
        <f>FLOOR(Раскройка!$C$11/C33,1)*FLOOR(Раскройка!$D$11/B33,1)</f>
        <v>14</v>
      </c>
      <c r="S33" s="65">
        <f>MAX(Раскройка!$F$11-E33*R33,0)</f>
        <v>8.5223999999999994E-3</v>
      </c>
      <c r="T33" s="65">
        <f>Q33*S33</f>
        <v>387.76919999999996</v>
      </c>
    </row>
    <row r="34" spans="1:20" x14ac:dyDescent="0.25">
      <c r="A34" s="71" t="s">
        <v>77</v>
      </c>
      <c r="B34" s="71">
        <v>593</v>
      </c>
      <c r="C34" s="71">
        <v>165</v>
      </c>
      <c r="D34" s="71">
        <v>0.6</v>
      </c>
      <c r="E34" s="71">
        <f t="shared" ref="E34:E37" si="12">B34*C34/1000000</f>
        <v>9.7845000000000001E-2</v>
      </c>
      <c r="F34" s="20"/>
      <c r="G34" s="7" t="s">
        <v>7</v>
      </c>
      <c r="H34" s="71">
        <f>ROUND(Q34+T34/Раскройка!$F$2,0)</f>
        <v>330</v>
      </c>
      <c r="I34" s="71" t="s">
        <v>75</v>
      </c>
      <c r="J34" s="71">
        <v>2</v>
      </c>
      <c r="K34" s="71" t="s">
        <v>44</v>
      </c>
      <c r="L34" s="71">
        <v>4</v>
      </c>
      <c r="M34" s="71">
        <f>E34*(0.25*(VLOOKUP(I34,Покрытия!$A$2:$B$40,2,FALSE)*J34+VLOOKUP(K34,Покрытия!$A$2:$B$40,2,FALSE)*L34)+H34)</f>
        <v>208.40985000000001</v>
      </c>
      <c r="N34" s="71">
        <v>4</v>
      </c>
      <c r="O34" s="71">
        <f t="shared" ref="O34:O37" si="13">M34*N34</f>
        <v>833.63940000000002</v>
      </c>
      <c r="P34" s="72"/>
      <c r="Q34" s="71">
        <f t="array" ref="Q34">INDEX(Материалы!$C$2:$C$50,MATCH(G34&amp;D34,Материалы!$A$2:$A$50&amp;Материалы!$B$2:$B$50,0))</f>
        <v>277</v>
      </c>
      <c r="R34" s="71">
        <f>FLOOR(Раскройка!$D$2/B34,1)*FLOOR(Раскройка!$C$2/C34,1)</f>
        <v>48</v>
      </c>
      <c r="S34" s="71">
        <f>MAX(Раскройка!$F$2-E34*R34,0)</f>
        <v>1.10344</v>
      </c>
      <c r="T34" s="71">
        <f t="shared" ref="T34:T37" si="14">Q34*S34</f>
        <v>305.65287999999998</v>
      </c>
    </row>
    <row r="35" spans="1:20" x14ac:dyDescent="0.25">
      <c r="A35" s="71" t="s">
        <v>78</v>
      </c>
      <c r="B35" s="71">
        <v>1271</v>
      </c>
      <c r="C35" s="71">
        <v>70</v>
      </c>
      <c r="D35" s="71">
        <v>0.6</v>
      </c>
      <c r="E35" s="71">
        <f t="shared" si="12"/>
        <v>8.8969999999999994E-2</v>
      </c>
      <c r="F35" s="20"/>
      <c r="G35" s="7" t="s">
        <v>7</v>
      </c>
      <c r="H35" s="71">
        <f>ROUND(Q35+T35/Раскройка!$F$2,0)</f>
        <v>308</v>
      </c>
      <c r="I35" s="71" t="s">
        <v>75</v>
      </c>
      <c r="J35" s="71">
        <v>2</v>
      </c>
      <c r="K35" s="71" t="s">
        <v>44</v>
      </c>
      <c r="L35" s="71">
        <v>4</v>
      </c>
      <c r="M35" s="71">
        <f>E35*(0.25*(VLOOKUP(I35,Покрытия!$A$2:$B$40,2,FALSE)*J35+VLOOKUP(K35,Покрытия!$A$2:$B$40,2,FALSE)*L35)+H35)</f>
        <v>187.54875999999999</v>
      </c>
      <c r="N35" s="71">
        <v>4</v>
      </c>
      <c r="O35" s="71">
        <f t="shared" si="13"/>
        <v>750.19503999999995</v>
      </c>
      <c r="P35" s="72"/>
      <c r="Q35" s="71">
        <f t="array" ref="Q35">INDEX(Материалы!$C$2:$C$50,MATCH(G35&amp;D35,Материалы!$A$2:$A$50&amp;Материалы!$B$2:$B$50,0))</f>
        <v>277</v>
      </c>
      <c r="R35" s="71">
        <f>FLOOR(Раскройка!$D$2/B35,1)*FLOOR(Раскройка!$C$2/C35,1)</f>
        <v>58</v>
      </c>
      <c r="S35" s="71">
        <f>MAX(Раскройка!$F$2-E35*R35,0)</f>
        <v>0.63974000000000064</v>
      </c>
      <c r="T35" s="71">
        <f t="shared" si="14"/>
        <v>177.20798000000019</v>
      </c>
    </row>
    <row r="36" spans="1:20" x14ac:dyDescent="0.25">
      <c r="A36" s="71" t="s">
        <v>129</v>
      </c>
      <c r="B36" s="71">
        <f>B34</f>
        <v>593</v>
      </c>
      <c r="C36" s="71">
        <v>115</v>
      </c>
      <c r="D36" s="71">
        <v>0.6</v>
      </c>
      <c r="E36" s="71">
        <f t="shared" si="12"/>
        <v>6.8195000000000006E-2</v>
      </c>
      <c r="F36" s="20"/>
      <c r="G36" s="7" t="s">
        <v>7</v>
      </c>
      <c r="H36" s="71">
        <f>ROUND(Q36+T36/Раскройка!$F$2,0)</f>
        <v>320</v>
      </c>
      <c r="I36" s="71" t="s">
        <v>75</v>
      </c>
      <c r="J36" s="71">
        <v>2</v>
      </c>
      <c r="K36" s="71" t="s">
        <v>44</v>
      </c>
      <c r="L36" s="71">
        <v>4</v>
      </c>
      <c r="M36" s="71">
        <f>E36*(0.25*(VLOOKUP(I36,Покрытия!$A$2:$B$40,2,FALSE)*J36+VLOOKUP(K36,Покрытия!$A$2:$B$40,2,FALSE)*L36)+H36)</f>
        <v>144.57340000000002</v>
      </c>
      <c r="N36" s="71">
        <v>4</v>
      </c>
      <c r="O36" s="71">
        <f t="shared" si="13"/>
        <v>578.29360000000008</v>
      </c>
      <c r="P36" s="72"/>
      <c r="Q36" s="71">
        <f t="array" ref="Q36">INDEX(Материалы!$C$2:$C$50,MATCH(G36&amp;D36,Материалы!$A$2:$A$50&amp;Материалы!$B$2:$B$50,0))</f>
        <v>277</v>
      </c>
      <c r="R36" s="71">
        <f>FLOOR(Раскройка!$D$2/B36,1)*FLOOR(Раскройка!$C$2/C36,1)</f>
        <v>72</v>
      </c>
      <c r="S36" s="71">
        <f>MAX(Раскройка!$F$2-E36*R36,0)</f>
        <v>0.88995999999999942</v>
      </c>
      <c r="T36" s="71">
        <f t="shared" si="14"/>
        <v>246.51891999999984</v>
      </c>
    </row>
    <row r="37" spans="1:20" x14ac:dyDescent="0.25">
      <c r="A37" s="71" t="s">
        <v>107</v>
      </c>
      <c r="B37" s="71">
        <f>B34</f>
        <v>593</v>
      </c>
      <c r="C37" s="71">
        <v>103</v>
      </c>
      <c r="D37" s="71">
        <v>0.6</v>
      </c>
      <c r="E37" s="71">
        <f t="shared" si="12"/>
        <v>6.1079000000000001E-2</v>
      </c>
      <c r="F37" s="20"/>
      <c r="G37" s="7" t="s">
        <v>7</v>
      </c>
      <c r="H37" s="71">
        <f>ROUND(Q37+T37/Раскройка!$F$2,0)</f>
        <v>321</v>
      </c>
      <c r="I37" s="71" t="s">
        <v>75</v>
      </c>
      <c r="J37" s="71">
        <v>2</v>
      </c>
      <c r="K37" s="71" t="s">
        <v>44</v>
      </c>
      <c r="L37" s="71">
        <v>4</v>
      </c>
      <c r="M37" s="71">
        <f>E37*(0.25*(VLOOKUP(I37,Покрытия!$A$2:$B$40,2,FALSE)*J37+VLOOKUP(K37,Покрытия!$A$2:$B$40,2,FALSE)*L37)+H37)</f>
        <v>129.54855900000001</v>
      </c>
      <c r="N37" s="71">
        <v>4</v>
      </c>
      <c r="O37" s="71">
        <f t="shared" si="13"/>
        <v>518.19423600000005</v>
      </c>
      <c r="P37" s="72"/>
      <c r="Q37" s="71">
        <f t="array" ref="Q37">INDEX(Материалы!$C$2:$C$50,MATCH(G37&amp;D37,Материалы!$A$2:$A$50&amp;Материалы!$B$2:$B$50,0))</f>
        <v>277</v>
      </c>
      <c r="R37" s="71">
        <f>FLOOR(Раскройка!$D$2/B37,1)*FLOOR(Раскройка!$C$2/C37,1)</f>
        <v>80</v>
      </c>
      <c r="S37" s="71">
        <f>MAX(Раскройка!$F$2-E37*R37,0)</f>
        <v>0.91367999999999938</v>
      </c>
      <c r="T37" s="71">
        <f t="shared" si="14"/>
        <v>253.08935999999983</v>
      </c>
    </row>
    <row r="39" spans="1:20" x14ac:dyDescent="0.25">
      <c r="A39" s="65" t="s">
        <v>77</v>
      </c>
      <c r="B39" s="65">
        <v>575</v>
      </c>
      <c r="C39" s="65">
        <v>165</v>
      </c>
      <c r="D39" s="65">
        <v>18</v>
      </c>
      <c r="E39" s="65">
        <f t="shared" ref="E39:E42" si="15">B39*C39/1000000</f>
        <v>9.4875000000000001E-2</v>
      </c>
      <c r="F39" s="20"/>
      <c r="G39" s="7" t="s">
        <v>12</v>
      </c>
      <c r="H39" s="65">
        <f>ROUND(Q39+T39/Раскройка!$F$2,0)</f>
        <v>607</v>
      </c>
      <c r="I39" s="71" t="s">
        <v>75</v>
      </c>
      <c r="J39" s="65">
        <v>0</v>
      </c>
      <c r="K39" s="71" t="s">
        <v>44</v>
      </c>
      <c r="L39" s="65">
        <v>0</v>
      </c>
      <c r="M39" s="65">
        <f>E39*(0.25*(VLOOKUP(I39,Покрытия!$A$2:$B$40,2,FALSE)*J39+VLOOKUP(K39,Покрытия!$A$2:$B$40,2,FALSE)*L39)+H39)</f>
        <v>57.589125000000003</v>
      </c>
      <c r="N39" s="65">
        <v>2</v>
      </c>
      <c r="O39" s="65">
        <f t="shared" ref="O39:O42" si="16">M39*N39</f>
        <v>115.17825000000001</v>
      </c>
      <c r="P39" s="66"/>
      <c r="Q39" s="65">
        <f t="array" ref="Q39">INDEX(Материалы!$C$2:$C$50,MATCH(G39&amp;D39,Материалы!$A$2:$A$50&amp;Материалы!$B$2:$B$50,0))</f>
        <v>500</v>
      </c>
      <c r="R39" s="65">
        <f>FLOOR(Раскройка!$D$2/B39,1)*FLOOR(Раскройка!$C$2/C39,1)</f>
        <v>48</v>
      </c>
      <c r="S39" s="65">
        <f>MAX(Раскройка!$F$2-E39*R39,0)</f>
        <v>1.2459999999999996</v>
      </c>
      <c r="T39" s="65">
        <f t="shared" ref="T39:T42" si="17">Q39*S39</f>
        <v>622.99999999999977</v>
      </c>
    </row>
    <row r="40" spans="1:20" x14ac:dyDescent="0.25">
      <c r="A40" s="65" t="s">
        <v>78</v>
      </c>
      <c r="B40" s="65">
        <v>1271</v>
      </c>
      <c r="C40" s="65">
        <v>70</v>
      </c>
      <c r="D40" s="65">
        <v>18</v>
      </c>
      <c r="E40" s="65">
        <f t="shared" si="15"/>
        <v>8.8969999999999994E-2</v>
      </c>
      <c r="F40" s="20"/>
      <c r="G40" s="7" t="s">
        <v>12</v>
      </c>
      <c r="H40" s="65">
        <f>ROUND(Q40+T40/Раскройка!$F$2,0)</f>
        <v>555</v>
      </c>
      <c r="I40" s="71" t="s">
        <v>75</v>
      </c>
      <c r="J40" s="65">
        <v>0</v>
      </c>
      <c r="K40" s="71" t="s">
        <v>44</v>
      </c>
      <c r="L40" s="65">
        <v>0</v>
      </c>
      <c r="M40" s="65">
        <f>E40*(0.25*(VLOOKUP(I40,Покрытия!$A$2:$B$40,2,FALSE)*J40+VLOOKUP(K40,Покрытия!$A$2:$B$40,2,FALSE)*L40)+H40)</f>
        <v>49.378349999999998</v>
      </c>
      <c r="N40" s="65">
        <v>2</v>
      </c>
      <c r="O40" s="65">
        <f t="shared" si="16"/>
        <v>98.756699999999995</v>
      </c>
      <c r="P40" s="66"/>
      <c r="Q40" s="65">
        <f t="array" ref="Q40">INDEX(Материалы!$C$2:$C$50,MATCH(G40&amp;D40,Материалы!$A$2:$A$50&amp;Материалы!$B$2:$B$50,0))</f>
        <v>500</v>
      </c>
      <c r="R40" s="65">
        <f>FLOOR(Раскройка!$D$2/B40,1)*FLOOR(Раскройка!$C$2/C40,1)</f>
        <v>58</v>
      </c>
      <c r="S40" s="65">
        <f>MAX(Раскройка!$F$2-E40*R40,0)</f>
        <v>0.63974000000000064</v>
      </c>
      <c r="T40" s="65">
        <f t="shared" si="17"/>
        <v>319.87000000000035</v>
      </c>
    </row>
    <row r="41" spans="1:20" x14ac:dyDescent="0.25">
      <c r="A41" s="65" t="s">
        <v>129</v>
      </c>
      <c r="B41" s="65">
        <f>B39</f>
        <v>575</v>
      </c>
      <c r="C41" s="65">
        <v>115</v>
      </c>
      <c r="D41" s="65">
        <v>16</v>
      </c>
      <c r="E41" s="65">
        <f t="shared" si="15"/>
        <v>6.6125000000000003E-2</v>
      </c>
      <c r="F41" s="20"/>
      <c r="G41" s="7" t="s">
        <v>12</v>
      </c>
      <c r="H41" s="65">
        <f>ROUND(Q41+T41/Раскройка!$F$2,0)</f>
        <v>762</v>
      </c>
      <c r="I41" s="71" t="s">
        <v>75</v>
      </c>
      <c r="J41" s="65">
        <v>0</v>
      </c>
      <c r="K41" s="71" t="s">
        <v>44</v>
      </c>
      <c r="L41" s="65">
        <v>0</v>
      </c>
      <c r="M41" s="65">
        <f>E41*(0.25*(VLOOKUP(I41,Покрытия!$A$2:$B$40,2,FALSE)*J41+VLOOKUP(K41,Покрытия!$A$2:$B$40,2,FALSE)*L41)+H41)</f>
        <v>50.387250000000002</v>
      </c>
      <c r="N41" s="65">
        <v>2</v>
      </c>
      <c r="O41" s="65">
        <f t="shared" si="16"/>
        <v>100.7745</v>
      </c>
      <c r="P41" s="66"/>
      <c r="Q41" s="65">
        <f t="array" ref="Q41">INDEX(Материалы!$C$2:$C$50,MATCH(G41&amp;D41,Материалы!$A$2:$A$50&amp;Материалы!$B$2:$B$50,0))</f>
        <v>646</v>
      </c>
      <c r="R41" s="65">
        <f>FLOOR(Раскройка!$D$2/B41,1)*FLOOR(Раскройка!$C$2/C41,1)</f>
        <v>72</v>
      </c>
      <c r="S41" s="65">
        <f>MAX(Раскройка!$F$2-E41*R41,0)</f>
        <v>1.0389999999999997</v>
      </c>
      <c r="T41" s="65">
        <f t="shared" si="17"/>
        <v>671.19399999999985</v>
      </c>
    </row>
    <row r="42" spans="1:20" x14ac:dyDescent="0.25">
      <c r="A42" s="65" t="s">
        <v>107</v>
      </c>
      <c r="B42" s="65">
        <f>B39</f>
        <v>575</v>
      </c>
      <c r="C42" s="65">
        <v>103</v>
      </c>
      <c r="D42" s="65">
        <v>18</v>
      </c>
      <c r="E42" s="65">
        <f t="shared" si="15"/>
        <v>5.9225E-2</v>
      </c>
      <c r="F42" s="20"/>
      <c r="G42" s="7" t="s">
        <v>12</v>
      </c>
      <c r="H42" s="65">
        <f>ROUND(Q42+T42/Раскройка!$F$2,0)</f>
        <v>592</v>
      </c>
      <c r="I42" s="71" t="s">
        <v>75</v>
      </c>
      <c r="J42" s="65">
        <v>0</v>
      </c>
      <c r="K42" s="71" t="s">
        <v>44</v>
      </c>
      <c r="L42" s="65">
        <v>0</v>
      </c>
      <c r="M42" s="65">
        <f>E42*(0.25*(VLOOKUP(I42,Покрытия!$A$2:$B$40,2,FALSE)*J42+VLOOKUP(K42,Покрытия!$A$2:$B$40,2,FALSE)*L42)+H42)</f>
        <v>35.061199999999999</v>
      </c>
      <c r="N42" s="65">
        <v>2</v>
      </c>
      <c r="O42" s="65">
        <f t="shared" si="16"/>
        <v>70.122399999999999</v>
      </c>
      <c r="P42" s="66"/>
      <c r="Q42" s="65">
        <f t="array" ref="Q42">INDEX(Материалы!$C$2:$C$50,MATCH(G42&amp;D42,Материалы!$A$2:$A$50&amp;Материалы!$B$2:$B$50,0))</f>
        <v>500</v>
      </c>
      <c r="R42" s="65">
        <f>FLOOR(Раскройка!$D$2/B42,1)*FLOOR(Раскройка!$C$2/C42,1)</f>
        <v>80</v>
      </c>
      <c r="S42" s="65">
        <f>MAX(Раскройка!$F$2-E42*R42,0)</f>
        <v>1.0620000000000003</v>
      </c>
      <c r="T42" s="65">
        <f t="shared" si="17"/>
        <v>531.00000000000011</v>
      </c>
    </row>
    <row r="43" spans="1:20" x14ac:dyDescent="0.25">
      <c r="A43" s="65" t="s">
        <v>144</v>
      </c>
      <c r="B43" s="65">
        <f>B39-70*2</f>
        <v>435</v>
      </c>
      <c r="C43" s="65">
        <v>23</v>
      </c>
      <c r="D43" s="65">
        <v>23</v>
      </c>
      <c r="E43" s="65">
        <f>B43*C43*D43/1000000000</f>
        <v>2.30115E-4</v>
      </c>
      <c r="F43" s="65">
        <f>B43*C43/1000000</f>
        <v>1.0005E-2</v>
      </c>
      <c r="G43" s="71" t="s">
        <v>16</v>
      </c>
      <c r="H43" s="65">
        <f>ROUND(Q43+T43/Раскройка!$F$11,0)</f>
        <v>54703</v>
      </c>
      <c r="I43" s="71" t="s">
        <v>75</v>
      </c>
      <c r="J43" s="65">
        <v>2</v>
      </c>
      <c r="K43" s="71" t="s">
        <v>44</v>
      </c>
      <c r="L43" s="65">
        <v>4</v>
      </c>
      <c r="M43" s="65">
        <f>E43*H43+0.25*((VLOOKUP(I43,Покрытия!$A$2:$B$50,2,FALSE)*J43+VLOOKUP(K43,Покрытия!$A$2:$B$50,2,FALSE)*L43)*F43)</f>
        <v>30.596980845000001</v>
      </c>
      <c r="N43" s="65">
        <v>2</v>
      </c>
      <c r="O43" s="65">
        <f>M43*N43</f>
        <v>61.193961690000002</v>
      </c>
      <c r="P43" s="66"/>
      <c r="Q43" s="65">
        <f t="array" ref="Q43">INDEX(Материалы!$C$2:$C$50,MATCH(G43,Материалы!$A$2:$A$50,0))</f>
        <v>45500</v>
      </c>
      <c r="R43" s="65">
        <f>FLOOR(Раскройка!$C$11/C43,1)*FLOOR(Раскройка!$D$11/B43,1)</f>
        <v>78</v>
      </c>
      <c r="S43" s="65">
        <f>MAX(Раскройка!$F$11-E43*R43,0)</f>
        <v>4.5510299999999976E-3</v>
      </c>
      <c r="T43" s="65">
        <f>Q43*S43</f>
        <v>207.07186499999989</v>
      </c>
    </row>
    <row r="44" spans="1:20" x14ac:dyDescent="0.25">
      <c r="A44" s="65" t="s">
        <v>145</v>
      </c>
      <c r="B44" s="65">
        <f>B40-165*2</f>
        <v>941</v>
      </c>
      <c r="C44" s="65">
        <v>23</v>
      </c>
      <c r="D44" s="65">
        <v>23</v>
      </c>
      <c r="E44" s="65">
        <f>B44*C44*D44/1000000000</f>
        <v>4.97789E-4</v>
      </c>
      <c r="F44" s="65">
        <f>B44*C44/1000000</f>
        <v>2.1642999999999999E-2</v>
      </c>
      <c r="G44" s="71" t="s">
        <v>16</v>
      </c>
      <c r="H44" s="65">
        <f>ROUND(Q44+T44/Раскройка!$F$11,0)</f>
        <v>51741</v>
      </c>
      <c r="I44" s="71" t="s">
        <v>75</v>
      </c>
      <c r="J44" s="65">
        <v>2</v>
      </c>
      <c r="K44" s="71" t="s">
        <v>44</v>
      </c>
      <c r="L44" s="65">
        <v>4</v>
      </c>
      <c r="M44" s="65">
        <f>E44*H44+0.25*((VLOOKUP(I44,Покрытия!$A$2:$B$50,2,FALSE)*J44+VLOOKUP(K44,Покрытия!$A$2:$B$50,2,FALSE)*L44)*F44)</f>
        <v>64.713500648999997</v>
      </c>
      <c r="N44" s="65">
        <v>2</v>
      </c>
      <c r="O44" s="65">
        <f>M44*N44</f>
        <v>129.42700129799999</v>
      </c>
      <c r="P44" s="66"/>
      <c r="Q44" s="65">
        <f t="array" ref="Q44">INDEX(Материалы!$C$2:$C$50,MATCH(G44,Материалы!$A$2:$A$50,0))</f>
        <v>45500</v>
      </c>
      <c r="R44" s="65">
        <f>FLOOR(Раскройка!$C$11/C44,1)*FLOOR(Раскройка!$D$11/B44,1)</f>
        <v>39</v>
      </c>
      <c r="S44" s="65">
        <f>MAX(Раскройка!$F$11-E44*R44,0)</f>
        <v>3.0862289999999994E-3</v>
      </c>
      <c r="T44" s="65">
        <f>Q44*S44</f>
        <v>140.42341949999997</v>
      </c>
    </row>
    <row r="45" spans="1:20" x14ac:dyDescent="0.25">
      <c r="A45" s="65" t="s">
        <v>184</v>
      </c>
      <c r="B45" s="65">
        <f>(121+113)*2</f>
        <v>468</v>
      </c>
      <c r="C45" s="65">
        <v>145</v>
      </c>
      <c r="D45" s="65">
        <v>8</v>
      </c>
      <c r="E45" s="65">
        <f>B45*C45*D45/1000000000</f>
        <v>5.4288000000000003E-4</v>
      </c>
      <c r="F45" s="65">
        <f>B45*C45/1000000</f>
        <v>6.7860000000000004E-2</v>
      </c>
      <c r="G45" s="71" t="s">
        <v>16</v>
      </c>
      <c r="H45" s="65">
        <f>ROUND(Q45+T45/Раскройка!$F$11,0)</f>
        <v>77826</v>
      </c>
      <c r="I45" s="71" t="s">
        <v>75</v>
      </c>
      <c r="J45" s="65">
        <v>2</v>
      </c>
      <c r="K45" s="71" t="s">
        <v>44</v>
      </c>
      <c r="L45" s="65">
        <v>4</v>
      </c>
      <c r="M45" s="65">
        <f>E45*H45+0.25*((VLOOKUP(I45,Покрытия!$A$2:$B$50,2,FALSE)*J45+VLOOKUP(K45,Покрытия!$A$2:$B$50,2,FALSE)*L45)*F45)</f>
        <v>164.39817888000002</v>
      </c>
      <c r="N45" s="65">
        <v>2</v>
      </c>
      <c r="O45" s="65">
        <f>M45*N45</f>
        <v>328.79635776000003</v>
      </c>
      <c r="P45" s="66"/>
      <c r="Q45" s="65">
        <f t="array" ref="Q45">INDEX(Материалы!$C$2:$C$50,MATCH(G45,Материалы!$A$2:$A$50,0))</f>
        <v>45500</v>
      </c>
      <c r="R45" s="65">
        <f>FLOOR(Раскройка!$C$11/C45,1)*FLOOR(Раскройка!$D$11/B45,1)</f>
        <v>12</v>
      </c>
      <c r="S45" s="65">
        <f>MAX(Раскройка!$F$11-E45*R45,0)</f>
        <v>1.5985439999999997E-2</v>
      </c>
      <c r="T45" s="65">
        <f>Q45*S45</f>
        <v>727.33751999999981</v>
      </c>
    </row>
    <row r="46" spans="1:20" x14ac:dyDescent="0.25">
      <c r="A46" s="65" t="s">
        <v>189</v>
      </c>
      <c r="B46" s="65">
        <f>(95+113)*2</f>
        <v>416</v>
      </c>
      <c r="C46" s="65">
        <v>120</v>
      </c>
      <c r="D46" s="65">
        <v>20</v>
      </c>
      <c r="E46" s="65">
        <f>B46*C46*D46/1000000000</f>
        <v>9.9839999999999998E-4</v>
      </c>
      <c r="F46" s="65">
        <f>B46*C46/1000000</f>
        <v>4.9919999999999999E-2</v>
      </c>
      <c r="G46" s="71" t="s">
        <v>16</v>
      </c>
      <c r="H46" s="65">
        <f>ROUND(Q46+T46/Раскройка!$F$11,0)</f>
        <v>62734</v>
      </c>
      <c r="I46" s="71" t="s">
        <v>75</v>
      </c>
      <c r="J46" s="65">
        <v>2</v>
      </c>
      <c r="K46" s="71" t="s">
        <v>44</v>
      </c>
      <c r="L46" s="65">
        <v>4</v>
      </c>
      <c r="M46" s="65">
        <f>E46*H46+0.25*((VLOOKUP(I46,Покрытия!$A$2:$B$50,2,FALSE)*J46+VLOOKUP(K46,Покрытия!$A$2:$B$50,2,FALSE)*L46)*F46)</f>
        <v>152.48962560000001</v>
      </c>
      <c r="N46" s="65">
        <v>1</v>
      </c>
      <c r="O46" s="65">
        <f>M46*N46</f>
        <v>152.48962560000001</v>
      </c>
      <c r="P46" s="66"/>
      <c r="Q46" s="65">
        <f t="array" ref="Q46">INDEX(Материалы!$C$2:$C$50,MATCH(G46,Материалы!$A$2:$A$50,0))</f>
        <v>45500</v>
      </c>
      <c r="R46" s="65">
        <f>FLOOR(Раскройка!$C$11/C46,1)*FLOOR(Раскройка!$D$11/B46,1)</f>
        <v>14</v>
      </c>
      <c r="S46" s="65">
        <f>MAX(Раскройка!$F$11-E46*R46,0)</f>
        <v>8.5223999999999994E-3</v>
      </c>
      <c r="T46" s="65">
        <f>Q46*S46</f>
        <v>387.76919999999996</v>
      </c>
    </row>
    <row r="47" spans="1:20" x14ac:dyDescent="0.25">
      <c r="A47" s="71" t="s">
        <v>77</v>
      </c>
      <c r="B47" s="71">
        <v>575</v>
      </c>
      <c r="C47" s="71">
        <v>165</v>
      </c>
      <c r="D47" s="71">
        <v>0.6</v>
      </c>
      <c r="E47" s="71">
        <f t="shared" ref="E47:E50" si="18">B47*C47/1000000</f>
        <v>9.4875000000000001E-2</v>
      </c>
      <c r="F47" s="20"/>
      <c r="G47" s="7" t="s">
        <v>7</v>
      </c>
      <c r="H47" s="71">
        <f>ROUND(Q47+T47/Раскройка!$F$2,0)</f>
        <v>337</v>
      </c>
      <c r="I47" s="71" t="s">
        <v>75</v>
      </c>
      <c r="J47" s="71">
        <v>2</v>
      </c>
      <c r="K47" s="71" t="s">
        <v>44</v>
      </c>
      <c r="L47" s="71">
        <v>4</v>
      </c>
      <c r="M47" s="71">
        <f>E47*(0.25*(VLOOKUP(I47,Покрытия!$A$2:$B$40,2,FALSE)*J47+VLOOKUP(K47,Покрытия!$A$2:$B$40,2,FALSE)*L47)+H47)</f>
        <v>202.74787499999999</v>
      </c>
      <c r="N47" s="71">
        <v>4</v>
      </c>
      <c r="O47" s="71">
        <f t="shared" ref="O47:O50" si="19">M47*N47</f>
        <v>810.99149999999997</v>
      </c>
      <c r="P47" s="72"/>
      <c r="Q47" s="71">
        <f t="array" ref="Q47">INDEX(Материалы!$C$2:$C$50,MATCH(G47&amp;D47,Материалы!$A$2:$A$50&amp;Материалы!$B$2:$B$50,0))</f>
        <v>277</v>
      </c>
      <c r="R47" s="71">
        <f>FLOOR(Раскройка!$D$2/B47,1)*FLOOR(Раскройка!$C$2/C47,1)</f>
        <v>48</v>
      </c>
      <c r="S47" s="71">
        <f>MAX(Раскройка!$F$2-E47*R47,0)</f>
        <v>1.2459999999999996</v>
      </c>
      <c r="T47" s="71">
        <f t="shared" ref="T47:T50" si="20">Q47*S47</f>
        <v>345.14199999999988</v>
      </c>
    </row>
    <row r="48" spans="1:20" x14ac:dyDescent="0.25">
      <c r="A48" s="71" t="s">
        <v>78</v>
      </c>
      <c r="B48" s="71">
        <v>1271</v>
      </c>
      <c r="C48" s="71">
        <v>70</v>
      </c>
      <c r="D48" s="71">
        <v>0.6</v>
      </c>
      <c r="E48" s="71">
        <f t="shared" si="18"/>
        <v>8.8969999999999994E-2</v>
      </c>
      <c r="F48" s="20"/>
      <c r="G48" s="7" t="s">
        <v>7</v>
      </c>
      <c r="H48" s="71">
        <f>ROUND(Q48+T48/Раскройка!$F$2,0)</f>
        <v>308</v>
      </c>
      <c r="I48" s="71" t="s">
        <v>75</v>
      </c>
      <c r="J48" s="71">
        <v>2</v>
      </c>
      <c r="K48" s="71" t="s">
        <v>44</v>
      </c>
      <c r="L48" s="71">
        <v>4</v>
      </c>
      <c r="M48" s="71">
        <f>E48*(0.25*(VLOOKUP(I48,Покрытия!$A$2:$B$40,2,FALSE)*J48+VLOOKUP(K48,Покрытия!$A$2:$B$40,2,FALSE)*L48)+H48)</f>
        <v>187.54875999999999</v>
      </c>
      <c r="N48" s="71">
        <v>4</v>
      </c>
      <c r="O48" s="71">
        <f t="shared" si="19"/>
        <v>750.19503999999995</v>
      </c>
      <c r="P48" s="72"/>
      <c r="Q48" s="71">
        <f t="array" ref="Q48">INDEX(Материалы!$C$2:$C$50,MATCH(G48&amp;D48,Материалы!$A$2:$A$50&amp;Материалы!$B$2:$B$50,0))</f>
        <v>277</v>
      </c>
      <c r="R48" s="71">
        <f>FLOOR(Раскройка!$D$2/B48,1)*FLOOR(Раскройка!$C$2/C48,1)</f>
        <v>58</v>
      </c>
      <c r="S48" s="71">
        <f>MAX(Раскройка!$F$2-E48*R48,0)</f>
        <v>0.63974000000000064</v>
      </c>
      <c r="T48" s="71">
        <f t="shared" si="20"/>
        <v>177.20798000000019</v>
      </c>
    </row>
    <row r="49" spans="1:20" x14ac:dyDescent="0.25">
      <c r="A49" s="71" t="s">
        <v>129</v>
      </c>
      <c r="B49" s="71">
        <f>B47</f>
        <v>575</v>
      </c>
      <c r="C49" s="71">
        <v>115</v>
      </c>
      <c r="D49" s="71">
        <v>0.6</v>
      </c>
      <c r="E49" s="71">
        <f t="shared" si="18"/>
        <v>6.6125000000000003E-2</v>
      </c>
      <c r="F49" s="20"/>
      <c r="G49" s="7" t="s">
        <v>7</v>
      </c>
      <c r="H49" s="71">
        <f>ROUND(Q49+T49/Раскройка!$F$2,0)</f>
        <v>327</v>
      </c>
      <c r="I49" s="71" t="s">
        <v>75</v>
      </c>
      <c r="J49" s="71">
        <v>2</v>
      </c>
      <c r="K49" s="71" t="s">
        <v>44</v>
      </c>
      <c r="L49" s="71">
        <v>4</v>
      </c>
      <c r="M49" s="71">
        <f>E49*(0.25*(VLOOKUP(I49,Покрытия!$A$2:$B$40,2,FALSE)*J49+VLOOKUP(K49,Покрытия!$A$2:$B$40,2,FALSE)*L49)+H49)</f>
        <v>140.647875</v>
      </c>
      <c r="N49" s="71">
        <v>4</v>
      </c>
      <c r="O49" s="71">
        <f t="shared" si="19"/>
        <v>562.5915</v>
      </c>
      <c r="P49" s="72"/>
      <c r="Q49" s="71">
        <f t="array" ref="Q49">INDEX(Материалы!$C$2:$C$50,MATCH(G49&amp;D49,Материалы!$A$2:$A$50&amp;Материалы!$B$2:$B$50,0))</f>
        <v>277</v>
      </c>
      <c r="R49" s="71">
        <f>FLOOR(Раскройка!$D$2/B49,1)*FLOOR(Раскройка!$C$2/C49,1)</f>
        <v>72</v>
      </c>
      <c r="S49" s="71">
        <f>MAX(Раскройка!$F$2-E49*R49,0)</f>
        <v>1.0389999999999997</v>
      </c>
      <c r="T49" s="71">
        <f t="shared" si="20"/>
        <v>287.80299999999994</v>
      </c>
    </row>
    <row r="50" spans="1:20" x14ac:dyDescent="0.25">
      <c r="A50" s="71" t="s">
        <v>107</v>
      </c>
      <c r="B50" s="71">
        <f>B47</f>
        <v>575</v>
      </c>
      <c r="C50" s="71">
        <v>103</v>
      </c>
      <c r="D50" s="71">
        <v>0.6</v>
      </c>
      <c r="E50" s="71">
        <f t="shared" si="18"/>
        <v>5.9225E-2</v>
      </c>
      <c r="F50" s="20"/>
      <c r="G50" s="7" t="s">
        <v>7</v>
      </c>
      <c r="H50" s="71">
        <f>ROUND(Q50+T50/Раскройка!$F$2,0)</f>
        <v>328</v>
      </c>
      <c r="I50" s="71" t="s">
        <v>75</v>
      </c>
      <c r="J50" s="71">
        <v>2</v>
      </c>
      <c r="K50" s="71" t="s">
        <v>44</v>
      </c>
      <c r="L50" s="71">
        <v>4</v>
      </c>
      <c r="M50" s="71">
        <f>E50*(0.25*(VLOOKUP(I50,Покрытия!$A$2:$B$40,2,FALSE)*J50+VLOOKUP(K50,Покрытия!$A$2:$B$40,2,FALSE)*L50)+H50)</f>
        <v>126.0308</v>
      </c>
      <c r="N50" s="71">
        <v>4</v>
      </c>
      <c r="O50" s="71">
        <f t="shared" si="19"/>
        <v>504.1232</v>
      </c>
      <c r="P50" s="72"/>
      <c r="Q50" s="71">
        <f t="array" ref="Q50">INDEX(Материалы!$C$2:$C$50,MATCH(G50&amp;D50,Материалы!$A$2:$A$50&amp;Материалы!$B$2:$B$50,0))</f>
        <v>277</v>
      </c>
      <c r="R50" s="71">
        <f>FLOOR(Раскройка!$D$2/B50,1)*FLOOR(Раскройка!$C$2/C50,1)</f>
        <v>80</v>
      </c>
      <c r="S50" s="71">
        <f>MAX(Раскройка!$F$2-E50*R50,0)</f>
        <v>1.0620000000000003</v>
      </c>
      <c r="T50" s="71">
        <f t="shared" si="20"/>
        <v>294.17400000000009</v>
      </c>
    </row>
    <row r="52" spans="1:20" x14ac:dyDescent="0.25">
      <c r="A52" s="65" t="s">
        <v>77</v>
      </c>
      <c r="B52" s="65">
        <v>575</v>
      </c>
      <c r="C52" s="65">
        <v>165</v>
      </c>
      <c r="D52" s="65">
        <v>18</v>
      </c>
      <c r="E52" s="65">
        <f t="shared" ref="E52:E55" si="21">B52*C52/1000000</f>
        <v>9.4875000000000001E-2</v>
      </c>
      <c r="F52" s="20"/>
      <c r="G52" s="7" t="s">
        <v>12</v>
      </c>
      <c r="H52" s="65">
        <f>ROUND(Q52+T52/Раскройка!$F$2,0)</f>
        <v>607</v>
      </c>
      <c r="I52" s="71" t="s">
        <v>75</v>
      </c>
      <c r="J52" s="65">
        <v>0</v>
      </c>
      <c r="K52" s="71" t="s">
        <v>44</v>
      </c>
      <c r="L52" s="65">
        <v>0</v>
      </c>
      <c r="M52" s="65">
        <f>E52*(0.25*(VLOOKUP(I52,Покрытия!$A$2:$B$40,2,FALSE)*J52+VLOOKUP(K52,Покрытия!$A$2:$B$40,2,FALSE)*L52)+H52)</f>
        <v>57.589125000000003</v>
      </c>
      <c r="N52" s="65">
        <v>2</v>
      </c>
      <c r="O52" s="65">
        <f t="shared" ref="O52:O55" si="22">M52*N52</f>
        <v>115.17825000000001</v>
      </c>
      <c r="P52" s="66"/>
      <c r="Q52" s="65">
        <f t="array" ref="Q52">INDEX(Материалы!$C$2:$C$50,MATCH(G52&amp;D52,Материалы!$A$2:$A$50&amp;Материалы!$B$2:$B$50,0))</f>
        <v>500</v>
      </c>
      <c r="R52" s="65">
        <f>FLOOR(Раскройка!$D$2/B52,1)*FLOOR(Раскройка!$C$2/C52,1)</f>
        <v>48</v>
      </c>
      <c r="S52" s="65">
        <f>MAX(Раскройка!$F$2-E52*R52,0)</f>
        <v>1.2459999999999996</v>
      </c>
      <c r="T52" s="65">
        <f t="shared" ref="T52:T55" si="23">Q52*S52</f>
        <v>622.99999999999977</v>
      </c>
    </row>
    <row r="53" spans="1:20" x14ac:dyDescent="0.25">
      <c r="A53" s="65" t="s">
        <v>78</v>
      </c>
      <c r="B53" s="65">
        <v>1205</v>
      </c>
      <c r="C53" s="65">
        <v>70</v>
      </c>
      <c r="D53" s="65">
        <v>18</v>
      </c>
      <c r="E53" s="65">
        <f t="shared" si="21"/>
        <v>8.4349999999999994E-2</v>
      </c>
      <c r="F53" s="20"/>
      <c r="G53" s="7" t="s">
        <v>12</v>
      </c>
      <c r="H53" s="65">
        <f>ROUND(Q53+T53/Раскройка!$F$2,0)</f>
        <v>578</v>
      </c>
      <c r="I53" s="71" t="s">
        <v>75</v>
      </c>
      <c r="J53" s="65">
        <v>0</v>
      </c>
      <c r="K53" s="71" t="s">
        <v>44</v>
      </c>
      <c r="L53" s="65">
        <v>0</v>
      </c>
      <c r="M53" s="65">
        <f>E53*(0.25*(VLOOKUP(I53,Покрытия!$A$2:$B$40,2,FALSE)*J53+VLOOKUP(K53,Покрытия!$A$2:$B$40,2,FALSE)*L53)+H53)</f>
        <v>48.754299999999994</v>
      </c>
      <c r="N53" s="65">
        <v>2</v>
      </c>
      <c r="O53" s="65">
        <f t="shared" si="22"/>
        <v>97.508599999999987</v>
      </c>
      <c r="P53" s="66"/>
      <c r="Q53" s="65">
        <f t="array" ref="Q53">INDEX(Материалы!$C$2:$C$50,MATCH(G53&amp;D53,Материалы!$A$2:$A$50&amp;Материалы!$B$2:$B$50,0))</f>
        <v>500</v>
      </c>
      <c r="R53" s="65">
        <f>FLOOR(Раскройка!$D$2/B53,1)*FLOOR(Раскройка!$C$2/C53,1)</f>
        <v>58</v>
      </c>
      <c r="S53" s="65">
        <f>MAX(Раскройка!$F$2-E53*R53,0)</f>
        <v>0.90770000000000017</v>
      </c>
      <c r="T53" s="65">
        <f t="shared" si="23"/>
        <v>453.85000000000008</v>
      </c>
    </row>
    <row r="54" spans="1:20" x14ac:dyDescent="0.25">
      <c r="A54" s="65" t="s">
        <v>129</v>
      </c>
      <c r="B54" s="65">
        <f>B52</f>
        <v>575</v>
      </c>
      <c r="C54" s="65">
        <v>115</v>
      </c>
      <c r="D54" s="65">
        <v>16</v>
      </c>
      <c r="E54" s="65">
        <f t="shared" si="21"/>
        <v>6.6125000000000003E-2</v>
      </c>
      <c r="F54" s="20"/>
      <c r="G54" s="7" t="s">
        <v>12</v>
      </c>
      <c r="H54" s="65">
        <f>ROUND(Q54+T54/Раскройка!$F$2,0)</f>
        <v>762</v>
      </c>
      <c r="I54" s="71" t="s">
        <v>75</v>
      </c>
      <c r="J54" s="65">
        <v>0</v>
      </c>
      <c r="K54" s="71" t="s">
        <v>44</v>
      </c>
      <c r="L54" s="65">
        <v>0</v>
      </c>
      <c r="M54" s="65">
        <f>E54*(0.25*(VLOOKUP(I54,Покрытия!$A$2:$B$40,2,FALSE)*J54+VLOOKUP(K54,Покрытия!$A$2:$B$40,2,FALSE)*L54)+H54)</f>
        <v>50.387250000000002</v>
      </c>
      <c r="N54" s="65">
        <v>2</v>
      </c>
      <c r="O54" s="65">
        <f t="shared" si="22"/>
        <v>100.7745</v>
      </c>
      <c r="P54" s="66"/>
      <c r="Q54" s="65">
        <f t="array" ref="Q54">INDEX(Материалы!$C$2:$C$50,MATCH(G54&amp;D54,Материалы!$A$2:$A$50&amp;Материалы!$B$2:$B$50,0))</f>
        <v>646</v>
      </c>
      <c r="R54" s="65">
        <f>FLOOR(Раскройка!$D$2/B54,1)*FLOOR(Раскройка!$C$2/C54,1)</f>
        <v>72</v>
      </c>
      <c r="S54" s="65">
        <f>MAX(Раскройка!$F$2-E54*R54,0)</f>
        <v>1.0389999999999997</v>
      </c>
      <c r="T54" s="65">
        <f t="shared" si="23"/>
        <v>671.19399999999985</v>
      </c>
    </row>
    <row r="55" spans="1:20" x14ac:dyDescent="0.25">
      <c r="A55" s="65" t="s">
        <v>107</v>
      </c>
      <c r="B55" s="65">
        <f>B52</f>
        <v>575</v>
      </c>
      <c r="C55" s="65">
        <v>103</v>
      </c>
      <c r="D55" s="65">
        <v>18</v>
      </c>
      <c r="E55" s="65">
        <f t="shared" si="21"/>
        <v>5.9225E-2</v>
      </c>
      <c r="F55" s="20"/>
      <c r="G55" s="7" t="s">
        <v>12</v>
      </c>
      <c r="H55" s="65">
        <f>ROUND(Q55+T55/Раскройка!$F$2,0)</f>
        <v>592</v>
      </c>
      <c r="I55" s="71" t="s">
        <v>75</v>
      </c>
      <c r="J55" s="65">
        <v>0</v>
      </c>
      <c r="K55" s="71" t="s">
        <v>44</v>
      </c>
      <c r="L55" s="65">
        <v>0</v>
      </c>
      <c r="M55" s="65">
        <f>E55*(0.25*(VLOOKUP(I55,Покрытия!$A$2:$B$40,2,FALSE)*J55+VLOOKUP(K55,Покрытия!$A$2:$B$40,2,FALSE)*L55)+H55)</f>
        <v>35.061199999999999</v>
      </c>
      <c r="N55" s="65">
        <v>2</v>
      </c>
      <c r="O55" s="65">
        <f t="shared" si="22"/>
        <v>70.122399999999999</v>
      </c>
      <c r="P55" s="66"/>
      <c r="Q55" s="65">
        <f t="array" ref="Q55">INDEX(Материалы!$C$2:$C$50,MATCH(G55&amp;D55,Материалы!$A$2:$A$50&amp;Материалы!$B$2:$B$50,0))</f>
        <v>500</v>
      </c>
      <c r="R55" s="65">
        <f>FLOOR(Раскройка!$D$2/B55,1)*FLOOR(Раскройка!$C$2/C55,1)</f>
        <v>80</v>
      </c>
      <c r="S55" s="65">
        <f>MAX(Раскройка!$F$2-E55*R55,0)</f>
        <v>1.0620000000000003</v>
      </c>
      <c r="T55" s="65">
        <f t="shared" si="23"/>
        <v>531.00000000000011</v>
      </c>
    </row>
    <row r="56" spans="1:20" x14ac:dyDescent="0.25">
      <c r="A56" s="65" t="s">
        <v>144</v>
      </c>
      <c r="B56" s="65">
        <f>B52-70*2</f>
        <v>435</v>
      </c>
      <c r="C56" s="65">
        <v>23</v>
      </c>
      <c r="D56" s="65">
        <v>23</v>
      </c>
      <c r="E56" s="65">
        <f>B56*C56*D56/1000000000</f>
        <v>2.30115E-4</v>
      </c>
      <c r="F56" s="65">
        <f>B56*C56/1000000</f>
        <v>1.0005E-2</v>
      </c>
      <c r="G56" s="71" t="s">
        <v>16</v>
      </c>
      <c r="H56" s="65">
        <f>ROUND(Q56+T56/Раскройка!$F$11,0)</f>
        <v>54703</v>
      </c>
      <c r="I56" s="71" t="s">
        <v>75</v>
      </c>
      <c r="J56" s="65">
        <v>2</v>
      </c>
      <c r="K56" s="71" t="s">
        <v>44</v>
      </c>
      <c r="L56" s="65">
        <v>4</v>
      </c>
      <c r="M56" s="65">
        <f>E56*H56+0.25*((VLOOKUP(I56,Покрытия!$A$2:$B$50,2,FALSE)*J56+VLOOKUP(K56,Покрытия!$A$2:$B$50,2,FALSE)*L56)*F56)</f>
        <v>30.596980845000001</v>
      </c>
      <c r="N56" s="65">
        <v>2</v>
      </c>
      <c r="O56" s="65">
        <f>M56*N56</f>
        <v>61.193961690000002</v>
      </c>
      <c r="P56" s="66"/>
      <c r="Q56" s="65">
        <f t="array" ref="Q56">INDEX(Материалы!$C$2:$C$50,MATCH(G56,Материалы!$A$2:$A$50,0))</f>
        <v>45500</v>
      </c>
      <c r="R56" s="65">
        <f>FLOOR(Раскройка!$C$11/C56,1)*FLOOR(Раскройка!$D$11/B56,1)</f>
        <v>78</v>
      </c>
      <c r="S56" s="65">
        <f>MAX(Раскройка!$F$11-E56*R56,0)</f>
        <v>4.5510299999999976E-3</v>
      </c>
      <c r="T56" s="65">
        <f>Q56*S56</f>
        <v>207.07186499999989</v>
      </c>
    </row>
    <row r="57" spans="1:20" x14ac:dyDescent="0.25">
      <c r="A57" s="65" t="s">
        <v>145</v>
      </c>
      <c r="B57" s="65">
        <f>B53-165*2</f>
        <v>875</v>
      </c>
      <c r="C57" s="65">
        <v>23</v>
      </c>
      <c r="D57" s="65">
        <v>23</v>
      </c>
      <c r="E57" s="65">
        <f>B57*C57*D57/1000000000</f>
        <v>4.6287500000000002E-4</v>
      </c>
      <c r="F57" s="65">
        <f>B57*C57/1000000</f>
        <v>2.0125000000000001E-2</v>
      </c>
      <c r="G57" s="71" t="s">
        <v>16</v>
      </c>
      <c r="H57" s="65">
        <f>ROUND(Q57+T57/Раскройка!$F$11,0)</f>
        <v>54495</v>
      </c>
      <c r="I57" s="71" t="s">
        <v>75</v>
      </c>
      <c r="J57" s="65">
        <v>2</v>
      </c>
      <c r="K57" s="71" t="s">
        <v>44</v>
      </c>
      <c r="L57" s="65">
        <v>4</v>
      </c>
      <c r="M57" s="65">
        <f>E57*H57+0.25*((VLOOKUP(I57,Покрытия!$A$2:$B$50,2,FALSE)*J57+VLOOKUP(K57,Покрытия!$A$2:$B$50,2,FALSE)*L57)*F57)</f>
        <v>61.449373125000001</v>
      </c>
      <c r="N57" s="65">
        <v>2</v>
      </c>
      <c r="O57" s="65">
        <f>M57*N57</f>
        <v>122.89874625</v>
      </c>
      <c r="P57" s="66"/>
      <c r="Q57" s="65">
        <f t="array" ref="Q57">INDEX(Материалы!$C$2:$C$50,MATCH(G57,Материалы!$A$2:$A$50,0))</f>
        <v>45500</v>
      </c>
      <c r="R57" s="65">
        <f>FLOOR(Раскройка!$C$11/C57,1)*FLOOR(Раскройка!$D$11/B57,1)</f>
        <v>39</v>
      </c>
      <c r="S57" s="65">
        <f>MAX(Раскройка!$F$11-E57*R57,0)</f>
        <v>4.447874999999997E-3</v>
      </c>
      <c r="T57" s="65">
        <f>Q57*S57</f>
        <v>202.37831249999985</v>
      </c>
    </row>
    <row r="58" spans="1:20" x14ac:dyDescent="0.25">
      <c r="A58" s="65" t="s">
        <v>184</v>
      </c>
      <c r="B58" s="65">
        <f>(121+113)*2</f>
        <v>468</v>
      </c>
      <c r="C58" s="65">
        <v>145</v>
      </c>
      <c r="D58" s="65">
        <v>8</v>
      </c>
      <c r="E58" s="65">
        <f>B58*C58*D58/1000000000</f>
        <v>5.4288000000000003E-4</v>
      </c>
      <c r="F58" s="65">
        <f>B58*C58/1000000</f>
        <v>6.7860000000000004E-2</v>
      </c>
      <c r="G58" s="71" t="s">
        <v>16</v>
      </c>
      <c r="H58" s="65">
        <f>ROUND(Q58+T58/Раскройка!$F$11,0)</f>
        <v>77826</v>
      </c>
      <c r="I58" s="71" t="s">
        <v>75</v>
      </c>
      <c r="J58" s="65">
        <v>2</v>
      </c>
      <c r="K58" s="71" t="s">
        <v>44</v>
      </c>
      <c r="L58" s="65">
        <v>4</v>
      </c>
      <c r="M58" s="65">
        <f>E58*H58+0.25*((VLOOKUP(I58,Покрытия!$A$2:$B$50,2,FALSE)*J58+VLOOKUP(K58,Покрытия!$A$2:$B$50,2,FALSE)*L58)*F58)</f>
        <v>164.39817888000002</v>
      </c>
      <c r="N58" s="65">
        <v>2</v>
      </c>
      <c r="O58" s="65">
        <f>M58*N58</f>
        <v>328.79635776000003</v>
      </c>
      <c r="P58" s="66"/>
      <c r="Q58" s="65">
        <f t="array" ref="Q58">INDEX(Материалы!$C$2:$C$50,MATCH(G58,Материалы!$A$2:$A$50,0))</f>
        <v>45500</v>
      </c>
      <c r="R58" s="65">
        <f>FLOOR(Раскройка!$C$11/C58,1)*FLOOR(Раскройка!$D$11/B58,1)</f>
        <v>12</v>
      </c>
      <c r="S58" s="65">
        <f>MAX(Раскройка!$F$11-E58*R58,0)</f>
        <v>1.5985439999999997E-2</v>
      </c>
      <c r="T58" s="65">
        <f>Q58*S58</f>
        <v>727.33751999999981</v>
      </c>
    </row>
    <row r="59" spans="1:20" x14ac:dyDescent="0.25">
      <c r="A59" s="65" t="s">
        <v>189</v>
      </c>
      <c r="B59" s="65">
        <f>(95+113)*2</f>
        <v>416</v>
      </c>
      <c r="C59" s="65">
        <v>120</v>
      </c>
      <c r="D59" s="65">
        <v>20</v>
      </c>
      <c r="E59" s="65">
        <f>B59*C59*D59/1000000000</f>
        <v>9.9839999999999998E-4</v>
      </c>
      <c r="F59" s="65">
        <f>B59*C59/1000000</f>
        <v>4.9919999999999999E-2</v>
      </c>
      <c r="G59" s="71" t="s">
        <v>16</v>
      </c>
      <c r="H59" s="65">
        <f>ROUND(Q59+T59/Раскройка!$F$11,0)</f>
        <v>62734</v>
      </c>
      <c r="I59" s="71" t="s">
        <v>75</v>
      </c>
      <c r="J59" s="65">
        <v>2</v>
      </c>
      <c r="K59" s="71" t="s">
        <v>44</v>
      </c>
      <c r="L59" s="65">
        <v>4</v>
      </c>
      <c r="M59" s="65">
        <f>E59*H59+0.25*((VLOOKUP(I59,Покрытия!$A$2:$B$50,2,FALSE)*J59+VLOOKUP(K59,Покрытия!$A$2:$B$50,2,FALSE)*L59)*F59)</f>
        <v>152.48962560000001</v>
      </c>
      <c r="N59" s="65">
        <v>1</v>
      </c>
      <c r="O59" s="65">
        <f>M59*N59</f>
        <v>152.48962560000001</v>
      </c>
      <c r="P59" s="66"/>
      <c r="Q59" s="65">
        <f t="array" ref="Q59">INDEX(Материалы!$C$2:$C$50,MATCH(G59,Материалы!$A$2:$A$50,0))</f>
        <v>45500</v>
      </c>
      <c r="R59" s="65">
        <f>FLOOR(Раскройка!$C$11/C59,1)*FLOOR(Раскройка!$D$11/B59,1)</f>
        <v>14</v>
      </c>
      <c r="S59" s="65">
        <f>MAX(Раскройка!$F$11-E59*R59,0)</f>
        <v>8.5223999999999994E-3</v>
      </c>
      <c r="T59" s="65">
        <f>Q59*S59</f>
        <v>387.76919999999996</v>
      </c>
    </row>
    <row r="60" spans="1:20" x14ac:dyDescent="0.25">
      <c r="A60" s="71" t="s">
        <v>77</v>
      </c>
      <c r="B60" s="71">
        <v>575</v>
      </c>
      <c r="C60" s="71">
        <v>165</v>
      </c>
      <c r="D60" s="71">
        <v>0.6</v>
      </c>
      <c r="E60" s="71">
        <f t="shared" ref="E60:E63" si="24">B60*C60/1000000</f>
        <v>9.4875000000000001E-2</v>
      </c>
      <c r="F60" s="20"/>
      <c r="G60" s="7" t="s">
        <v>7</v>
      </c>
      <c r="H60" s="71">
        <f>ROUND(Q60+T60/Раскройка!$F$2,0)</f>
        <v>337</v>
      </c>
      <c r="I60" s="71" t="s">
        <v>75</v>
      </c>
      <c r="J60" s="71">
        <v>2</v>
      </c>
      <c r="K60" s="71" t="s">
        <v>44</v>
      </c>
      <c r="L60" s="71">
        <v>4</v>
      </c>
      <c r="M60" s="71">
        <f>E60*(0.25*(VLOOKUP(I60,Покрытия!$A$2:$B$40,2,FALSE)*J60+VLOOKUP(K60,Покрытия!$A$2:$B$40,2,FALSE)*L60)+H60)</f>
        <v>202.74787499999999</v>
      </c>
      <c r="N60" s="71">
        <v>4</v>
      </c>
      <c r="O60" s="71">
        <f t="shared" ref="O60:O63" si="25">M60*N60</f>
        <v>810.99149999999997</v>
      </c>
      <c r="P60" s="72"/>
      <c r="Q60" s="71">
        <f t="array" ref="Q60">INDEX(Материалы!$C$2:$C$50,MATCH(G60&amp;D60,Материалы!$A$2:$A$50&amp;Материалы!$B$2:$B$50,0))</f>
        <v>277</v>
      </c>
      <c r="R60" s="71">
        <f>FLOOR(Раскройка!$D$2/B60,1)*FLOOR(Раскройка!$C$2/C60,1)</f>
        <v>48</v>
      </c>
      <c r="S60" s="71">
        <f>MAX(Раскройка!$F$2-E60*R60,0)</f>
        <v>1.2459999999999996</v>
      </c>
      <c r="T60" s="71">
        <f t="shared" ref="T60:T63" si="26">Q60*S60</f>
        <v>345.14199999999988</v>
      </c>
    </row>
    <row r="61" spans="1:20" x14ac:dyDescent="0.25">
      <c r="A61" s="71" t="s">
        <v>78</v>
      </c>
      <c r="B61" s="71">
        <v>1205</v>
      </c>
      <c r="C61" s="71">
        <v>70</v>
      </c>
      <c r="D61" s="71">
        <v>0.6</v>
      </c>
      <c r="E61" s="71">
        <f t="shared" si="24"/>
        <v>8.4349999999999994E-2</v>
      </c>
      <c r="F61" s="20"/>
      <c r="G61" s="7" t="s">
        <v>7</v>
      </c>
      <c r="H61" s="71">
        <f>ROUND(Q61+T61/Раскройка!$F$2,0)</f>
        <v>320</v>
      </c>
      <c r="I61" s="71" t="s">
        <v>75</v>
      </c>
      <c r="J61" s="71">
        <v>2</v>
      </c>
      <c r="K61" s="71" t="s">
        <v>44</v>
      </c>
      <c r="L61" s="71">
        <v>4</v>
      </c>
      <c r="M61" s="71">
        <f>E61*(0.25*(VLOOKUP(I61,Покрытия!$A$2:$B$40,2,FALSE)*J61+VLOOKUP(K61,Покрытия!$A$2:$B$40,2,FALSE)*L61)+H61)</f>
        <v>178.82199999999997</v>
      </c>
      <c r="N61" s="71">
        <v>4</v>
      </c>
      <c r="O61" s="71">
        <f t="shared" si="25"/>
        <v>715.2879999999999</v>
      </c>
      <c r="P61" s="72"/>
      <c r="Q61" s="71">
        <f t="array" ref="Q61">INDEX(Материалы!$C$2:$C$50,MATCH(G61&amp;D61,Материалы!$A$2:$A$50&amp;Материалы!$B$2:$B$50,0))</f>
        <v>277</v>
      </c>
      <c r="R61" s="71">
        <f>FLOOR(Раскройка!$D$2/B61,1)*FLOOR(Раскройка!$C$2/C61,1)</f>
        <v>58</v>
      </c>
      <c r="S61" s="71">
        <f>MAX(Раскройка!$F$2-E61*R61,0)</f>
        <v>0.90770000000000017</v>
      </c>
      <c r="T61" s="71">
        <f t="shared" si="26"/>
        <v>251.43290000000005</v>
      </c>
    </row>
    <row r="62" spans="1:20" x14ac:dyDescent="0.25">
      <c r="A62" s="71" t="s">
        <v>129</v>
      </c>
      <c r="B62" s="71">
        <f>B60</f>
        <v>575</v>
      </c>
      <c r="C62" s="71">
        <v>115</v>
      </c>
      <c r="D62" s="71">
        <v>0.6</v>
      </c>
      <c r="E62" s="71">
        <f t="shared" si="24"/>
        <v>6.6125000000000003E-2</v>
      </c>
      <c r="F62" s="20"/>
      <c r="G62" s="7" t="s">
        <v>7</v>
      </c>
      <c r="H62" s="71">
        <f>ROUND(Q62+T62/Раскройка!$F$2,0)</f>
        <v>327</v>
      </c>
      <c r="I62" s="71" t="s">
        <v>75</v>
      </c>
      <c r="J62" s="71">
        <v>2</v>
      </c>
      <c r="K62" s="71" t="s">
        <v>44</v>
      </c>
      <c r="L62" s="71">
        <v>4</v>
      </c>
      <c r="M62" s="71">
        <f>E62*(0.25*(VLOOKUP(I62,Покрытия!$A$2:$B$40,2,FALSE)*J62+VLOOKUP(K62,Покрытия!$A$2:$B$40,2,FALSE)*L62)+H62)</f>
        <v>140.647875</v>
      </c>
      <c r="N62" s="71">
        <v>4</v>
      </c>
      <c r="O62" s="71">
        <f t="shared" si="25"/>
        <v>562.5915</v>
      </c>
      <c r="P62" s="72"/>
      <c r="Q62" s="71">
        <f t="array" ref="Q62">INDEX(Материалы!$C$2:$C$50,MATCH(G62&amp;D62,Материалы!$A$2:$A$50&amp;Материалы!$B$2:$B$50,0))</f>
        <v>277</v>
      </c>
      <c r="R62" s="71">
        <f>FLOOR(Раскройка!$D$2/B62,1)*FLOOR(Раскройка!$C$2/C62,1)</f>
        <v>72</v>
      </c>
      <c r="S62" s="71">
        <f>MAX(Раскройка!$F$2-E62*R62,0)</f>
        <v>1.0389999999999997</v>
      </c>
      <c r="T62" s="71">
        <f t="shared" si="26"/>
        <v>287.80299999999994</v>
      </c>
    </row>
    <row r="63" spans="1:20" x14ac:dyDescent="0.25">
      <c r="A63" s="71" t="s">
        <v>107</v>
      </c>
      <c r="B63" s="71">
        <f>B60</f>
        <v>575</v>
      </c>
      <c r="C63" s="71">
        <v>103</v>
      </c>
      <c r="D63" s="71">
        <v>0.6</v>
      </c>
      <c r="E63" s="71">
        <f t="shared" si="24"/>
        <v>5.9225E-2</v>
      </c>
      <c r="F63" s="20"/>
      <c r="G63" s="7" t="s">
        <v>7</v>
      </c>
      <c r="H63" s="71">
        <f>ROUND(Q63+T63/Раскройка!$F$2,0)</f>
        <v>328</v>
      </c>
      <c r="I63" s="71" t="s">
        <v>75</v>
      </c>
      <c r="J63" s="71">
        <v>2</v>
      </c>
      <c r="K63" s="71" t="s">
        <v>44</v>
      </c>
      <c r="L63" s="71">
        <v>4</v>
      </c>
      <c r="M63" s="71">
        <f>E63*(0.25*(VLOOKUP(I63,Покрытия!$A$2:$B$40,2,FALSE)*J63+VLOOKUP(K63,Покрытия!$A$2:$B$40,2,FALSE)*L63)+H63)</f>
        <v>126.0308</v>
      </c>
      <c r="N63" s="71">
        <v>4</v>
      </c>
      <c r="O63" s="71">
        <f t="shared" si="25"/>
        <v>504.1232</v>
      </c>
      <c r="P63" s="72"/>
      <c r="Q63" s="71">
        <f t="array" ref="Q63">INDEX(Материалы!$C$2:$C$50,MATCH(G63&amp;D63,Материалы!$A$2:$A$50&amp;Материалы!$B$2:$B$50,0))</f>
        <v>277</v>
      </c>
      <c r="R63" s="71">
        <f>FLOOR(Раскройка!$D$2/B63,1)*FLOOR(Раскройка!$C$2/C63,1)</f>
        <v>80</v>
      </c>
      <c r="S63" s="71">
        <f>MAX(Раскройка!$F$2-E63*R63,0)</f>
        <v>1.0620000000000003</v>
      </c>
      <c r="T63" s="71">
        <f t="shared" si="26"/>
        <v>294.17400000000009</v>
      </c>
    </row>
    <row r="65" spans="1:20" x14ac:dyDescent="0.25">
      <c r="A65" s="65" t="s">
        <v>77</v>
      </c>
      <c r="B65" s="65">
        <v>575</v>
      </c>
      <c r="C65" s="65">
        <v>165</v>
      </c>
      <c r="D65" s="65">
        <v>18</v>
      </c>
      <c r="E65" s="65">
        <f t="shared" ref="E65:E68" si="27">B65*C65/1000000</f>
        <v>9.4875000000000001E-2</v>
      </c>
      <c r="F65" s="20"/>
      <c r="G65" s="7" t="s">
        <v>12</v>
      </c>
      <c r="H65" s="65">
        <f>ROUND(Q65+T65/Раскройка!$F$2,0)</f>
        <v>607</v>
      </c>
      <c r="I65" s="71" t="s">
        <v>75</v>
      </c>
      <c r="J65" s="65">
        <v>0</v>
      </c>
      <c r="K65" s="71" t="s">
        <v>44</v>
      </c>
      <c r="L65" s="65">
        <v>0</v>
      </c>
      <c r="M65" s="65">
        <f>E65*(0.25*(VLOOKUP(I65,Покрытия!$A$2:$B$40,2,FALSE)*J65+VLOOKUP(K65,Покрытия!$A$2:$B$40,2,FALSE)*L65)+H65)</f>
        <v>57.589125000000003</v>
      </c>
      <c r="N65" s="65">
        <v>2</v>
      </c>
      <c r="O65" s="65">
        <f t="shared" ref="O65:O68" si="28">M65*N65</f>
        <v>115.17825000000001</v>
      </c>
      <c r="P65" s="66"/>
      <c r="Q65" s="65">
        <f t="array" ref="Q65">INDEX(Материалы!$C$2:$C$50,MATCH(G65&amp;D65,Материалы!$A$2:$A$50&amp;Материалы!$B$2:$B$50,0))</f>
        <v>500</v>
      </c>
      <c r="R65" s="65">
        <f>FLOOR(Раскройка!$D$2/B65,1)*FLOOR(Раскройка!$C$2/C65,1)</f>
        <v>48</v>
      </c>
      <c r="S65" s="65">
        <f>MAX(Раскройка!$F$2-E65*R65,0)</f>
        <v>1.2459999999999996</v>
      </c>
      <c r="T65" s="65">
        <f t="shared" ref="T65:T68" si="29">Q65*S65</f>
        <v>622.99999999999977</v>
      </c>
    </row>
    <row r="66" spans="1:20" x14ac:dyDescent="0.25">
      <c r="A66" s="65" t="s">
        <v>78</v>
      </c>
      <c r="B66" s="65">
        <v>1221</v>
      </c>
      <c r="C66" s="65">
        <v>70</v>
      </c>
      <c r="D66" s="65">
        <v>18</v>
      </c>
      <c r="E66" s="65">
        <f t="shared" si="27"/>
        <v>8.5470000000000004E-2</v>
      </c>
      <c r="F66" s="20"/>
      <c r="G66" s="7" t="s">
        <v>12</v>
      </c>
      <c r="H66" s="65">
        <f>ROUND(Q66+T66/Раскройка!$F$2,0)</f>
        <v>573</v>
      </c>
      <c r="I66" s="71" t="s">
        <v>75</v>
      </c>
      <c r="J66" s="65">
        <v>0</v>
      </c>
      <c r="K66" s="71" t="s">
        <v>44</v>
      </c>
      <c r="L66" s="65">
        <v>0</v>
      </c>
      <c r="M66" s="65">
        <f>E66*(0.25*(VLOOKUP(I66,Покрытия!$A$2:$B$40,2,FALSE)*J66+VLOOKUP(K66,Покрытия!$A$2:$B$40,2,FALSE)*L66)+H66)</f>
        <v>48.974310000000003</v>
      </c>
      <c r="N66" s="65">
        <v>2</v>
      </c>
      <c r="O66" s="65">
        <f t="shared" si="28"/>
        <v>97.948620000000005</v>
      </c>
      <c r="P66" s="66"/>
      <c r="Q66" s="65">
        <f t="array" ref="Q66">INDEX(Материалы!$C$2:$C$50,MATCH(G66&amp;D66,Материалы!$A$2:$A$50&amp;Материалы!$B$2:$B$50,0))</f>
        <v>500</v>
      </c>
      <c r="R66" s="65">
        <f>FLOOR(Раскройка!$D$2/B66,1)*FLOOR(Раскройка!$C$2/C66,1)</f>
        <v>58</v>
      </c>
      <c r="S66" s="65">
        <f>MAX(Раскройка!$F$2-E66*R66,0)</f>
        <v>0.84273999999999916</v>
      </c>
      <c r="T66" s="65">
        <f t="shared" si="29"/>
        <v>421.36999999999955</v>
      </c>
    </row>
    <row r="67" spans="1:20" x14ac:dyDescent="0.25">
      <c r="A67" s="65" t="s">
        <v>129</v>
      </c>
      <c r="B67" s="65">
        <f>B65</f>
        <v>575</v>
      </c>
      <c r="C67" s="65">
        <v>115</v>
      </c>
      <c r="D67" s="65">
        <v>16</v>
      </c>
      <c r="E67" s="65">
        <f t="shared" si="27"/>
        <v>6.6125000000000003E-2</v>
      </c>
      <c r="F67" s="20"/>
      <c r="G67" s="7" t="s">
        <v>12</v>
      </c>
      <c r="H67" s="65">
        <f>ROUND(Q67+T67/Раскройка!$F$2,0)</f>
        <v>762</v>
      </c>
      <c r="I67" s="71" t="s">
        <v>75</v>
      </c>
      <c r="J67" s="65">
        <v>0</v>
      </c>
      <c r="K67" s="71" t="s">
        <v>44</v>
      </c>
      <c r="L67" s="65">
        <v>0</v>
      </c>
      <c r="M67" s="65">
        <f>E67*(0.25*(VLOOKUP(I67,Покрытия!$A$2:$B$40,2,FALSE)*J67+VLOOKUP(K67,Покрытия!$A$2:$B$40,2,FALSE)*L67)+H67)</f>
        <v>50.387250000000002</v>
      </c>
      <c r="N67" s="65">
        <v>2</v>
      </c>
      <c r="O67" s="65">
        <f t="shared" si="28"/>
        <v>100.7745</v>
      </c>
      <c r="P67" s="66"/>
      <c r="Q67" s="65">
        <f t="array" ref="Q67">INDEX(Материалы!$C$2:$C$50,MATCH(G67&amp;D67,Материалы!$A$2:$A$50&amp;Материалы!$B$2:$B$50,0))</f>
        <v>646</v>
      </c>
      <c r="R67" s="65">
        <f>FLOOR(Раскройка!$D$2/B67,1)*FLOOR(Раскройка!$C$2/C67,1)</f>
        <v>72</v>
      </c>
      <c r="S67" s="65">
        <f>MAX(Раскройка!$F$2-E67*R67,0)</f>
        <v>1.0389999999999997</v>
      </c>
      <c r="T67" s="65">
        <f t="shared" si="29"/>
        <v>671.19399999999985</v>
      </c>
    </row>
    <row r="68" spans="1:20" x14ac:dyDescent="0.25">
      <c r="A68" s="65" t="s">
        <v>107</v>
      </c>
      <c r="B68" s="65">
        <f>B65</f>
        <v>575</v>
      </c>
      <c r="C68" s="65">
        <v>103</v>
      </c>
      <c r="D68" s="65">
        <v>18</v>
      </c>
      <c r="E68" s="65">
        <f t="shared" si="27"/>
        <v>5.9225E-2</v>
      </c>
      <c r="F68" s="20"/>
      <c r="G68" s="7" t="s">
        <v>12</v>
      </c>
      <c r="H68" s="65">
        <f>ROUND(Q68+T68/Раскройка!$F$2,0)</f>
        <v>592</v>
      </c>
      <c r="I68" s="71" t="s">
        <v>75</v>
      </c>
      <c r="J68" s="65">
        <v>0</v>
      </c>
      <c r="K68" s="71" t="s">
        <v>44</v>
      </c>
      <c r="L68" s="65">
        <v>0</v>
      </c>
      <c r="M68" s="65">
        <f>E68*(0.25*(VLOOKUP(I68,Покрытия!$A$2:$B$40,2,FALSE)*J68+VLOOKUP(K68,Покрытия!$A$2:$B$40,2,FALSE)*L68)+H68)</f>
        <v>35.061199999999999</v>
      </c>
      <c r="N68" s="65">
        <v>2</v>
      </c>
      <c r="O68" s="65">
        <f t="shared" si="28"/>
        <v>70.122399999999999</v>
      </c>
      <c r="P68" s="66"/>
      <c r="Q68" s="65">
        <f t="array" ref="Q68">INDEX(Материалы!$C$2:$C$50,MATCH(G68&amp;D68,Материалы!$A$2:$A$50&amp;Материалы!$B$2:$B$50,0))</f>
        <v>500</v>
      </c>
      <c r="R68" s="65">
        <f>FLOOR(Раскройка!$D$2/B68,1)*FLOOR(Раскройка!$C$2/C68,1)</f>
        <v>80</v>
      </c>
      <c r="S68" s="65">
        <f>MAX(Раскройка!$F$2-E68*R68,0)</f>
        <v>1.0620000000000003</v>
      </c>
      <c r="T68" s="65">
        <f t="shared" si="29"/>
        <v>531.00000000000011</v>
      </c>
    </row>
    <row r="69" spans="1:20" x14ac:dyDescent="0.25">
      <c r="A69" s="65" t="s">
        <v>144</v>
      </c>
      <c r="B69" s="65">
        <f>B65-70*2</f>
        <v>435</v>
      </c>
      <c r="C69" s="65">
        <v>23</v>
      </c>
      <c r="D69" s="65">
        <v>23</v>
      </c>
      <c r="E69" s="65">
        <f>B69*C69*D69/1000000000</f>
        <v>2.30115E-4</v>
      </c>
      <c r="F69" s="65">
        <f>B69*C69/1000000</f>
        <v>1.0005E-2</v>
      </c>
      <c r="G69" s="71" t="s">
        <v>16</v>
      </c>
      <c r="H69" s="65">
        <f>ROUND(Q69+T69/Раскройка!$F$11,0)</f>
        <v>54703</v>
      </c>
      <c r="I69" s="71" t="s">
        <v>75</v>
      </c>
      <c r="J69" s="65">
        <v>2</v>
      </c>
      <c r="K69" s="71" t="s">
        <v>44</v>
      </c>
      <c r="L69" s="65">
        <v>4</v>
      </c>
      <c r="M69" s="65">
        <f>E69*H69+0.25*((VLOOKUP(I69,Покрытия!$A$2:$B$50,2,FALSE)*J69+VLOOKUP(K69,Покрытия!$A$2:$B$50,2,FALSE)*L69)*F69)</f>
        <v>30.596980845000001</v>
      </c>
      <c r="N69" s="65">
        <v>2</v>
      </c>
      <c r="O69" s="65">
        <f>M69*N69</f>
        <v>61.193961690000002</v>
      </c>
      <c r="P69" s="66"/>
      <c r="Q69" s="65">
        <f t="array" ref="Q69">INDEX(Материалы!$C$2:$C$50,MATCH(G69,Материалы!$A$2:$A$50,0))</f>
        <v>45500</v>
      </c>
      <c r="R69" s="65">
        <f>FLOOR(Раскройка!$C$11/C69,1)*FLOOR(Раскройка!$D$11/B69,1)</f>
        <v>78</v>
      </c>
      <c r="S69" s="65">
        <f>MAX(Раскройка!$F$11-E69*R69,0)</f>
        <v>4.5510299999999976E-3</v>
      </c>
      <c r="T69" s="65">
        <f>Q69*S69</f>
        <v>207.07186499999989</v>
      </c>
    </row>
    <row r="70" spans="1:20" x14ac:dyDescent="0.25">
      <c r="A70" s="65" t="s">
        <v>145</v>
      </c>
      <c r="B70" s="65">
        <f>B66-165*2</f>
        <v>891</v>
      </c>
      <c r="C70" s="65">
        <v>23</v>
      </c>
      <c r="D70" s="65">
        <v>23</v>
      </c>
      <c r="E70" s="65">
        <f>B70*C70*D70/1000000000</f>
        <v>4.7133899999999998E-4</v>
      </c>
      <c r="F70" s="65">
        <f>B70*C70/1000000</f>
        <v>2.0493000000000001E-2</v>
      </c>
      <c r="G70" s="71" t="s">
        <v>16</v>
      </c>
      <c r="H70" s="65">
        <f>ROUND(Q70+T70/Раскройка!$F$11,0)</f>
        <v>53827</v>
      </c>
      <c r="I70" s="71" t="s">
        <v>75</v>
      </c>
      <c r="J70" s="65">
        <v>2</v>
      </c>
      <c r="K70" s="71" t="s">
        <v>44</v>
      </c>
      <c r="L70" s="65">
        <v>4</v>
      </c>
      <c r="M70" s="65">
        <f>E70*H70+0.25*((VLOOKUP(I70,Покрытия!$A$2:$B$50,2,FALSE)*J70+VLOOKUP(K70,Покрытия!$A$2:$B$50,2,FALSE)*L70)*F70)</f>
        <v>62.258164352999998</v>
      </c>
      <c r="N70" s="65">
        <v>2</v>
      </c>
      <c r="O70" s="65">
        <f>M70*N70</f>
        <v>124.516328706</v>
      </c>
      <c r="P70" s="66"/>
      <c r="Q70" s="65">
        <f t="array" ref="Q70">INDEX(Материалы!$C$2:$C$50,MATCH(G70,Материалы!$A$2:$A$50,0))</f>
        <v>45500</v>
      </c>
      <c r="R70" s="65">
        <f>FLOOR(Раскройка!$C$11/C70,1)*FLOOR(Раскройка!$D$11/B70,1)</f>
        <v>39</v>
      </c>
      <c r="S70" s="65">
        <f>MAX(Раскройка!$F$11-E70*R70,0)</f>
        <v>4.1177789999999985E-3</v>
      </c>
      <c r="T70" s="65">
        <f>Q70*S70</f>
        <v>187.35894449999992</v>
      </c>
    </row>
    <row r="71" spans="1:20" x14ac:dyDescent="0.25">
      <c r="A71" s="65" t="s">
        <v>184</v>
      </c>
      <c r="B71" s="65">
        <f>(121+58)*2</f>
        <v>358</v>
      </c>
      <c r="C71" s="65">
        <v>145</v>
      </c>
      <c r="D71" s="65">
        <v>8</v>
      </c>
      <c r="E71" s="65">
        <f>B71*C71*D71/1000000000</f>
        <v>4.1528000000000002E-4</v>
      </c>
      <c r="F71" s="65">
        <f>B71*C71/1000000</f>
        <v>5.1909999999999998E-2</v>
      </c>
      <c r="G71" s="71" t="s">
        <v>16</v>
      </c>
      <c r="H71" s="65">
        <f>ROUND(Q71+T71/Раскройка!$F$11,0)</f>
        <v>77563</v>
      </c>
      <c r="I71" s="71" t="s">
        <v>75</v>
      </c>
      <c r="J71" s="65">
        <v>2</v>
      </c>
      <c r="K71" s="71" t="s">
        <v>44</v>
      </c>
      <c r="L71" s="65">
        <v>4</v>
      </c>
      <c r="M71" s="65">
        <f>E71*H71+0.25*((VLOOKUP(I71,Покрытия!$A$2:$B$50,2,FALSE)*J71+VLOOKUP(K71,Покрытия!$A$2:$B$50,2,FALSE)*L71)*F71)</f>
        <v>125.64836264</v>
      </c>
      <c r="N71" s="65">
        <v>2</v>
      </c>
      <c r="O71" s="65">
        <f>M71*N71</f>
        <v>251.29672528</v>
      </c>
      <c r="P71" s="66"/>
      <c r="Q71" s="65">
        <f t="array" ref="Q71">INDEX(Материалы!$C$2:$C$50,MATCH(G71,Материалы!$A$2:$A$50,0))</f>
        <v>45500</v>
      </c>
      <c r="R71" s="65">
        <f>FLOOR(Раскройка!$C$11/C71,1)*FLOOR(Раскройка!$D$11/B71,1)</f>
        <v>16</v>
      </c>
      <c r="S71" s="65">
        <f>MAX(Раскройка!$F$11-E71*R71,0)</f>
        <v>1.5855519999999998E-2</v>
      </c>
      <c r="T71" s="65">
        <f>Q71*S71</f>
        <v>721.42615999999987</v>
      </c>
    </row>
    <row r="72" spans="1:20" x14ac:dyDescent="0.25">
      <c r="A72" s="65" t="s">
        <v>189</v>
      </c>
      <c r="B72" s="65">
        <f>(95+58)*2</f>
        <v>306</v>
      </c>
      <c r="C72" s="65">
        <v>68</v>
      </c>
      <c r="D72" s="65">
        <v>20</v>
      </c>
      <c r="E72" s="65">
        <f>B72*C72*D72/1000000000</f>
        <v>4.1616E-4</v>
      </c>
      <c r="F72" s="65">
        <f>B72*C72/1000000</f>
        <v>2.0808E-2</v>
      </c>
      <c r="G72" s="71" t="s">
        <v>16</v>
      </c>
      <c r="H72" s="65">
        <f>ROUND(Q72+T72/Раскройка!$F$11,0)</f>
        <v>60704</v>
      </c>
      <c r="I72" s="71" t="s">
        <v>75</v>
      </c>
      <c r="J72" s="65">
        <v>2</v>
      </c>
      <c r="K72" s="71" t="s">
        <v>44</v>
      </c>
      <c r="L72" s="65">
        <v>4</v>
      </c>
      <c r="M72" s="65">
        <f>E72*H72+0.25*((VLOOKUP(I72,Покрытия!$A$2:$B$50,2,FALSE)*J72+VLOOKUP(K72,Покрытия!$A$2:$B$50,2,FALSE)*L72)*F72)</f>
        <v>62.716976639999999</v>
      </c>
      <c r="N72" s="65">
        <v>1</v>
      </c>
      <c r="O72" s="65">
        <f>M72*N72</f>
        <v>62.716976639999999</v>
      </c>
      <c r="P72" s="66"/>
      <c r="Q72" s="65">
        <f t="array" ref="Q72">INDEX(Материалы!$C$2:$C$50,MATCH(G72,Материалы!$A$2:$A$50,0))</f>
        <v>45500</v>
      </c>
      <c r="R72" s="65">
        <f>FLOOR(Раскройка!$C$11/C72,1)*FLOOR(Раскройка!$D$11/B72,1)</f>
        <v>36</v>
      </c>
      <c r="S72" s="65">
        <f>MAX(Раскройка!$F$11-E72*R72,0)</f>
        <v>7.518239999999999E-3</v>
      </c>
      <c r="T72" s="65">
        <f>Q72*S72</f>
        <v>342.07991999999996</v>
      </c>
    </row>
    <row r="73" spans="1:20" x14ac:dyDescent="0.25">
      <c r="A73" s="71" t="s">
        <v>77</v>
      </c>
      <c r="B73" s="71">
        <v>575</v>
      </c>
      <c r="C73" s="71">
        <v>165</v>
      </c>
      <c r="D73" s="71">
        <v>0.6</v>
      </c>
      <c r="E73" s="71">
        <f t="shared" ref="E73:E76" si="30">B73*C73/1000000</f>
        <v>9.4875000000000001E-2</v>
      </c>
      <c r="F73" s="20"/>
      <c r="G73" s="7" t="s">
        <v>7</v>
      </c>
      <c r="H73" s="71">
        <f>ROUND(Q73+T73/Раскройка!$F$2,0)</f>
        <v>337</v>
      </c>
      <c r="I73" s="71" t="s">
        <v>75</v>
      </c>
      <c r="J73" s="71">
        <v>2</v>
      </c>
      <c r="K73" s="71" t="s">
        <v>44</v>
      </c>
      <c r="L73" s="71">
        <v>4</v>
      </c>
      <c r="M73" s="71">
        <f>E73*(0.25*(VLOOKUP(I73,Покрытия!$A$2:$B$40,2,FALSE)*J73+VLOOKUP(K73,Покрытия!$A$2:$B$40,2,FALSE)*L73)+H73)</f>
        <v>202.74787499999999</v>
      </c>
      <c r="N73" s="71">
        <v>4</v>
      </c>
      <c r="O73" s="71">
        <f t="shared" ref="O73:O76" si="31">M73*N73</f>
        <v>810.99149999999997</v>
      </c>
      <c r="P73" s="72"/>
      <c r="Q73" s="71">
        <f t="array" ref="Q73">INDEX(Материалы!$C$2:$C$50,MATCH(G73&amp;D73,Материалы!$A$2:$A$50&amp;Материалы!$B$2:$B$50,0))</f>
        <v>277</v>
      </c>
      <c r="R73" s="71">
        <f>FLOOR(Раскройка!$D$2/B73,1)*FLOOR(Раскройка!$C$2/C73,1)</f>
        <v>48</v>
      </c>
      <c r="S73" s="71">
        <f>MAX(Раскройка!$F$2-E73*R73,0)</f>
        <v>1.2459999999999996</v>
      </c>
      <c r="T73" s="71">
        <f t="shared" ref="T73:T76" si="32">Q73*S73</f>
        <v>345.14199999999988</v>
      </c>
    </row>
    <row r="74" spans="1:20" x14ac:dyDescent="0.25">
      <c r="A74" s="71" t="s">
        <v>78</v>
      </c>
      <c r="B74" s="71">
        <v>1221</v>
      </c>
      <c r="C74" s="71">
        <v>70</v>
      </c>
      <c r="D74" s="71">
        <v>0.6</v>
      </c>
      <c r="E74" s="71">
        <f t="shared" si="30"/>
        <v>8.5470000000000004E-2</v>
      </c>
      <c r="F74" s="20"/>
      <c r="G74" s="7" t="s">
        <v>7</v>
      </c>
      <c r="H74" s="71">
        <f>ROUND(Q74+T74/Раскройка!$F$2,0)</f>
        <v>317</v>
      </c>
      <c r="I74" s="71" t="s">
        <v>75</v>
      </c>
      <c r="J74" s="71">
        <v>2</v>
      </c>
      <c r="K74" s="71" t="s">
        <v>44</v>
      </c>
      <c r="L74" s="71">
        <v>4</v>
      </c>
      <c r="M74" s="71">
        <f>E74*(0.25*(VLOOKUP(I74,Покрытия!$A$2:$B$40,2,FALSE)*J74+VLOOKUP(K74,Покрытия!$A$2:$B$40,2,FALSE)*L74)+H74)</f>
        <v>180.93999000000002</v>
      </c>
      <c r="N74" s="71">
        <v>4</v>
      </c>
      <c r="O74" s="71">
        <f t="shared" si="31"/>
        <v>723.75996000000009</v>
      </c>
      <c r="P74" s="72"/>
      <c r="Q74" s="71">
        <f t="array" ref="Q74">INDEX(Материалы!$C$2:$C$50,MATCH(G74&amp;D74,Материалы!$A$2:$A$50&amp;Материалы!$B$2:$B$50,0))</f>
        <v>277</v>
      </c>
      <c r="R74" s="71">
        <f>FLOOR(Раскройка!$D$2/B74,1)*FLOOR(Раскройка!$C$2/C74,1)</f>
        <v>58</v>
      </c>
      <c r="S74" s="71">
        <f>MAX(Раскройка!$F$2-E74*R74,0)</f>
        <v>0.84273999999999916</v>
      </c>
      <c r="T74" s="71">
        <f t="shared" si="32"/>
        <v>233.43897999999976</v>
      </c>
    </row>
    <row r="75" spans="1:20" x14ac:dyDescent="0.25">
      <c r="A75" s="71" t="s">
        <v>129</v>
      </c>
      <c r="B75" s="71">
        <f>B73</f>
        <v>575</v>
      </c>
      <c r="C75" s="71">
        <v>115</v>
      </c>
      <c r="D75" s="71">
        <v>0.6</v>
      </c>
      <c r="E75" s="71">
        <f t="shared" si="30"/>
        <v>6.6125000000000003E-2</v>
      </c>
      <c r="F75" s="20"/>
      <c r="G75" s="7" t="s">
        <v>7</v>
      </c>
      <c r="H75" s="71">
        <f>ROUND(Q75+T75/Раскройка!$F$2,0)</f>
        <v>327</v>
      </c>
      <c r="I75" s="71" t="s">
        <v>75</v>
      </c>
      <c r="J75" s="71">
        <v>2</v>
      </c>
      <c r="K75" s="71" t="s">
        <v>44</v>
      </c>
      <c r="L75" s="71">
        <v>4</v>
      </c>
      <c r="M75" s="71">
        <f>E75*(0.25*(VLOOKUP(I75,Покрытия!$A$2:$B$40,2,FALSE)*J75+VLOOKUP(K75,Покрытия!$A$2:$B$40,2,FALSE)*L75)+H75)</f>
        <v>140.647875</v>
      </c>
      <c r="N75" s="71">
        <v>4</v>
      </c>
      <c r="O75" s="71">
        <f t="shared" si="31"/>
        <v>562.5915</v>
      </c>
      <c r="P75" s="72"/>
      <c r="Q75" s="71">
        <f t="array" ref="Q75">INDEX(Материалы!$C$2:$C$50,MATCH(G75&amp;D75,Материалы!$A$2:$A$50&amp;Материалы!$B$2:$B$50,0))</f>
        <v>277</v>
      </c>
      <c r="R75" s="71">
        <f>FLOOR(Раскройка!$D$2/B75,1)*FLOOR(Раскройка!$C$2/C75,1)</f>
        <v>72</v>
      </c>
      <c r="S75" s="71">
        <f>MAX(Раскройка!$F$2-E75*R75,0)</f>
        <v>1.0389999999999997</v>
      </c>
      <c r="T75" s="71">
        <f t="shared" si="32"/>
        <v>287.80299999999994</v>
      </c>
    </row>
    <row r="76" spans="1:20" x14ac:dyDescent="0.25">
      <c r="A76" s="71" t="s">
        <v>107</v>
      </c>
      <c r="B76" s="71">
        <f>B73</f>
        <v>575</v>
      </c>
      <c r="C76" s="71">
        <v>103</v>
      </c>
      <c r="D76" s="71">
        <v>0.6</v>
      </c>
      <c r="E76" s="71">
        <f t="shared" si="30"/>
        <v>5.9225E-2</v>
      </c>
      <c r="F76" s="20"/>
      <c r="G76" s="7" t="s">
        <v>7</v>
      </c>
      <c r="H76" s="71">
        <f>ROUND(Q76+T76/Раскройка!$F$2,0)</f>
        <v>328</v>
      </c>
      <c r="I76" s="71" t="s">
        <v>75</v>
      </c>
      <c r="J76" s="71">
        <v>2</v>
      </c>
      <c r="K76" s="71" t="s">
        <v>44</v>
      </c>
      <c r="L76" s="71">
        <v>4</v>
      </c>
      <c r="M76" s="71">
        <f>E76*(0.25*(VLOOKUP(I76,Покрытия!$A$2:$B$40,2,FALSE)*J76+VLOOKUP(K76,Покрытия!$A$2:$B$40,2,FALSE)*L76)+H76)</f>
        <v>126.0308</v>
      </c>
      <c r="N76" s="71">
        <v>4</v>
      </c>
      <c r="O76" s="71">
        <f t="shared" si="31"/>
        <v>504.1232</v>
      </c>
      <c r="P76" s="72"/>
      <c r="Q76" s="71">
        <f t="array" ref="Q76">INDEX(Материалы!$C$2:$C$50,MATCH(G76&amp;D76,Материалы!$A$2:$A$50&amp;Материалы!$B$2:$B$50,0))</f>
        <v>277</v>
      </c>
      <c r="R76" s="71">
        <f>FLOOR(Раскройка!$D$2/B76,1)*FLOOR(Раскройка!$C$2/C76,1)</f>
        <v>80</v>
      </c>
      <c r="S76" s="71">
        <f>MAX(Раскройка!$F$2-E76*R76,0)</f>
        <v>1.0620000000000003</v>
      </c>
      <c r="T76" s="71">
        <f t="shared" si="32"/>
        <v>294.17400000000009</v>
      </c>
    </row>
    <row r="78" spans="1:20" x14ac:dyDescent="0.25">
      <c r="A78" s="65" t="s">
        <v>77</v>
      </c>
      <c r="B78" s="65">
        <v>815</v>
      </c>
      <c r="C78" s="65">
        <v>165</v>
      </c>
      <c r="D78" s="65">
        <v>18</v>
      </c>
      <c r="E78" s="65">
        <f t="shared" ref="E78:E81" si="33">B78*C78/1000000</f>
        <v>0.13447500000000001</v>
      </c>
      <c r="F78" s="20"/>
      <c r="G78" s="7" t="s">
        <v>12</v>
      </c>
      <c r="H78" s="65">
        <f>ROUND(Q78+T78/Раскройка!$F$2,0)</f>
        <v>583</v>
      </c>
      <c r="I78" s="71" t="s">
        <v>75</v>
      </c>
      <c r="J78" s="65">
        <v>0</v>
      </c>
      <c r="K78" s="71" t="s">
        <v>44</v>
      </c>
      <c r="L78" s="65">
        <v>0</v>
      </c>
      <c r="M78" s="65">
        <f>E78*(0.25*(VLOOKUP(I78,Покрытия!$A$2:$B$40,2,FALSE)*J78+VLOOKUP(K78,Покрытия!$A$2:$B$40,2,FALSE)*L78)+H78)</f>
        <v>78.398925000000006</v>
      </c>
      <c r="N78" s="65">
        <v>2</v>
      </c>
      <c r="O78" s="65">
        <f t="shared" ref="O78:O81" si="34">M78*N78</f>
        <v>156.79785000000001</v>
      </c>
      <c r="P78" s="66"/>
      <c r="Q78" s="65">
        <f t="array" ref="Q78">INDEX(Материалы!$C$2:$C$50,MATCH(G78&amp;D78,Материалы!$A$2:$A$50&amp;Материалы!$B$2:$B$50,0))</f>
        <v>500</v>
      </c>
      <c r="R78" s="65">
        <f>FLOOR(Раскройка!$D$2/B78,1)*FLOOR(Раскройка!$C$2/C78,1)</f>
        <v>36</v>
      </c>
      <c r="S78" s="65">
        <f>MAX(Раскройка!$F$2-E78*R78,0)</f>
        <v>0.95889999999999898</v>
      </c>
      <c r="T78" s="65">
        <f t="shared" ref="T78:T81" si="35">Q78*S78</f>
        <v>479.44999999999948</v>
      </c>
    </row>
    <row r="79" spans="1:20" x14ac:dyDescent="0.25">
      <c r="A79" s="65" t="s">
        <v>78</v>
      </c>
      <c r="B79" s="65">
        <v>1221</v>
      </c>
      <c r="C79" s="65">
        <v>70</v>
      </c>
      <c r="D79" s="65">
        <v>18</v>
      </c>
      <c r="E79" s="65">
        <f t="shared" si="33"/>
        <v>8.5470000000000004E-2</v>
      </c>
      <c r="F79" s="20"/>
      <c r="G79" s="7" t="s">
        <v>12</v>
      </c>
      <c r="H79" s="65">
        <f>ROUND(Q79+T79/Раскройка!$F$2,0)</f>
        <v>573</v>
      </c>
      <c r="I79" s="71" t="s">
        <v>75</v>
      </c>
      <c r="J79" s="65">
        <v>0</v>
      </c>
      <c r="K79" s="71" t="s">
        <v>44</v>
      </c>
      <c r="L79" s="65">
        <v>0</v>
      </c>
      <c r="M79" s="65">
        <f>E79*(0.25*(VLOOKUP(I79,Покрытия!$A$2:$B$40,2,FALSE)*J79+VLOOKUP(K79,Покрытия!$A$2:$B$40,2,FALSE)*L79)+H79)</f>
        <v>48.974310000000003</v>
      </c>
      <c r="N79" s="65">
        <v>2</v>
      </c>
      <c r="O79" s="65">
        <f t="shared" si="34"/>
        <v>97.948620000000005</v>
      </c>
      <c r="P79" s="66"/>
      <c r="Q79" s="65">
        <f t="array" ref="Q79">INDEX(Материалы!$C$2:$C$50,MATCH(G79&amp;D79,Материалы!$A$2:$A$50&amp;Материалы!$B$2:$B$50,0))</f>
        <v>500</v>
      </c>
      <c r="R79" s="65">
        <f>FLOOR(Раскройка!$D$2/B79,1)*FLOOR(Раскройка!$C$2/C79,1)</f>
        <v>58</v>
      </c>
      <c r="S79" s="65">
        <f>MAX(Раскройка!$F$2-E79*R79,0)</f>
        <v>0.84273999999999916</v>
      </c>
      <c r="T79" s="65">
        <f t="shared" si="35"/>
        <v>421.36999999999955</v>
      </c>
    </row>
    <row r="80" spans="1:20" x14ac:dyDescent="0.25">
      <c r="A80" s="65" t="s">
        <v>129</v>
      </c>
      <c r="B80" s="65">
        <f>B78</f>
        <v>815</v>
      </c>
      <c r="C80" s="65">
        <v>115</v>
      </c>
      <c r="D80" s="65">
        <v>16</v>
      </c>
      <c r="E80" s="65">
        <f t="shared" si="33"/>
        <v>9.3725000000000003E-2</v>
      </c>
      <c r="F80" s="20"/>
      <c r="G80" s="7" t="s">
        <v>12</v>
      </c>
      <c r="H80" s="65">
        <f>ROUND(Q80+T80/Раскройка!$F$2,0)</f>
        <v>728</v>
      </c>
      <c r="I80" s="71" t="s">
        <v>75</v>
      </c>
      <c r="J80" s="65">
        <v>0</v>
      </c>
      <c r="K80" s="71" t="s">
        <v>44</v>
      </c>
      <c r="L80" s="65">
        <v>0</v>
      </c>
      <c r="M80" s="65">
        <f>E80*(0.25*(VLOOKUP(I80,Покрытия!$A$2:$B$40,2,FALSE)*J80+VLOOKUP(K80,Покрытия!$A$2:$B$40,2,FALSE)*L80)+H80)</f>
        <v>68.231800000000007</v>
      </c>
      <c r="N80" s="65">
        <v>2</v>
      </c>
      <c r="O80" s="65">
        <f t="shared" si="34"/>
        <v>136.46360000000001</v>
      </c>
      <c r="P80" s="66"/>
      <c r="Q80" s="65">
        <f t="array" ref="Q80">INDEX(Материалы!$C$2:$C$50,MATCH(G80&amp;D80,Материалы!$A$2:$A$50&amp;Материалы!$B$2:$B$50,0))</f>
        <v>646</v>
      </c>
      <c r="R80" s="65">
        <f>FLOOR(Раскройка!$D$2/B80,1)*FLOOR(Раскройка!$C$2/C80,1)</f>
        <v>54</v>
      </c>
      <c r="S80" s="65">
        <f>MAX(Раскройка!$F$2-E80*R80,0)</f>
        <v>0.73884999999999934</v>
      </c>
      <c r="T80" s="65">
        <f t="shared" si="35"/>
        <v>477.29709999999955</v>
      </c>
    </row>
    <row r="81" spans="1:20" x14ac:dyDescent="0.25">
      <c r="A81" s="65" t="s">
        <v>107</v>
      </c>
      <c r="B81" s="65">
        <f>B78</f>
        <v>815</v>
      </c>
      <c r="C81" s="65">
        <v>103</v>
      </c>
      <c r="D81" s="65">
        <v>18</v>
      </c>
      <c r="E81" s="65">
        <f t="shared" si="33"/>
        <v>8.3945000000000006E-2</v>
      </c>
      <c r="F81" s="20"/>
      <c r="G81" s="7" t="s">
        <v>12</v>
      </c>
      <c r="H81" s="65">
        <f>ROUND(Q81+T81/Раскройка!$F$2,0)</f>
        <v>566</v>
      </c>
      <c r="I81" s="71" t="s">
        <v>75</v>
      </c>
      <c r="J81" s="65">
        <v>0</v>
      </c>
      <c r="K81" s="71" t="s">
        <v>44</v>
      </c>
      <c r="L81" s="65">
        <v>0</v>
      </c>
      <c r="M81" s="65">
        <f>E81*(0.25*(VLOOKUP(I81,Покрытия!$A$2:$B$40,2,FALSE)*J81+VLOOKUP(K81,Покрытия!$A$2:$B$40,2,FALSE)*L81)+H81)</f>
        <v>47.512870000000007</v>
      </c>
      <c r="N81" s="65">
        <v>2</v>
      </c>
      <c r="O81" s="65">
        <f t="shared" si="34"/>
        <v>95.025740000000013</v>
      </c>
      <c r="P81" s="66"/>
      <c r="Q81" s="65">
        <f t="array" ref="Q81">INDEX(Материалы!$C$2:$C$50,MATCH(G81&amp;D81,Материалы!$A$2:$A$50&amp;Материалы!$B$2:$B$50,0))</f>
        <v>500</v>
      </c>
      <c r="R81" s="65">
        <f>FLOOR(Раскройка!$D$2/B81,1)*FLOOR(Раскройка!$C$2/C81,1)</f>
        <v>60</v>
      </c>
      <c r="S81" s="65">
        <f>MAX(Раскройка!$F$2-E81*R81,0)</f>
        <v>0.7632999999999992</v>
      </c>
      <c r="T81" s="65">
        <f t="shared" si="35"/>
        <v>381.64999999999958</v>
      </c>
    </row>
    <row r="82" spans="1:20" x14ac:dyDescent="0.25">
      <c r="A82" s="65" t="s">
        <v>144</v>
      </c>
      <c r="B82" s="65">
        <f>B78-70*2</f>
        <v>675</v>
      </c>
      <c r="C82" s="65">
        <v>23</v>
      </c>
      <c r="D82" s="65">
        <v>23</v>
      </c>
      <c r="E82" s="65">
        <f>B82*C82*D82/1000000000</f>
        <v>3.5707499999999999E-4</v>
      </c>
      <c r="F82" s="65">
        <f>B82*C82/1000000</f>
        <v>1.5525000000000001E-2</v>
      </c>
      <c r="G82" s="71" t="s">
        <v>16</v>
      </c>
      <c r="H82" s="65">
        <f>ROUND(Q82+T82/Раскройка!$F$11,0)</f>
        <v>53452</v>
      </c>
      <c r="I82" s="71" t="s">
        <v>75</v>
      </c>
      <c r="J82" s="65">
        <v>2</v>
      </c>
      <c r="K82" s="71" t="s">
        <v>44</v>
      </c>
      <c r="L82" s="65">
        <v>4</v>
      </c>
      <c r="M82" s="65">
        <f>E82*H82+0.25*((VLOOKUP(I82,Покрытия!$A$2:$B$50,2,FALSE)*J82+VLOOKUP(K82,Покрытия!$A$2:$B$50,2,FALSE)*L82)*F82)</f>
        <v>47.031372900000001</v>
      </c>
      <c r="N82" s="65">
        <v>2</v>
      </c>
      <c r="O82" s="65">
        <f>M82*N82</f>
        <v>94.062745800000002</v>
      </c>
      <c r="P82" s="66"/>
      <c r="Q82" s="65">
        <f>INDEX(Материалы!$C$2:$C$50,MATCH(G82,Материалы!$A$2:$A$50,0))</f>
        <v>45500</v>
      </c>
      <c r="R82" s="65">
        <f>FLOOR(Раскройка!$C$11/C82,1)*FLOOR(Раскройка!$D$11/B82,1)</f>
        <v>52</v>
      </c>
      <c r="S82" s="65">
        <f>MAX(Раскройка!$F$11-E82*R82,0)</f>
        <v>3.9321000000000009E-3</v>
      </c>
      <c r="T82" s="65">
        <f>Q82*S82</f>
        <v>178.91055000000003</v>
      </c>
    </row>
    <row r="83" spans="1:20" x14ac:dyDescent="0.25">
      <c r="A83" s="65" t="s">
        <v>145</v>
      </c>
      <c r="B83" s="65">
        <f>B79-165*2</f>
        <v>891</v>
      </c>
      <c r="C83" s="65">
        <v>23</v>
      </c>
      <c r="D83" s="65">
        <v>23</v>
      </c>
      <c r="E83" s="65">
        <f>B83*C83*D83/1000000000</f>
        <v>4.7133899999999998E-4</v>
      </c>
      <c r="F83" s="65">
        <f>B83*C83/1000000</f>
        <v>2.0493000000000001E-2</v>
      </c>
      <c r="G83" s="71" t="s">
        <v>16</v>
      </c>
      <c r="H83" s="65">
        <f>ROUND(Q83+T83/Раскройка!$F$11,0)</f>
        <v>53827</v>
      </c>
      <c r="I83" s="71" t="s">
        <v>75</v>
      </c>
      <c r="J83" s="65">
        <v>2</v>
      </c>
      <c r="K83" s="71" t="s">
        <v>44</v>
      </c>
      <c r="L83" s="65">
        <v>4</v>
      </c>
      <c r="M83" s="65">
        <f>E83*H83+0.25*((VLOOKUP(I83,Покрытия!$A$2:$B$50,2,FALSE)*J83+VLOOKUP(K83,Покрытия!$A$2:$B$50,2,FALSE)*L83)*F83)</f>
        <v>62.258164352999998</v>
      </c>
      <c r="N83" s="65">
        <v>2</v>
      </c>
      <c r="O83" s="65">
        <f>M83*N83</f>
        <v>124.516328706</v>
      </c>
      <c r="P83" s="66"/>
      <c r="Q83" s="65">
        <f t="array" ref="Q83">INDEX(Материалы!$C$2:$C$50,MATCH(G83,Материалы!$A$2:$A$50,0))</f>
        <v>45500</v>
      </c>
      <c r="R83" s="65">
        <f>FLOOR(Раскройка!$C$11/C83,1)*FLOOR(Раскройка!$D$11/B83,1)</f>
        <v>39</v>
      </c>
      <c r="S83" s="65">
        <f>MAX(Раскройка!$F$11-E83*R83,0)</f>
        <v>4.1177789999999985E-3</v>
      </c>
      <c r="T83" s="65">
        <f>Q83*S83</f>
        <v>187.35894449999992</v>
      </c>
    </row>
    <row r="84" spans="1:20" x14ac:dyDescent="0.25">
      <c r="A84" s="65" t="s">
        <v>184</v>
      </c>
      <c r="B84" s="65">
        <f>(121+64)*2</f>
        <v>370</v>
      </c>
      <c r="C84" s="65">
        <v>145</v>
      </c>
      <c r="D84" s="65">
        <v>8</v>
      </c>
      <c r="E84" s="65">
        <f>B84*C84*D84/1000000000</f>
        <v>4.2920000000000002E-4</v>
      </c>
      <c r="F84" s="65">
        <f>B84*C84/1000000</f>
        <v>5.3650000000000003E-2</v>
      </c>
      <c r="G84" s="71" t="s">
        <v>16</v>
      </c>
      <c r="H84" s="65">
        <f>ROUND(Q84+T84/Раскройка!$F$11,0)</f>
        <v>77113</v>
      </c>
      <c r="I84" s="71" t="s">
        <v>75</v>
      </c>
      <c r="J84" s="65">
        <v>2</v>
      </c>
      <c r="K84" s="71" t="s">
        <v>44</v>
      </c>
      <c r="L84" s="65">
        <v>4</v>
      </c>
      <c r="M84" s="65">
        <f>E84*H84+0.25*((VLOOKUP(I84,Покрытия!$A$2:$B$50,2,FALSE)*J84+VLOOKUP(K84,Покрытия!$A$2:$B$50,2,FALSE)*L84)*F84)</f>
        <v>129.66689960000002</v>
      </c>
      <c r="N84" s="65">
        <v>2</v>
      </c>
      <c r="O84" s="65">
        <f>M84*N84</f>
        <v>259.33379920000004</v>
      </c>
      <c r="P84" s="66"/>
      <c r="Q84" s="65">
        <f t="array" ref="Q84">INDEX(Материалы!$C$2:$C$50,MATCH(G84,Материалы!$A$2:$A$50,0))</f>
        <v>45500</v>
      </c>
      <c r="R84" s="65">
        <f>FLOOR(Раскройка!$C$11/C84,1)*FLOOR(Раскройка!$D$11/B84,1)</f>
        <v>16</v>
      </c>
      <c r="S84" s="65">
        <f>MAX(Раскройка!$F$11-E84*R84,0)</f>
        <v>1.5632799999999999E-2</v>
      </c>
      <c r="T84" s="65">
        <f>Q84*S84</f>
        <v>711.29239999999993</v>
      </c>
    </row>
    <row r="85" spans="1:20" x14ac:dyDescent="0.25">
      <c r="A85" s="65" t="s">
        <v>189</v>
      </c>
      <c r="B85" s="65">
        <f>(95+64)*2</f>
        <v>318</v>
      </c>
      <c r="C85" s="65">
        <v>74</v>
      </c>
      <c r="D85" s="65">
        <v>20</v>
      </c>
      <c r="E85" s="65">
        <f>B85*C85*D85/1000000000</f>
        <v>4.7063999999999998E-4</v>
      </c>
      <c r="F85" s="65">
        <f>B85*C85/1000000</f>
        <v>2.3532000000000001E-2</v>
      </c>
      <c r="G85" s="71" t="s">
        <v>16</v>
      </c>
      <c r="H85" s="65">
        <f>ROUND(Q85+T85/Раскройка!$F$11,0)</f>
        <v>56737</v>
      </c>
      <c r="I85" s="71" t="s">
        <v>75</v>
      </c>
      <c r="J85" s="65">
        <v>2</v>
      </c>
      <c r="K85" s="71" t="s">
        <v>44</v>
      </c>
      <c r="L85" s="65">
        <v>4</v>
      </c>
      <c r="M85" s="65">
        <f>E85*H85+0.25*((VLOOKUP(I85,Покрытия!$A$2:$B$50,2,FALSE)*J85+VLOOKUP(K85,Покрытия!$A$2:$B$50,2,FALSE)*L85)*F85)</f>
        <v>69.060301680000009</v>
      </c>
      <c r="N85" s="65">
        <v>1</v>
      </c>
      <c r="O85" s="65">
        <f>M85*N85</f>
        <v>69.060301680000009</v>
      </c>
      <c r="P85" s="66"/>
      <c r="Q85" s="65">
        <f t="array" ref="Q85">INDEX(Материалы!$C$2:$C$50,MATCH(G85,Материалы!$A$2:$A$50,0))</f>
        <v>45500</v>
      </c>
      <c r="R85" s="65">
        <f>FLOOR(Раскройка!$C$11/C85,1)*FLOOR(Раскройка!$D$11/B85,1)</f>
        <v>36</v>
      </c>
      <c r="S85" s="65">
        <f>MAX(Раскройка!$F$11-E85*R85,0)</f>
        <v>5.5569599999999997E-3</v>
      </c>
      <c r="T85" s="65">
        <f>Q85*S85</f>
        <v>252.84168</v>
      </c>
    </row>
    <row r="86" spans="1:20" x14ac:dyDescent="0.25">
      <c r="A86" s="71" t="s">
        <v>77</v>
      </c>
      <c r="B86" s="71">
        <v>815</v>
      </c>
      <c r="C86" s="71">
        <v>165</v>
      </c>
      <c r="D86" s="71">
        <v>0.6</v>
      </c>
      <c r="E86" s="71">
        <f t="shared" ref="E86:E89" si="36">B86*C86/1000000</f>
        <v>0.13447500000000001</v>
      </c>
      <c r="F86" s="20"/>
      <c r="G86" s="7" t="s">
        <v>7</v>
      </c>
      <c r="H86" s="71">
        <f>ROUND(Q86+T86/Раскройка!$F$2,0)</f>
        <v>323</v>
      </c>
      <c r="I86" s="71" t="s">
        <v>75</v>
      </c>
      <c r="J86" s="71">
        <v>2</v>
      </c>
      <c r="K86" s="71" t="s">
        <v>44</v>
      </c>
      <c r="L86" s="71">
        <v>4</v>
      </c>
      <c r="M86" s="71">
        <f>E86*(0.25*(VLOOKUP(I86,Покрытия!$A$2:$B$40,2,FALSE)*J86+VLOOKUP(K86,Покрытия!$A$2:$B$40,2,FALSE)*L86)+H86)</f>
        <v>285.49042500000002</v>
      </c>
      <c r="N86" s="71">
        <v>4</v>
      </c>
      <c r="O86" s="71">
        <f t="shared" ref="O86:O89" si="37">M86*N86</f>
        <v>1141.9617000000001</v>
      </c>
      <c r="P86" s="72"/>
      <c r="Q86" s="71">
        <f t="array" ref="Q86">INDEX(Материалы!$C$2:$C$50,MATCH(G86&amp;D86,Материалы!$A$2:$A$50&amp;Материалы!$B$2:$B$50,0))</f>
        <v>277</v>
      </c>
      <c r="R86" s="71">
        <f>FLOOR(Раскройка!$D$2/B86,1)*FLOOR(Раскройка!$C$2/C86,1)</f>
        <v>36</v>
      </c>
      <c r="S86" s="71">
        <f>MAX(Раскройка!$F$2-E86*R86,0)</f>
        <v>0.95889999999999898</v>
      </c>
      <c r="T86" s="71">
        <f t="shared" ref="T86:T89" si="38">Q86*S86</f>
        <v>265.61529999999971</v>
      </c>
    </row>
    <row r="87" spans="1:20" x14ac:dyDescent="0.25">
      <c r="A87" s="71" t="s">
        <v>78</v>
      </c>
      <c r="B87" s="71">
        <v>1221</v>
      </c>
      <c r="C87" s="71">
        <v>70</v>
      </c>
      <c r="D87" s="71">
        <v>0.6</v>
      </c>
      <c r="E87" s="71">
        <f t="shared" si="36"/>
        <v>8.5470000000000004E-2</v>
      </c>
      <c r="F87" s="20"/>
      <c r="G87" s="7" t="s">
        <v>7</v>
      </c>
      <c r="H87" s="71">
        <f>ROUND(Q87+T87/Раскройка!$F$2,0)</f>
        <v>317</v>
      </c>
      <c r="I87" s="71" t="s">
        <v>75</v>
      </c>
      <c r="J87" s="71">
        <v>2</v>
      </c>
      <c r="K87" s="71" t="s">
        <v>44</v>
      </c>
      <c r="L87" s="71">
        <v>4</v>
      </c>
      <c r="M87" s="71">
        <f>E87*(0.25*(VLOOKUP(I87,Покрытия!$A$2:$B$40,2,FALSE)*J87+VLOOKUP(K87,Покрытия!$A$2:$B$40,2,FALSE)*L87)+H87)</f>
        <v>180.93999000000002</v>
      </c>
      <c r="N87" s="71">
        <v>4</v>
      </c>
      <c r="O87" s="71">
        <f t="shared" si="37"/>
        <v>723.75996000000009</v>
      </c>
      <c r="P87" s="72"/>
      <c r="Q87" s="71">
        <f t="array" ref="Q87">INDEX(Материалы!$C$2:$C$50,MATCH(G87&amp;D87,Материалы!$A$2:$A$50&amp;Материалы!$B$2:$B$50,0))</f>
        <v>277</v>
      </c>
      <c r="R87" s="71">
        <f>FLOOR(Раскройка!$D$2/B87,1)*FLOOR(Раскройка!$C$2/C87,1)</f>
        <v>58</v>
      </c>
      <c r="S87" s="71">
        <f>MAX(Раскройка!$F$2-E87*R87,0)</f>
        <v>0.84273999999999916</v>
      </c>
      <c r="T87" s="71">
        <f t="shared" si="38"/>
        <v>233.43897999999976</v>
      </c>
    </row>
    <row r="88" spans="1:20" x14ac:dyDescent="0.25">
      <c r="A88" s="71" t="s">
        <v>129</v>
      </c>
      <c r="B88" s="71">
        <f>B86</f>
        <v>815</v>
      </c>
      <c r="C88" s="71">
        <v>115</v>
      </c>
      <c r="D88" s="71">
        <v>0.6</v>
      </c>
      <c r="E88" s="71">
        <f t="shared" si="36"/>
        <v>9.3725000000000003E-2</v>
      </c>
      <c r="F88" s="20"/>
      <c r="G88" s="7" t="s">
        <v>7</v>
      </c>
      <c r="H88" s="71">
        <f>ROUND(Q88+T88/Раскройка!$F$2,0)</f>
        <v>312</v>
      </c>
      <c r="I88" s="71" t="s">
        <v>75</v>
      </c>
      <c r="J88" s="71">
        <v>2</v>
      </c>
      <c r="K88" s="71" t="s">
        <v>44</v>
      </c>
      <c r="L88" s="71">
        <v>4</v>
      </c>
      <c r="M88" s="71">
        <f>E88*(0.25*(VLOOKUP(I88,Покрытия!$A$2:$B$40,2,FALSE)*J88+VLOOKUP(K88,Покрытия!$A$2:$B$40,2,FALSE)*L88)+H88)</f>
        <v>197.94720000000001</v>
      </c>
      <c r="N88" s="71">
        <v>4</v>
      </c>
      <c r="O88" s="71">
        <f t="shared" si="37"/>
        <v>791.78880000000004</v>
      </c>
      <c r="P88" s="72"/>
      <c r="Q88" s="71">
        <f t="array" ref="Q88">INDEX(Материалы!$C$2:$C$50,MATCH(G88&amp;D88,Материалы!$A$2:$A$50&amp;Материалы!$B$2:$B$50,0))</f>
        <v>277</v>
      </c>
      <c r="R88" s="71">
        <f>FLOOR(Раскройка!$D$2/B88,1)*FLOOR(Раскройка!$C$2/C88,1)</f>
        <v>54</v>
      </c>
      <c r="S88" s="71">
        <f>MAX(Раскройка!$F$2-E88*R88,0)</f>
        <v>0.73884999999999934</v>
      </c>
      <c r="T88" s="71">
        <f t="shared" si="38"/>
        <v>204.66144999999983</v>
      </c>
    </row>
    <row r="89" spans="1:20" x14ac:dyDescent="0.25">
      <c r="A89" s="71" t="s">
        <v>107</v>
      </c>
      <c r="B89" s="71">
        <f>B86</f>
        <v>815</v>
      </c>
      <c r="C89" s="71">
        <v>103</v>
      </c>
      <c r="D89" s="71">
        <v>0.6</v>
      </c>
      <c r="E89" s="71">
        <f t="shared" si="36"/>
        <v>8.3945000000000006E-2</v>
      </c>
      <c r="F89" s="20"/>
      <c r="G89" s="7" t="s">
        <v>7</v>
      </c>
      <c r="H89" s="71">
        <f>ROUND(Q89+T89/Раскройка!$F$2,0)</f>
        <v>313</v>
      </c>
      <c r="I89" s="71" t="s">
        <v>75</v>
      </c>
      <c r="J89" s="71">
        <v>2</v>
      </c>
      <c r="K89" s="71" t="s">
        <v>44</v>
      </c>
      <c r="L89" s="71">
        <v>4</v>
      </c>
      <c r="M89" s="71">
        <f>E89*(0.25*(VLOOKUP(I89,Покрытия!$A$2:$B$40,2,FALSE)*J89+VLOOKUP(K89,Покрытия!$A$2:$B$40,2,FALSE)*L89)+H89)</f>
        <v>177.37578500000001</v>
      </c>
      <c r="N89" s="71">
        <v>4</v>
      </c>
      <c r="O89" s="71">
        <f t="shared" si="37"/>
        <v>709.50314000000003</v>
      </c>
      <c r="P89" s="72"/>
      <c r="Q89" s="71">
        <f t="array" ref="Q89">INDEX(Материалы!$C$2:$C$50,MATCH(G89&amp;D89,Материалы!$A$2:$A$50&amp;Материалы!$B$2:$B$50,0))</f>
        <v>277</v>
      </c>
      <c r="R89" s="71">
        <f>FLOOR(Раскройка!$D$2/B89,1)*FLOOR(Раскройка!$C$2/C89,1)</f>
        <v>60</v>
      </c>
      <c r="S89" s="71">
        <f>MAX(Раскройка!$F$2-E89*R89,0)</f>
        <v>0.7632999999999992</v>
      </c>
      <c r="T89" s="71">
        <f t="shared" si="38"/>
        <v>211.43409999999977</v>
      </c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8" scale="53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69"/>
  <sheetViews>
    <sheetView workbookViewId="0">
      <selection activeCell="E114" sqref="E114"/>
    </sheetView>
  </sheetViews>
  <sheetFormatPr defaultRowHeight="15" x14ac:dyDescent="0.25"/>
  <cols>
    <col min="1" max="1" width="38.7109375" customWidth="1"/>
    <col min="7" max="8" width="16.42578125" customWidth="1"/>
    <col min="10" max="10" width="13.5703125" customWidth="1"/>
    <col min="12" max="12" width="13.5703125" customWidth="1"/>
    <col min="13" max="13" width="15" customWidth="1"/>
    <col min="14" max="14" width="16.28515625" customWidth="1"/>
    <col min="17" max="20" width="0" hidden="1" customWidth="1"/>
  </cols>
  <sheetData>
    <row r="1" spans="1:21" x14ac:dyDescent="0.25">
      <c r="A1" s="68" t="s">
        <v>92</v>
      </c>
      <c r="B1" s="69" t="s">
        <v>91</v>
      </c>
      <c r="C1" s="87" t="s">
        <v>183</v>
      </c>
      <c r="D1" s="85"/>
      <c r="E1" s="85"/>
      <c r="F1" s="86"/>
      <c r="G1" s="69" t="s">
        <v>58</v>
      </c>
    </row>
    <row r="2" spans="1:21" ht="12" customHeight="1" x14ac:dyDescent="0.25">
      <c r="A2" s="35" t="s">
        <v>216</v>
      </c>
      <c r="B2" s="67">
        <v>2</v>
      </c>
      <c r="C2" s="87">
        <f>ROUND(SUM(O14:O23),0)</f>
        <v>11249</v>
      </c>
      <c r="D2" s="85"/>
      <c r="E2" s="85"/>
      <c r="F2" s="86"/>
      <c r="G2" s="88">
        <f>ROUND(SUM(C2*B2,C3*B3,C4*B4,C5*B5,C6*B6,C7*B7,C8*B8,C9*B9,C10*B10,C11*B11),0)</f>
        <v>161438</v>
      </c>
    </row>
    <row r="3" spans="1:21" x14ac:dyDescent="0.25">
      <c r="A3" s="35" t="s">
        <v>193</v>
      </c>
      <c r="B3" s="67">
        <v>2</v>
      </c>
      <c r="C3" s="87">
        <f>ROUND(SUM(O26:O47),0)</f>
        <v>17457</v>
      </c>
      <c r="D3" s="85"/>
      <c r="E3" s="85"/>
      <c r="F3" s="86"/>
      <c r="G3" s="89"/>
    </row>
    <row r="4" spans="1:21" ht="17.25" customHeight="1" x14ac:dyDescent="0.25">
      <c r="A4" s="35" t="s">
        <v>199</v>
      </c>
      <c r="B4" s="67">
        <v>1</v>
      </c>
      <c r="C4" s="87">
        <f>ROUND(SUM(O50:O55),0)</f>
        <v>2564</v>
      </c>
      <c r="D4" s="85"/>
      <c r="E4" s="85"/>
      <c r="F4" s="86"/>
      <c r="G4" s="89"/>
    </row>
    <row r="5" spans="1:21" x14ac:dyDescent="0.25">
      <c r="A5" s="35" t="s">
        <v>198</v>
      </c>
      <c r="B5" s="67">
        <v>1</v>
      </c>
      <c r="C5" s="87">
        <f>ROUND(SUM(O58:O63),0)</f>
        <v>2590</v>
      </c>
      <c r="D5" s="85"/>
      <c r="E5" s="85"/>
      <c r="F5" s="86"/>
      <c r="G5" s="89"/>
    </row>
    <row r="6" spans="1:21" x14ac:dyDescent="0.25">
      <c r="A6" s="35" t="s">
        <v>114</v>
      </c>
      <c r="B6" s="67">
        <v>1</v>
      </c>
      <c r="C6" s="87">
        <f>ROUND(SUM(O66:O73),0)</f>
        <v>7040</v>
      </c>
      <c r="D6" s="85"/>
      <c r="E6" s="85"/>
      <c r="F6" s="86"/>
      <c r="G6" s="89"/>
    </row>
    <row r="7" spans="1:21" x14ac:dyDescent="0.25">
      <c r="A7" s="35" t="s">
        <v>214</v>
      </c>
      <c r="B7" s="67">
        <f>(2230+2056)/1000</f>
        <v>4.2859999999999996</v>
      </c>
      <c r="C7" s="87">
        <f>ROUND(SUM(O76:O78),0)</f>
        <v>1806</v>
      </c>
      <c r="D7" s="85"/>
      <c r="E7" s="85"/>
      <c r="F7" s="86"/>
      <c r="G7" s="89"/>
    </row>
    <row r="8" spans="1:21" ht="15.75" customHeight="1" x14ac:dyDescent="0.25">
      <c r="A8" s="35" t="s">
        <v>217</v>
      </c>
      <c r="B8" s="69">
        <v>1</v>
      </c>
      <c r="C8" s="87">
        <f>ROUND(SUM(O81:O88),0)</f>
        <v>10987</v>
      </c>
      <c r="D8" s="85"/>
      <c r="E8" s="85"/>
      <c r="F8" s="86"/>
      <c r="G8" s="89"/>
    </row>
    <row r="9" spans="1:21" x14ac:dyDescent="0.25">
      <c r="A9" s="35" t="s">
        <v>218</v>
      </c>
      <c r="B9" s="69">
        <v>1</v>
      </c>
      <c r="C9" s="87">
        <f>ROUND(SUM(O162:O169),0)</f>
        <v>9722</v>
      </c>
      <c r="D9" s="85"/>
      <c r="E9" s="85"/>
      <c r="F9" s="86"/>
      <c r="G9" s="89"/>
    </row>
    <row r="10" spans="1:21" x14ac:dyDescent="0.25">
      <c r="A10" s="35" t="s">
        <v>176</v>
      </c>
      <c r="B10" s="69">
        <v>1</v>
      </c>
      <c r="C10" s="87">
        <f>ROUND(SUM(O91:O133),0)</f>
        <v>46066</v>
      </c>
      <c r="D10" s="85"/>
      <c r="E10" s="85"/>
      <c r="F10" s="86"/>
      <c r="G10" s="89"/>
    </row>
    <row r="11" spans="1:21" x14ac:dyDescent="0.25">
      <c r="A11" s="35" t="s">
        <v>219</v>
      </c>
      <c r="B11" s="69">
        <v>1</v>
      </c>
      <c r="C11" s="87">
        <f>ROUND(SUM(O136:O159),0)</f>
        <v>17316</v>
      </c>
      <c r="D11" s="85"/>
      <c r="E11" s="85"/>
      <c r="F11" s="86"/>
      <c r="G11" s="90"/>
    </row>
    <row r="13" spans="1:21" x14ac:dyDescent="0.25">
      <c r="A13" s="69" t="s">
        <v>32</v>
      </c>
      <c r="B13" s="69" t="s">
        <v>20</v>
      </c>
      <c r="C13" s="69" t="s">
        <v>19</v>
      </c>
      <c r="D13" s="69" t="s">
        <v>21</v>
      </c>
      <c r="E13" s="69" t="s">
        <v>22</v>
      </c>
      <c r="F13" s="7" t="s">
        <v>26</v>
      </c>
      <c r="G13" s="7" t="s">
        <v>49</v>
      </c>
      <c r="H13" s="69" t="s">
        <v>46</v>
      </c>
      <c r="I13" s="69" t="s">
        <v>35</v>
      </c>
      <c r="J13" s="69" t="s">
        <v>47</v>
      </c>
      <c r="K13" s="69" t="s">
        <v>35</v>
      </c>
      <c r="L13" s="69" t="s">
        <v>47</v>
      </c>
      <c r="M13" s="7" t="s">
        <v>48</v>
      </c>
      <c r="N13" s="69" t="s">
        <v>59</v>
      </c>
      <c r="O13" s="69" t="s">
        <v>58</v>
      </c>
      <c r="P13" s="70"/>
      <c r="Q13" s="7" t="s">
        <v>50</v>
      </c>
      <c r="R13" s="7" t="s">
        <v>53</v>
      </c>
      <c r="S13" s="7" t="s">
        <v>51</v>
      </c>
      <c r="T13" s="7" t="s">
        <v>52</v>
      </c>
      <c r="U13" s="70"/>
    </row>
    <row r="14" spans="1:21" x14ac:dyDescent="0.25">
      <c r="A14" s="69" t="s">
        <v>82</v>
      </c>
      <c r="B14" s="69">
        <v>838</v>
      </c>
      <c r="C14" s="69">
        <v>82</v>
      </c>
      <c r="D14" s="69">
        <v>19</v>
      </c>
      <c r="E14" s="69">
        <f t="shared" ref="E14" si="0">B14*C14/1000000</f>
        <v>6.8715999999999999E-2</v>
      </c>
      <c r="F14" s="20"/>
      <c r="G14" s="7" t="s">
        <v>12</v>
      </c>
      <c r="H14" s="69">
        <f>ROUND(Q14+T14/Раскройка!$F$2,0)</f>
        <v>816</v>
      </c>
      <c r="I14" s="69" t="s">
        <v>75</v>
      </c>
      <c r="J14" s="69">
        <v>0</v>
      </c>
      <c r="K14" s="69" t="s">
        <v>44</v>
      </c>
      <c r="L14" s="69">
        <v>0</v>
      </c>
      <c r="M14" s="69">
        <f>E14*(0.25*(VLOOKUP(I14,Покрытия!$A$2:$B$40,2,FALSE)*J14+VLOOKUP(K14,Покрытия!$A$2:$B$40,2,FALSE)*L14)+H14)</f>
        <v>56.072255999999996</v>
      </c>
      <c r="N14" s="69">
        <v>3</v>
      </c>
      <c r="O14" s="69">
        <f t="shared" ref="O14" si="1">M14*N14</f>
        <v>168.216768</v>
      </c>
      <c r="P14" s="70"/>
      <c r="Q14" s="69">
        <f t="array" ref="Q14">INDEX(Материалы!$C$2:$C$50,MATCH(G14&amp;D14,Материалы!$A$2:$A$50&amp;Материалы!$B$2:$B$50,0))</f>
        <v>734</v>
      </c>
      <c r="R14" s="69">
        <f>FLOOR(Раскройка!$D$2/B14,1)*FLOOR(Раскройка!$C$2/C14,1)</f>
        <v>75</v>
      </c>
      <c r="S14" s="69">
        <f>MAX(Раскройка!$F$2-E14*R14,0)</f>
        <v>0.6463000000000001</v>
      </c>
      <c r="T14" s="69">
        <f t="shared" ref="T14" si="2">Q14*S14</f>
        <v>474.38420000000008</v>
      </c>
      <c r="U14" s="70"/>
    </row>
    <row r="15" spans="1:21" x14ac:dyDescent="0.25">
      <c r="A15" s="69" t="s">
        <v>81</v>
      </c>
      <c r="B15" s="69">
        <v>1575</v>
      </c>
      <c r="C15" s="69">
        <v>82</v>
      </c>
      <c r="D15" s="69">
        <v>19</v>
      </c>
      <c r="E15" s="69">
        <f t="shared" ref="E15" si="3">B15*C15/1000000</f>
        <v>0.12914999999999999</v>
      </c>
      <c r="F15" s="20"/>
      <c r="G15" s="7" t="s">
        <v>12</v>
      </c>
      <c r="H15" s="69">
        <f>ROUND(Q15+T15/Раскройка!$F$2,0)</f>
        <v>1059</v>
      </c>
      <c r="I15" s="69" t="s">
        <v>75</v>
      </c>
      <c r="J15" s="69">
        <v>0</v>
      </c>
      <c r="K15" s="69" t="s">
        <v>44</v>
      </c>
      <c r="L15" s="69">
        <v>0</v>
      </c>
      <c r="M15" s="69">
        <f>E15*(0.25*(VLOOKUP(I15,Покрытия!$A$2:$B$40,2,FALSE)*J15+VLOOKUP(K15,Покрытия!$A$2:$B$40,2,FALSE)*L15)+H15)</f>
        <v>136.76984999999999</v>
      </c>
      <c r="N15" s="69">
        <v>1</v>
      </c>
      <c r="O15" s="69">
        <f t="shared" ref="O15" si="4">M15*N15</f>
        <v>136.76984999999999</v>
      </c>
      <c r="P15" s="70"/>
      <c r="Q15" s="69">
        <f t="array" ref="Q15">INDEX(Материалы!$C$2:$C$50,MATCH(G15&amp;D15,Материалы!$A$2:$A$50&amp;Материалы!$B$2:$B$50,0))</f>
        <v>734</v>
      </c>
      <c r="R15" s="69">
        <f>FLOOR(Раскройка!$D$2/B15,1)*FLOOR(Раскройка!$C$2/C15,1)</f>
        <v>25</v>
      </c>
      <c r="S15" s="69">
        <f>MAX(Раскройка!$F$2-E15*R15,0)</f>
        <v>2.57125</v>
      </c>
      <c r="T15" s="69">
        <f t="shared" ref="T15" si="5">Q15*S15</f>
        <v>1887.2975000000001</v>
      </c>
      <c r="U15" s="70"/>
    </row>
    <row r="16" spans="1:21" x14ac:dyDescent="0.25">
      <c r="A16" s="69" t="s">
        <v>81</v>
      </c>
      <c r="B16" s="69">
        <v>1575</v>
      </c>
      <c r="C16" s="69">
        <v>202</v>
      </c>
      <c r="D16" s="69">
        <v>19</v>
      </c>
      <c r="E16" s="69">
        <f t="shared" ref="E16" si="6">B16*C16/1000000</f>
        <v>0.31814999999999999</v>
      </c>
      <c r="F16" s="20"/>
      <c r="G16" s="7" t="s">
        <v>12</v>
      </c>
      <c r="H16" s="69">
        <f>ROUND(Q16+T16/Раскройка!$F$2,0)</f>
        <v>1065</v>
      </c>
      <c r="I16" s="69" t="s">
        <v>75</v>
      </c>
      <c r="J16" s="69">
        <v>0</v>
      </c>
      <c r="K16" s="69" t="s">
        <v>44</v>
      </c>
      <c r="L16" s="69">
        <v>0</v>
      </c>
      <c r="M16" s="69">
        <f>E16*(0.25*(VLOOKUP(I16,Покрытия!$A$2:$B$40,2,FALSE)*J16+VLOOKUP(K16,Покрытия!$A$2:$B$40,2,FALSE)*L16)+H16)</f>
        <v>338.82974999999999</v>
      </c>
      <c r="N16" s="69">
        <v>1</v>
      </c>
      <c r="O16" s="69">
        <f t="shared" ref="O16" si="7">M16*N16</f>
        <v>338.82974999999999</v>
      </c>
      <c r="P16" s="70"/>
      <c r="Q16" s="69">
        <f t="array" ref="Q16">INDEX(Материалы!$C$2:$C$50,MATCH(G16&amp;D16,Материалы!$A$2:$A$50&amp;Материалы!$B$2:$B$50,0))</f>
        <v>734</v>
      </c>
      <c r="R16" s="69">
        <f>FLOOR(Раскройка!$D$2/B16,1)*FLOOR(Раскройка!$C$2/C16,1)</f>
        <v>10</v>
      </c>
      <c r="S16" s="69">
        <f>MAX(Раскройка!$F$2-E16*R16,0)</f>
        <v>2.6185</v>
      </c>
      <c r="T16" s="69">
        <f t="shared" ref="T16" si="8">Q16*S16</f>
        <v>1921.979</v>
      </c>
      <c r="U16" s="70"/>
    </row>
    <row r="17" spans="1:21" x14ac:dyDescent="0.25">
      <c r="A17" s="69" t="s">
        <v>144</v>
      </c>
      <c r="B17" s="69">
        <v>838</v>
      </c>
      <c r="C17" s="69">
        <v>20</v>
      </c>
      <c r="D17" s="69">
        <v>10</v>
      </c>
      <c r="E17" s="69">
        <f>B17*C17*D17/1000000000</f>
        <v>1.6760000000000001E-4</v>
      </c>
      <c r="F17" s="69">
        <f>B17*C17/1000000</f>
        <v>1.6760000000000001E-2</v>
      </c>
      <c r="G17" s="69" t="s">
        <v>16</v>
      </c>
      <c r="H17" s="69">
        <f>ROUND(Q17+T17/Раскройка!$F$11,0)</f>
        <v>75748</v>
      </c>
      <c r="I17" s="69" t="s">
        <v>75</v>
      </c>
      <c r="J17" s="69">
        <v>2</v>
      </c>
      <c r="K17" s="69" t="s">
        <v>44</v>
      </c>
      <c r="L17" s="69">
        <v>4</v>
      </c>
      <c r="M17" s="69">
        <f>E17*H17+0.25*((VLOOKUP(I17,Покрытия!$A$2:$B$50,2,FALSE)*J17+VLOOKUP(K17,Покрытия!$A$2:$B$50,2,FALSE)*L17)*F17)</f>
        <v>42.863364799999999</v>
      </c>
      <c r="N17" s="69">
        <v>4</v>
      </c>
      <c r="O17" s="69">
        <f>M17*N17</f>
        <v>171.4534592</v>
      </c>
      <c r="P17" s="70"/>
      <c r="Q17" s="69">
        <f t="array" ref="Q17">INDEX(Материалы!$C$2:$C$50,MATCH(G17,Материалы!$A$2:$A$50,0))</f>
        <v>45500</v>
      </c>
      <c r="R17" s="69">
        <f>FLOOR(Раскройка!$C$11/C17,1)*FLOOR(Раскройка!$D$11/B17,1)</f>
        <v>45</v>
      </c>
      <c r="S17" s="69">
        <f>MAX(Раскройка!$F$11-E17*R17,0)</f>
        <v>1.4957999999999999E-2</v>
      </c>
      <c r="T17" s="69">
        <f>Q17*S17</f>
        <v>680.58899999999994</v>
      </c>
    </row>
    <row r="18" spans="1:21" x14ac:dyDescent="0.25">
      <c r="A18" s="69" t="s">
        <v>145</v>
      </c>
      <c r="B18" s="69">
        <v>1575</v>
      </c>
      <c r="C18" s="69">
        <v>20</v>
      </c>
      <c r="D18" s="69">
        <v>10</v>
      </c>
      <c r="E18" s="69">
        <f>B18*C18*D18/1000000000</f>
        <v>3.1500000000000001E-4</v>
      </c>
      <c r="F18" s="69">
        <f>B18*C18/1000000</f>
        <v>3.15E-2</v>
      </c>
      <c r="G18" s="69" t="s">
        <v>16</v>
      </c>
      <c r="H18" s="69">
        <f>ROUND(Q18+T18/Раскройка!$F$11,0)</f>
        <v>81445</v>
      </c>
      <c r="I18" s="69" t="s">
        <v>75</v>
      </c>
      <c r="J18" s="69">
        <v>2</v>
      </c>
      <c r="K18" s="69" t="s">
        <v>44</v>
      </c>
      <c r="L18" s="69">
        <v>4</v>
      </c>
      <c r="M18" s="69">
        <f>E18*H18+0.25*((VLOOKUP(I18,Покрытия!$A$2:$B$50,2,FALSE)*J18+VLOOKUP(K18,Покрытия!$A$2:$B$50,2,FALSE)*L18)*F18)</f>
        <v>82.355175000000003</v>
      </c>
      <c r="N18" s="69">
        <v>4</v>
      </c>
      <c r="O18" s="69">
        <f>M18*N18</f>
        <v>329.42070000000001</v>
      </c>
      <c r="P18" s="70"/>
      <c r="Q18" s="69">
        <f t="array" ref="Q18">INDEX(Материалы!$C$2:$C$50,MATCH(G18,Материалы!$A$2:$A$50,0))</f>
        <v>45500</v>
      </c>
      <c r="R18" s="69">
        <f>FLOOR(Раскройка!$C$11/C18,1)*FLOOR(Раскройка!$D$11/B18,1)</f>
        <v>15</v>
      </c>
      <c r="S18" s="69">
        <f>MAX(Раскройка!$F$11-E18*R18,0)</f>
        <v>1.7774999999999999E-2</v>
      </c>
      <c r="T18" s="69">
        <f>Q18*S18</f>
        <v>808.76249999999993</v>
      </c>
    </row>
    <row r="19" spans="1:21" x14ac:dyDescent="0.25">
      <c r="A19" s="69" t="s">
        <v>57</v>
      </c>
      <c r="B19" s="69">
        <v>838</v>
      </c>
      <c r="C19" s="69">
        <v>825</v>
      </c>
      <c r="D19" s="69">
        <v>19</v>
      </c>
      <c r="E19" s="69">
        <f t="shared" ref="E19:E22" si="9">B19*C19/1000000</f>
        <v>0.69135000000000002</v>
      </c>
      <c r="F19" s="20"/>
      <c r="G19" s="7" t="s">
        <v>12</v>
      </c>
      <c r="H19" s="69">
        <f>ROUND(Q19+T19/Раскройка!$F$2,0)</f>
        <v>943</v>
      </c>
      <c r="I19" s="69" t="s">
        <v>75</v>
      </c>
      <c r="J19" s="69">
        <v>0</v>
      </c>
      <c r="K19" s="69" t="s">
        <v>44</v>
      </c>
      <c r="L19" s="69">
        <v>0</v>
      </c>
      <c r="M19" s="69">
        <f>E19*(0.25*(VLOOKUP(I19,Покрытия!$A$2:$B$40,2,FALSE)*J19+VLOOKUP(K19,Покрытия!$A$2:$B$40,2,FALSE)*L19)+H19)</f>
        <v>651.94304999999997</v>
      </c>
      <c r="N19" s="69">
        <v>2</v>
      </c>
      <c r="O19" s="69">
        <f t="shared" ref="O19:O22" si="10">M19*N19</f>
        <v>1303.8860999999999</v>
      </c>
      <c r="P19" s="70"/>
      <c r="Q19" s="69">
        <f t="array" ref="Q19">INDEX(Материалы!$C$2:$C$50,MATCH(G19&amp;D19,Материалы!$A$2:$A$50&amp;Материалы!$B$2:$B$50,0))</f>
        <v>734</v>
      </c>
      <c r="R19" s="69">
        <f>FLOOR(Раскройка!$D$2/B19,1)*FLOOR(Раскройка!$C$2/C19,1)</f>
        <v>6</v>
      </c>
      <c r="S19" s="69">
        <f>MAX(Раскройка!$F$2-E19*R19,0)</f>
        <v>1.6518999999999995</v>
      </c>
      <c r="T19" s="69">
        <f t="shared" ref="T19:T22" si="11">Q19*S19</f>
        <v>1212.4945999999995</v>
      </c>
      <c r="U19" s="70"/>
    </row>
    <row r="20" spans="1:21" x14ac:dyDescent="0.25">
      <c r="A20" s="69" t="s">
        <v>200</v>
      </c>
      <c r="B20" s="69">
        <v>838</v>
      </c>
      <c r="C20" s="69">
        <v>82</v>
      </c>
      <c r="D20" s="69">
        <v>0.6</v>
      </c>
      <c r="E20" s="69">
        <f t="shared" si="9"/>
        <v>6.8715999999999999E-2</v>
      </c>
      <c r="F20" s="20"/>
      <c r="G20" s="7" t="s">
        <v>7</v>
      </c>
      <c r="H20" s="69">
        <f>ROUND(Q20+T20/Раскройка!$F$2,0)</f>
        <v>308</v>
      </c>
      <c r="I20" s="69" t="s">
        <v>75</v>
      </c>
      <c r="J20" s="69">
        <v>2</v>
      </c>
      <c r="K20" s="69" t="s">
        <v>44</v>
      </c>
      <c r="L20" s="69">
        <v>4</v>
      </c>
      <c r="M20" s="69">
        <f>E20*(0.25*(VLOOKUP(I20,Покрытия!$A$2:$B$40,2,FALSE)*J20+VLOOKUP(K20,Покрытия!$A$2:$B$40,2,FALSE)*L20)+H20)</f>
        <v>144.853328</v>
      </c>
      <c r="N20" s="69">
        <v>6</v>
      </c>
      <c r="O20" s="69">
        <f t="shared" si="10"/>
        <v>869.11996799999997</v>
      </c>
      <c r="P20" s="70"/>
      <c r="Q20" s="69">
        <f t="array" ref="Q20">INDEX(Материалы!$C$2:$C$50,MATCH(G20&amp;D20,Материалы!$A$2:$A$50&amp;Материалы!$B$2:$B$50,0))</f>
        <v>277</v>
      </c>
      <c r="R20" s="69">
        <f>FLOOR(Раскройка!$D$2/B20,1)*FLOOR(Раскройка!$C$2/C20,1)</f>
        <v>75</v>
      </c>
      <c r="S20" s="69">
        <f>MAX(Раскройка!$F$2-E20*R20,0)</f>
        <v>0.6463000000000001</v>
      </c>
      <c r="T20" s="69">
        <f t="shared" si="11"/>
        <v>179.02510000000004</v>
      </c>
      <c r="U20" s="70"/>
    </row>
    <row r="21" spans="1:21" x14ac:dyDescent="0.25">
      <c r="A21" s="69" t="s">
        <v>201</v>
      </c>
      <c r="B21" s="69">
        <v>1575</v>
      </c>
      <c r="C21" s="69">
        <v>82</v>
      </c>
      <c r="D21" s="69">
        <v>0.6</v>
      </c>
      <c r="E21" s="69">
        <f t="shared" si="9"/>
        <v>0.12914999999999999</v>
      </c>
      <c r="F21" s="20"/>
      <c r="G21" s="7" t="s">
        <v>7</v>
      </c>
      <c r="H21" s="69">
        <f>ROUND(Q21+T21/Раскройка!$F$2,0)</f>
        <v>400</v>
      </c>
      <c r="I21" s="69" t="s">
        <v>75</v>
      </c>
      <c r="J21" s="69">
        <v>2</v>
      </c>
      <c r="K21" s="69" t="s">
        <v>44</v>
      </c>
      <c r="L21" s="69">
        <v>4</v>
      </c>
      <c r="M21" s="69">
        <f>E21*(0.25*(VLOOKUP(I21,Покрытия!$A$2:$B$40,2,FALSE)*J21+VLOOKUP(K21,Покрытия!$A$2:$B$40,2,FALSE)*L21)+H21)</f>
        <v>284.13</v>
      </c>
      <c r="N21" s="69">
        <v>2</v>
      </c>
      <c r="O21" s="69">
        <f t="shared" si="10"/>
        <v>568.26</v>
      </c>
      <c r="P21" s="70"/>
      <c r="Q21" s="69">
        <f t="array" ref="Q21">INDEX(Материалы!$C$2:$C$50,MATCH(G21&amp;D21,Материалы!$A$2:$A$50&amp;Материалы!$B$2:$B$50,0))</f>
        <v>277</v>
      </c>
      <c r="R21" s="69">
        <f>FLOOR(Раскройка!$D$2/B21,1)*FLOOR(Раскройка!$C$2/C21,1)</f>
        <v>25</v>
      </c>
      <c r="S21" s="69">
        <f>MAX(Раскройка!$F$2-E21*R21,0)</f>
        <v>2.57125</v>
      </c>
      <c r="T21" s="69">
        <f t="shared" si="11"/>
        <v>712.23625000000004</v>
      </c>
      <c r="U21" s="70"/>
    </row>
    <row r="22" spans="1:21" x14ac:dyDescent="0.25">
      <c r="A22" s="69" t="s">
        <v>201</v>
      </c>
      <c r="B22" s="69">
        <v>1575</v>
      </c>
      <c r="C22" s="69">
        <v>202</v>
      </c>
      <c r="D22" s="69">
        <v>0.6</v>
      </c>
      <c r="E22" s="69">
        <f t="shared" si="9"/>
        <v>0.31814999999999999</v>
      </c>
      <c r="F22" s="20"/>
      <c r="G22" s="7" t="s">
        <v>7</v>
      </c>
      <c r="H22" s="69">
        <f>ROUND(Q22+T22/Раскройка!$F$2,0)</f>
        <v>402</v>
      </c>
      <c r="I22" s="69" t="s">
        <v>75</v>
      </c>
      <c r="J22" s="69">
        <v>2</v>
      </c>
      <c r="K22" s="69" t="s">
        <v>44</v>
      </c>
      <c r="L22" s="69">
        <v>4</v>
      </c>
      <c r="M22" s="69">
        <f>E22*(0.25*(VLOOKUP(I22,Покрытия!$A$2:$B$40,2,FALSE)*J22+VLOOKUP(K22,Покрытия!$A$2:$B$40,2,FALSE)*L22)+H22)</f>
        <v>700.56629999999996</v>
      </c>
      <c r="N22" s="69">
        <v>2</v>
      </c>
      <c r="O22" s="69">
        <f t="shared" si="10"/>
        <v>1401.1325999999999</v>
      </c>
      <c r="P22" s="70"/>
      <c r="Q22" s="69">
        <f t="array" ref="Q22">INDEX(Материалы!$C$2:$C$50,MATCH(G22&amp;D22,Материалы!$A$2:$A$50&amp;Материалы!$B$2:$B$50,0))</f>
        <v>277</v>
      </c>
      <c r="R22" s="69">
        <f>FLOOR(Раскройка!$D$2/B22,1)*FLOOR(Раскройка!$C$2/C22,1)</f>
        <v>10</v>
      </c>
      <c r="S22" s="69">
        <f>MAX(Раскройка!$F$2-E22*R22,0)</f>
        <v>2.6185</v>
      </c>
      <c r="T22" s="69">
        <f t="shared" si="11"/>
        <v>725.32450000000006</v>
      </c>
      <c r="U22" s="70"/>
    </row>
    <row r="23" spans="1:21" x14ac:dyDescent="0.25">
      <c r="A23" s="69" t="s">
        <v>202</v>
      </c>
      <c r="B23" s="69">
        <v>838</v>
      </c>
      <c r="C23" s="69">
        <v>825</v>
      </c>
      <c r="D23" s="69">
        <v>0.6</v>
      </c>
      <c r="E23" s="69">
        <f t="shared" ref="E23" si="12">B23*C23/1000000</f>
        <v>0.69135000000000002</v>
      </c>
      <c r="F23" s="20"/>
      <c r="G23" s="7" t="s">
        <v>7</v>
      </c>
      <c r="H23" s="69">
        <f>ROUND(Q23+T23/Раскройка!$F$2,0)</f>
        <v>356</v>
      </c>
      <c r="I23" s="69" t="s">
        <v>75</v>
      </c>
      <c r="J23" s="69">
        <v>2</v>
      </c>
      <c r="K23" s="69" t="s">
        <v>44</v>
      </c>
      <c r="L23" s="69">
        <v>4</v>
      </c>
      <c r="M23" s="69">
        <f>E23*(0.25*(VLOOKUP(I23,Покрытия!$A$2:$B$40,2,FALSE)*J23+VLOOKUP(K23,Покрытия!$A$2:$B$40,2,FALSE)*L23)+H23)</f>
        <v>1490.5506</v>
      </c>
      <c r="N23" s="69">
        <v>4</v>
      </c>
      <c r="O23" s="69">
        <f t="shared" ref="O23" si="13">M23*N23</f>
        <v>5962.2024000000001</v>
      </c>
      <c r="P23" s="70"/>
      <c r="Q23" s="69">
        <f t="array" ref="Q23">INDEX(Материалы!$C$2:$C$50,MATCH(G23&amp;D23,Материалы!$A$2:$A$50&amp;Материалы!$B$2:$B$50,0))</f>
        <v>277</v>
      </c>
      <c r="R23" s="69">
        <f>FLOOR(Раскройка!$D$2/B23,1)*FLOOR(Раскройка!$C$2/C23,1)</f>
        <v>6</v>
      </c>
      <c r="S23" s="69">
        <f>MAX(Раскройка!$F$2-E23*R23,0)</f>
        <v>1.6518999999999995</v>
      </c>
      <c r="T23" s="69">
        <f t="shared" ref="T23" si="14">Q23*S23</f>
        <v>457.57629999999983</v>
      </c>
      <c r="U23" s="70"/>
    </row>
    <row r="26" spans="1:21" x14ac:dyDescent="0.25">
      <c r="A26" s="69" t="s">
        <v>108</v>
      </c>
      <c r="B26" s="69">
        <v>870</v>
      </c>
      <c r="C26" s="69">
        <v>780</v>
      </c>
      <c r="D26" s="69">
        <v>6</v>
      </c>
      <c r="E26" s="69">
        <f t="shared" ref="E26:E27" si="15">B26*C26/1000000</f>
        <v>0.67859999999999998</v>
      </c>
      <c r="F26" s="20"/>
      <c r="G26" s="7" t="s">
        <v>3</v>
      </c>
      <c r="H26" s="69">
        <f>ROUND(Q26+T26/Раскройка!$F$2,0)</f>
        <v>135</v>
      </c>
      <c r="I26" s="69" t="s">
        <v>75</v>
      </c>
      <c r="J26" s="69">
        <v>0</v>
      </c>
      <c r="K26" s="69" t="s">
        <v>44</v>
      </c>
      <c r="L26" s="69">
        <v>0</v>
      </c>
      <c r="M26" s="69">
        <f>E26*(0.25*(VLOOKUP(I26,Покрытия!$A$2:$B$40,2,FALSE)*J26+VLOOKUP(K26,Покрытия!$A$2:$B$40,2,FALSE)*L26)+H26)</f>
        <v>91.611000000000004</v>
      </c>
      <c r="N26" s="69">
        <v>1</v>
      </c>
      <c r="O26" s="69">
        <f t="shared" ref="O26:O27" si="16">M26*N26</f>
        <v>91.611000000000004</v>
      </c>
      <c r="P26" s="70"/>
      <c r="Q26" s="69">
        <f t="array" ref="Q26">INDEX(Материалы!$C$2:$C$50,MATCH(G26&amp;D26,Материалы!$A$2:$A$50&amp;Материалы!$B$2:$B$50,0))</f>
        <v>104</v>
      </c>
      <c r="R26" s="69">
        <f>FLOOR(Раскройка!$D$2/B26,1)*FLOOR(Раскройка!$C$2/C26,1)</f>
        <v>6</v>
      </c>
      <c r="S26" s="69">
        <f>MAX(Раскройка!$F$2-E26*R26,0)</f>
        <v>1.7283999999999997</v>
      </c>
      <c r="T26" s="69">
        <f t="shared" ref="T26:T27" si="17">Q26*S26</f>
        <v>179.75359999999998</v>
      </c>
      <c r="U26" s="70"/>
    </row>
    <row r="27" spans="1:21" x14ac:dyDescent="0.25">
      <c r="A27" s="69" t="s">
        <v>107</v>
      </c>
      <c r="B27" s="69">
        <v>870</v>
      </c>
      <c r="C27" s="69">
        <v>568</v>
      </c>
      <c r="D27" s="69">
        <v>19</v>
      </c>
      <c r="E27" s="69">
        <f t="shared" si="15"/>
        <v>0.49415999999999999</v>
      </c>
      <c r="F27" s="20"/>
      <c r="G27" s="7" t="s">
        <v>12</v>
      </c>
      <c r="H27" s="69">
        <f>ROUND(Q27+T27/Раскройка!$F$2,0)</f>
        <v>905</v>
      </c>
      <c r="I27" s="69" t="s">
        <v>75</v>
      </c>
      <c r="J27" s="69">
        <v>0</v>
      </c>
      <c r="K27" s="69" t="s">
        <v>44</v>
      </c>
      <c r="L27" s="69">
        <v>0</v>
      </c>
      <c r="M27" s="69">
        <f>E27*(0.25*(VLOOKUP(I27,Покрытия!$A$2:$B$40,2,FALSE)*J27+VLOOKUP(K27,Покрытия!$A$2:$B$40,2,FALSE)*L27)+H27)</f>
        <v>447.21479999999997</v>
      </c>
      <c r="N27" s="69">
        <v>2</v>
      </c>
      <c r="O27" s="69">
        <f t="shared" si="16"/>
        <v>894.42959999999994</v>
      </c>
      <c r="P27" s="70"/>
      <c r="Q27" s="69">
        <f t="array" ref="Q27">INDEX(Материалы!$C$2:$C$50,MATCH(G27&amp;D27,Материалы!$A$2:$A$50&amp;Материалы!$B$2:$B$50,0))</f>
        <v>734</v>
      </c>
      <c r="R27" s="69">
        <f>FLOOR(Раскройка!$D$2/B27,1)*FLOOR(Раскройка!$C$2/C27,1)</f>
        <v>9</v>
      </c>
      <c r="S27" s="69">
        <f>MAX(Раскройка!$F$2-E27*R27,0)</f>
        <v>1.3525599999999995</v>
      </c>
      <c r="T27" s="69">
        <f t="shared" si="17"/>
        <v>992.77903999999967</v>
      </c>
      <c r="U27" s="70"/>
    </row>
    <row r="28" spans="1:21" x14ac:dyDescent="0.25">
      <c r="A28" s="69" t="s">
        <v>194</v>
      </c>
      <c r="B28" s="69">
        <v>870</v>
      </c>
      <c r="C28" s="69">
        <v>62</v>
      </c>
      <c r="D28" s="69">
        <v>19</v>
      </c>
      <c r="E28" s="69">
        <f t="shared" ref="E28" si="18">B28*C28/1000000</f>
        <v>5.3940000000000002E-2</v>
      </c>
      <c r="F28" s="20"/>
      <c r="G28" s="7" t="s">
        <v>12</v>
      </c>
      <c r="H28" s="69">
        <f>ROUND(Q28+T28/Раскройка!$F$2,0)</f>
        <v>792</v>
      </c>
      <c r="I28" s="69" t="s">
        <v>75</v>
      </c>
      <c r="J28" s="69">
        <v>0</v>
      </c>
      <c r="K28" s="69" t="s">
        <v>44</v>
      </c>
      <c r="L28" s="69">
        <v>0</v>
      </c>
      <c r="M28" s="69">
        <f>E28*(0.25*(VLOOKUP(I28,Покрытия!$A$2:$B$40,2,FALSE)*J28+VLOOKUP(K28,Покрытия!$A$2:$B$40,2,FALSE)*L28)+H28)</f>
        <v>42.720480000000002</v>
      </c>
      <c r="N28" s="69">
        <v>2</v>
      </c>
      <c r="O28" s="69">
        <f t="shared" ref="O28" si="19">M28*N28</f>
        <v>85.440960000000004</v>
      </c>
      <c r="P28" s="70"/>
      <c r="Q28" s="69">
        <f t="array" ref="Q28">INDEX(Материалы!$C$2:$C$50,MATCH(G28&amp;D28,Материалы!$A$2:$A$50&amp;Материалы!$B$2:$B$50,0))</f>
        <v>734</v>
      </c>
      <c r="R28" s="69">
        <f>FLOOR(Раскройка!$D$2/B28,1)*FLOOR(Раскройка!$C$2/C28,1)</f>
        <v>99</v>
      </c>
      <c r="S28" s="69">
        <f>MAX(Раскройка!$F$2-E28*R28,0)</f>
        <v>0.45993999999999957</v>
      </c>
      <c r="T28" s="69">
        <f t="shared" ref="T28" si="20">Q28*S28</f>
        <v>337.59595999999971</v>
      </c>
      <c r="U28" s="70"/>
    </row>
    <row r="29" spans="1:21" x14ac:dyDescent="0.25">
      <c r="A29" s="69" t="s">
        <v>195</v>
      </c>
      <c r="B29" s="69">
        <v>780</v>
      </c>
      <c r="C29" s="69">
        <v>43</v>
      </c>
      <c r="D29" s="69">
        <v>19</v>
      </c>
      <c r="E29" s="69">
        <f t="shared" ref="E29" si="21">B29*C29/1000000</f>
        <v>3.354E-2</v>
      </c>
      <c r="F29" s="20"/>
      <c r="G29" s="7" t="s">
        <v>12</v>
      </c>
      <c r="H29" s="69">
        <f>ROUND(Q29+T29/Раскройка!$F$2,0)</f>
        <v>857</v>
      </c>
      <c r="I29" s="69" t="s">
        <v>75</v>
      </c>
      <c r="J29" s="69">
        <v>0</v>
      </c>
      <c r="K29" s="69" t="s">
        <v>44</v>
      </c>
      <c r="L29" s="69">
        <v>0</v>
      </c>
      <c r="M29" s="69">
        <f>E29*(0.25*(VLOOKUP(I29,Покрытия!$A$2:$B$40,2,FALSE)*J29+VLOOKUP(K29,Покрытия!$A$2:$B$40,2,FALSE)*L29)+H29)</f>
        <v>28.743780000000001</v>
      </c>
      <c r="N29" s="69">
        <v>3</v>
      </c>
      <c r="O29" s="69">
        <f t="shared" ref="O29" si="22">M29*N29</f>
        <v>86.231340000000003</v>
      </c>
      <c r="P29" s="70"/>
      <c r="Q29" s="69">
        <f t="array" ref="Q29">INDEX(Материалы!$C$2:$C$50,MATCH(G29&amp;D29,Материалы!$A$2:$A$50&amp;Материалы!$B$2:$B$50,0))</f>
        <v>734</v>
      </c>
      <c r="R29" s="69">
        <f>FLOOR(Раскройка!$D$2/B29,1)*FLOOR(Раскройка!$C$2/C29,1)</f>
        <v>144</v>
      </c>
      <c r="S29" s="69">
        <f>MAX(Раскройка!$F$2-E29*R29,0)</f>
        <v>0.97023999999999955</v>
      </c>
      <c r="T29" s="69">
        <f t="shared" ref="T29" si="23">Q29*S29</f>
        <v>712.15615999999966</v>
      </c>
      <c r="U29" s="70"/>
    </row>
    <row r="30" spans="1:21" x14ac:dyDescent="0.25">
      <c r="A30" s="69" t="s">
        <v>111</v>
      </c>
      <c r="B30" s="69">
        <v>870</v>
      </c>
      <c r="C30" s="69">
        <v>39</v>
      </c>
      <c r="D30" s="69">
        <v>19</v>
      </c>
      <c r="E30" s="69">
        <f t="shared" ref="E30" si="24">B30*C30/1000000</f>
        <v>3.3930000000000002E-2</v>
      </c>
      <c r="F30" s="20"/>
      <c r="G30" s="7" t="s">
        <v>12</v>
      </c>
      <c r="H30" s="69">
        <f>ROUND(Q30+T30/Раскройка!$F$2,0)</f>
        <v>785</v>
      </c>
      <c r="I30" s="69" t="s">
        <v>75</v>
      </c>
      <c r="J30" s="69">
        <v>0</v>
      </c>
      <c r="K30" s="69" t="s">
        <v>44</v>
      </c>
      <c r="L30" s="69">
        <v>0</v>
      </c>
      <c r="M30" s="69">
        <f>E30*(0.25*(VLOOKUP(I30,Покрытия!$A$2:$B$40,2,FALSE)*J30+VLOOKUP(K30,Покрытия!$A$2:$B$40,2,FALSE)*L30)+H30)</f>
        <v>26.63505</v>
      </c>
      <c r="N30" s="69">
        <v>4</v>
      </c>
      <c r="O30" s="69">
        <f t="shared" ref="O30" si="25">M30*N30</f>
        <v>106.5402</v>
      </c>
      <c r="P30" s="70"/>
      <c r="Q30" s="69">
        <f t="array" ref="Q30">INDEX(Материалы!$C$2:$C$50,MATCH(G30&amp;D30,Материалы!$A$2:$A$50&amp;Материалы!$B$2:$B$50,0))</f>
        <v>734</v>
      </c>
      <c r="R30" s="69">
        <f>FLOOR(Раскройка!$D$2/B30,1)*FLOOR(Раскройка!$C$2/C30,1)</f>
        <v>159</v>
      </c>
      <c r="S30" s="69">
        <f>MAX(Раскройка!$F$2-E30*R30,0)</f>
        <v>0.40512999999999977</v>
      </c>
      <c r="T30" s="69">
        <f t="shared" ref="T30" si="26">Q30*S30</f>
        <v>297.36541999999986</v>
      </c>
      <c r="U30" s="70"/>
    </row>
    <row r="31" spans="1:21" x14ac:dyDescent="0.25">
      <c r="A31" s="69" t="s">
        <v>112</v>
      </c>
      <c r="B31" s="69">
        <v>780</v>
      </c>
      <c r="C31" s="69">
        <v>39</v>
      </c>
      <c r="D31" s="69">
        <v>19</v>
      </c>
      <c r="E31" s="69">
        <f t="shared" ref="E31:E32" si="27">B31*C31/1000000</f>
        <v>3.0419999999999999E-2</v>
      </c>
      <c r="F31" s="20"/>
      <c r="G31" s="7" t="s">
        <v>12</v>
      </c>
      <c r="H31" s="69">
        <f>ROUND(Q31+T31/Раскройка!$F$2,0)</f>
        <v>856</v>
      </c>
      <c r="I31" s="69" t="s">
        <v>75</v>
      </c>
      <c r="J31" s="69">
        <v>0</v>
      </c>
      <c r="K31" s="69" t="s">
        <v>44</v>
      </c>
      <c r="L31" s="69">
        <v>0</v>
      </c>
      <c r="M31" s="69">
        <f>E31*(0.25*(VLOOKUP(I31,Покрытия!$A$2:$B$40,2,FALSE)*J31+VLOOKUP(K31,Покрытия!$A$2:$B$40,2,FALSE)*L31)+H31)</f>
        <v>26.03952</v>
      </c>
      <c r="N31" s="69">
        <v>4</v>
      </c>
      <c r="O31" s="69">
        <f t="shared" ref="O31:O32" si="28">M31*N31</f>
        <v>104.15808</v>
      </c>
      <c r="P31" s="70"/>
      <c r="Q31" s="69">
        <f t="array" ref="Q31">INDEX(Материалы!$C$2:$C$50,MATCH(G31&amp;D31,Материалы!$A$2:$A$50&amp;Материалы!$B$2:$B$50,0))</f>
        <v>734</v>
      </c>
      <c r="R31" s="69">
        <f>FLOOR(Раскройка!$D$2/B31,1)*FLOOR(Раскройка!$C$2/C31,1)</f>
        <v>159</v>
      </c>
      <c r="S31" s="69">
        <f>MAX(Раскройка!$F$2-E31*R31,0)</f>
        <v>0.96321999999999974</v>
      </c>
      <c r="T31" s="69">
        <f t="shared" ref="T31:T32" si="29">Q31*S31</f>
        <v>707.00347999999985</v>
      </c>
      <c r="U31" s="70"/>
    </row>
    <row r="32" spans="1:21" x14ac:dyDescent="0.25">
      <c r="A32" s="69" t="s">
        <v>57</v>
      </c>
      <c r="B32" s="69">
        <f>455-39*2</f>
        <v>377</v>
      </c>
      <c r="C32" s="69">
        <v>390</v>
      </c>
      <c r="D32" s="69">
        <v>19</v>
      </c>
      <c r="E32" s="69">
        <f t="shared" si="27"/>
        <v>0.14702999999999999</v>
      </c>
      <c r="F32" s="20"/>
      <c r="G32" s="7" t="s">
        <v>12</v>
      </c>
      <c r="H32" s="69">
        <f>ROUND(Q32+T32/Раскройка!$F$2,0)</f>
        <v>817</v>
      </c>
      <c r="I32" s="69" t="s">
        <v>75</v>
      </c>
      <c r="J32" s="69">
        <v>0</v>
      </c>
      <c r="K32" s="69" t="s">
        <v>44</v>
      </c>
      <c r="L32" s="69">
        <v>0</v>
      </c>
      <c r="M32" s="69">
        <f>E32*(0.25*(VLOOKUP(I32,Покрытия!$A$2:$B$40,2,FALSE)*J32+VLOOKUP(K32,Покрытия!$A$2:$B$40,2,FALSE)*L32)+H32)</f>
        <v>120.12351</v>
      </c>
      <c r="N32" s="69">
        <v>2</v>
      </c>
      <c r="O32" s="69">
        <f t="shared" si="28"/>
        <v>240.24701999999999</v>
      </c>
      <c r="P32" s="70"/>
      <c r="Q32" s="69">
        <f t="array" ref="Q32">INDEX(Материалы!$C$2:$C$50,MATCH(G32&amp;D32,Материалы!$A$2:$A$50&amp;Материалы!$B$2:$B$50,0))</f>
        <v>734</v>
      </c>
      <c r="R32" s="69">
        <f>FLOOR(Раскройка!$D$2/B32,1)*FLOOR(Раскройка!$C$2/C32,1)</f>
        <v>35</v>
      </c>
      <c r="S32" s="69">
        <f>MAX(Раскройка!$F$2-E32*R32,0)</f>
        <v>0.65395000000000003</v>
      </c>
      <c r="T32" s="69">
        <f t="shared" si="29"/>
        <v>479.99930000000001</v>
      </c>
      <c r="U32" s="70"/>
    </row>
    <row r="33" spans="1:21" x14ac:dyDescent="0.25">
      <c r="A33" s="69" t="s">
        <v>57</v>
      </c>
      <c r="B33" s="69">
        <f>222-43*2</f>
        <v>136</v>
      </c>
      <c r="C33" s="69">
        <v>780</v>
      </c>
      <c r="D33" s="69">
        <v>19</v>
      </c>
      <c r="E33" s="69">
        <f t="shared" ref="E33" si="30">B33*C33/1000000</f>
        <v>0.10607999999999999</v>
      </c>
      <c r="F33" s="20"/>
      <c r="G33" s="7" t="s">
        <v>12</v>
      </c>
      <c r="H33" s="69">
        <f>ROUND(Q33+T33/Раскройка!$F$2,0)</f>
        <v>931</v>
      </c>
      <c r="I33" s="69" t="s">
        <v>75</v>
      </c>
      <c r="J33" s="69">
        <v>0</v>
      </c>
      <c r="K33" s="69" t="s">
        <v>44</v>
      </c>
      <c r="L33" s="69">
        <v>0</v>
      </c>
      <c r="M33" s="69">
        <f>E33*(0.25*(VLOOKUP(I33,Покрытия!$A$2:$B$40,2,FALSE)*J33+VLOOKUP(K33,Покрытия!$A$2:$B$40,2,FALSE)*L33)+H33)</f>
        <v>98.760480000000001</v>
      </c>
      <c r="N33" s="69">
        <v>1</v>
      </c>
      <c r="O33" s="69">
        <f t="shared" ref="O33" si="31">M33*N33</f>
        <v>98.760480000000001</v>
      </c>
      <c r="P33" s="70"/>
      <c r="Q33" s="69">
        <f t="array" ref="Q33">INDEX(Материалы!$C$2:$C$50,MATCH(G33&amp;D33,Материалы!$A$2:$A$50&amp;Материалы!$B$2:$B$50,0))</f>
        <v>734</v>
      </c>
      <c r="R33" s="69">
        <f>FLOOR(Раскройка!$D$2/B33,1)*FLOOR(Раскройка!$C$2/C33,1)</f>
        <v>40</v>
      </c>
      <c r="S33" s="69">
        <f>MAX(Раскройка!$F$2-E33*R33,0)</f>
        <v>1.5568</v>
      </c>
      <c r="T33" s="69">
        <f t="shared" ref="T33" si="32">Q33*S33</f>
        <v>1142.6912</v>
      </c>
    </row>
    <row r="34" spans="1:21" x14ac:dyDescent="0.25">
      <c r="A34" s="69" t="s">
        <v>144</v>
      </c>
      <c r="B34" s="69">
        <v>377</v>
      </c>
      <c r="C34" s="69">
        <v>25</v>
      </c>
      <c r="D34" s="69">
        <v>25</v>
      </c>
      <c r="E34" s="69">
        <f>B34*C34*D34/1000000000</f>
        <v>2.3562499999999999E-4</v>
      </c>
      <c r="F34" s="69">
        <f>B34*C34/1000000</f>
        <v>9.4249999999999994E-3</v>
      </c>
      <c r="G34" s="69" t="s">
        <v>16</v>
      </c>
      <c r="H34" s="69">
        <f>ROUND(Q34+T34/Раскройка!$F$11,0)</f>
        <v>50975</v>
      </c>
      <c r="I34" s="69" t="s">
        <v>75</v>
      </c>
      <c r="J34" s="69">
        <v>2</v>
      </c>
      <c r="K34" s="69" t="s">
        <v>44</v>
      </c>
      <c r="L34" s="69">
        <v>4</v>
      </c>
      <c r="M34" s="69">
        <f>E34*H34+0.25*((VLOOKUP(I34,Покрытия!$A$2:$B$50,2,FALSE)*J34+VLOOKUP(K34,Покрытия!$A$2:$B$50,2,FALSE)*L34)*F34)</f>
        <v>28.975984374999999</v>
      </c>
      <c r="N34" s="69">
        <v>4</v>
      </c>
      <c r="O34" s="69">
        <f>M34*N34</f>
        <v>115.9039375</v>
      </c>
      <c r="P34" s="70"/>
      <c r="Q34" s="69">
        <f t="array" ref="Q34">INDEX(Материалы!$C$2:$C$50,MATCH(G34,Материалы!$A$2:$A$50,0))</f>
        <v>45500</v>
      </c>
      <c r="R34" s="69">
        <f>FLOOR(Раскройка!$C$11/C34,1)*FLOOR(Раскройка!$D$11/B34,1)</f>
        <v>84</v>
      </c>
      <c r="S34" s="69">
        <f>MAX(Раскройка!$F$11-E34*R34,0)</f>
        <v>2.7074999999999981E-3</v>
      </c>
      <c r="T34" s="69">
        <f>Q34*S34</f>
        <v>123.19124999999991</v>
      </c>
    </row>
    <row r="35" spans="1:21" x14ac:dyDescent="0.25">
      <c r="A35" s="69" t="s">
        <v>145</v>
      </c>
      <c r="B35" s="69">
        <v>390</v>
      </c>
      <c r="C35" s="69">
        <v>25</v>
      </c>
      <c r="D35" s="69">
        <v>25</v>
      </c>
      <c r="E35" s="69">
        <f>B35*C35*D35/1000000000</f>
        <v>2.4374999999999999E-4</v>
      </c>
      <c r="F35" s="69">
        <f>B35*C35/1000000</f>
        <v>9.75E-3</v>
      </c>
      <c r="G35" s="69" t="s">
        <v>16</v>
      </c>
      <c r="H35" s="69">
        <f>ROUND(Q35+T35/Раскройка!$F$11,0)</f>
        <v>49595</v>
      </c>
      <c r="I35" s="69" t="s">
        <v>75</v>
      </c>
      <c r="J35" s="69">
        <v>2</v>
      </c>
      <c r="K35" s="69" t="s">
        <v>44</v>
      </c>
      <c r="L35" s="69">
        <v>4</v>
      </c>
      <c r="M35" s="69">
        <f>E35*H35+0.25*((VLOOKUP(I35,Покрытия!$A$2:$B$50,2,FALSE)*J35+VLOOKUP(K35,Покрытия!$A$2:$B$50,2,FALSE)*L35)*F35)</f>
        <v>29.638781250000001</v>
      </c>
      <c r="N35" s="69">
        <v>4</v>
      </c>
      <c r="O35" s="69">
        <f>M35*N35</f>
        <v>118.555125</v>
      </c>
      <c r="P35" s="70"/>
      <c r="Q35" s="69">
        <f t="array" ref="Q35">INDEX(Материалы!$C$2:$C$50,MATCH(G35,Материалы!$A$2:$A$50,0))</f>
        <v>45500</v>
      </c>
      <c r="R35" s="69">
        <f>FLOOR(Раскройка!$C$11/C35,1)*FLOOR(Раскройка!$D$11/B35,1)</f>
        <v>84</v>
      </c>
      <c r="S35" s="69">
        <f>MAX(Раскройка!$F$11-E35*R35,0)</f>
        <v>2.024999999999999E-3</v>
      </c>
      <c r="T35" s="69">
        <f>Q35*S35</f>
        <v>92.13749999999996</v>
      </c>
    </row>
    <row r="36" spans="1:21" x14ac:dyDescent="0.25">
      <c r="A36" s="69" t="s">
        <v>196</v>
      </c>
      <c r="B36" s="69">
        <v>780</v>
      </c>
      <c r="C36" s="69">
        <v>568</v>
      </c>
      <c r="D36" s="69">
        <v>19</v>
      </c>
      <c r="E36" s="69">
        <f t="shared" ref="E36" si="33">B36*C36/1000000</f>
        <v>0.44303999999999999</v>
      </c>
      <c r="F36" s="20"/>
      <c r="G36" s="7" t="s">
        <v>12</v>
      </c>
      <c r="H36" s="69">
        <f>ROUND(Q36+T36/Раскройка!$F$2,0)</f>
        <v>963</v>
      </c>
      <c r="I36" s="69" t="s">
        <v>75</v>
      </c>
      <c r="J36" s="69">
        <v>0</v>
      </c>
      <c r="K36" s="69" t="s">
        <v>44</v>
      </c>
      <c r="L36" s="69">
        <v>0</v>
      </c>
      <c r="M36" s="69">
        <f>E36*(0.25*(VLOOKUP(I36,Покрытия!$A$2:$B$40,2,FALSE)*J36+VLOOKUP(K36,Покрытия!$A$2:$B$40,2,FALSE)*L36)+H36)</f>
        <v>426.64751999999999</v>
      </c>
      <c r="N36" s="69">
        <v>1</v>
      </c>
      <c r="O36" s="69">
        <f t="shared" ref="O36" si="34">M36*N36</f>
        <v>426.64751999999999</v>
      </c>
      <c r="P36" s="70"/>
      <c r="Q36" s="69">
        <f t="array" ref="Q36">INDEX(Материалы!$C$2:$C$50,MATCH(G36&amp;D36,Материалы!$A$2:$A$50&amp;Материалы!$B$2:$B$50,0))</f>
        <v>734</v>
      </c>
      <c r="R36" s="69">
        <f>FLOOR(Раскройка!$D$2/B36,1)*FLOOR(Раскройка!$C$2/C36,1)</f>
        <v>9</v>
      </c>
      <c r="S36" s="69">
        <f>MAX(Раскройка!$F$2-E36*R36,0)</f>
        <v>1.81264</v>
      </c>
      <c r="T36" s="69">
        <f t="shared" ref="T36" si="35">Q36*S36</f>
        <v>1330.47776</v>
      </c>
    </row>
    <row r="37" spans="1:21" x14ac:dyDescent="0.25">
      <c r="A37" s="69" t="s">
        <v>146</v>
      </c>
      <c r="B37" s="69">
        <v>780</v>
      </c>
      <c r="C37" s="69">
        <v>568</v>
      </c>
      <c r="D37" s="69">
        <v>19</v>
      </c>
      <c r="E37" s="69">
        <f t="shared" ref="E37:E46" si="36">B37*C37/1000000</f>
        <v>0.44303999999999999</v>
      </c>
      <c r="F37" s="20"/>
      <c r="G37" s="7" t="s">
        <v>12</v>
      </c>
      <c r="H37" s="69">
        <f>ROUND(Q37+T37/Раскройка!$F$2,0)</f>
        <v>963</v>
      </c>
      <c r="I37" s="69" t="s">
        <v>75</v>
      </c>
      <c r="J37" s="69">
        <v>0</v>
      </c>
      <c r="K37" s="69" t="s">
        <v>44</v>
      </c>
      <c r="L37" s="69">
        <v>0</v>
      </c>
      <c r="M37" s="69">
        <f>E37*(0.25*(VLOOKUP(I37,Покрытия!$A$2:$B$40,2,FALSE)*J37+VLOOKUP(K37,Покрытия!$A$2:$B$40,2,FALSE)*L37)+H37)</f>
        <v>426.64751999999999</v>
      </c>
      <c r="N37" s="69">
        <v>1</v>
      </c>
      <c r="O37" s="69">
        <f t="shared" ref="O37:O46" si="37">M37*N37</f>
        <v>426.64751999999999</v>
      </c>
      <c r="P37" s="70"/>
      <c r="Q37" s="69">
        <f t="array" ref="Q37">INDEX(Материалы!$C$2:$C$50,MATCH(G37&amp;D37,Материалы!$A$2:$A$50&amp;Материалы!$B$2:$B$50,0))</f>
        <v>734</v>
      </c>
      <c r="R37" s="69">
        <f>FLOOR(Раскройка!$D$2/B37,1)*FLOOR(Раскройка!$C$2/C37,1)</f>
        <v>9</v>
      </c>
      <c r="S37" s="69">
        <f>MAX(Раскройка!$F$2-E37*R37,0)</f>
        <v>1.81264</v>
      </c>
      <c r="T37" s="69">
        <f t="shared" ref="T37:T46" si="38">Q37*S37</f>
        <v>1330.47776</v>
      </c>
    </row>
    <row r="38" spans="1:21" x14ac:dyDescent="0.25">
      <c r="A38" s="69" t="s">
        <v>203</v>
      </c>
      <c r="B38" s="69">
        <v>870</v>
      </c>
      <c r="C38" s="69">
        <v>780</v>
      </c>
      <c r="D38" s="69">
        <v>0.6</v>
      </c>
      <c r="E38" s="69">
        <f t="shared" si="36"/>
        <v>0.67859999999999998</v>
      </c>
      <c r="F38" s="20"/>
      <c r="G38" s="7" t="s">
        <v>7</v>
      </c>
      <c r="H38" s="69">
        <f>ROUND(Q38+T38/Раскройка!$F$2,0)</f>
        <v>360</v>
      </c>
      <c r="I38" s="69" t="s">
        <v>75</v>
      </c>
      <c r="J38" s="69">
        <v>2</v>
      </c>
      <c r="K38" s="69" t="s">
        <v>44</v>
      </c>
      <c r="L38" s="69">
        <v>4</v>
      </c>
      <c r="M38" s="69">
        <f>E38*(0.25*(VLOOKUP(I38,Покрытия!$A$2:$B$40,2,FALSE)*J38+VLOOKUP(K38,Покрытия!$A$2:$B$40,2,FALSE)*L38)+H38)</f>
        <v>1465.7760000000001</v>
      </c>
      <c r="N38" s="69">
        <v>2</v>
      </c>
      <c r="O38" s="69">
        <f t="shared" si="37"/>
        <v>2931.5520000000001</v>
      </c>
      <c r="P38" s="70"/>
      <c r="Q38" s="69">
        <f t="array" ref="Q38">INDEX(Материалы!$C$2:$C$50,MATCH(G38&amp;D38,Материалы!$A$2:$A$50&amp;Материалы!$B$2:$B$50,0))</f>
        <v>277</v>
      </c>
      <c r="R38" s="69">
        <f>FLOOR(Раскройка!$D$2/B38,1)*FLOOR(Раскройка!$C$2/C38,1)</f>
        <v>6</v>
      </c>
      <c r="S38" s="69">
        <f>MAX(Раскройка!$F$2-E38*R38,0)</f>
        <v>1.7283999999999997</v>
      </c>
      <c r="T38" s="69">
        <f t="shared" si="38"/>
        <v>478.76679999999993</v>
      </c>
      <c r="U38" s="70"/>
    </row>
    <row r="39" spans="1:21" x14ac:dyDescent="0.25">
      <c r="A39" s="69" t="s">
        <v>204</v>
      </c>
      <c r="B39" s="69">
        <v>870</v>
      </c>
      <c r="C39" s="69">
        <v>568</v>
      </c>
      <c r="D39" s="69">
        <v>0.6</v>
      </c>
      <c r="E39" s="69">
        <f t="shared" si="36"/>
        <v>0.49415999999999999</v>
      </c>
      <c r="F39" s="20"/>
      <c r="G39" s="7" t="s">
        <v>7</v>
      </c>
      <c r="H39" s="69">
        <f>ROUND(Q39+T39/Раскройка!$F$2,0)</f>
        <v>342</v>
      </c>
      <c r="I39" s="69" t="s">
        <v>75</v>
      </c>
      <c r="J39" s="69">
        <v>2</v>
      </c>
      <c r="K39" s="69" t="s">
        <v>44</v>
      </c>
      <c r="L39" s="69">
        <v>4</v>
      </c>
      <c r="M39" s="69">
        <f>E39*(0.25*(VLOOKUP(I39,Покрытия!$A$2:$B$40,2,FALSE)*J39+VLOOKUP(K39,Покрытия!$A$2:$B$40,2,FALSE)*L39)+H39)</f>
        <v>1058.49072</v>
      </c>
      <c r="N39" s="69">
        <v>4</v>
      </c>
      <c r="O39" s="69">
        <f t="shared" si="37"/>
        <v>4233.96288</v>
      </c>
      <c r="P39" s="70"/>
      <c r="Q39" s="69">
        <f t="array" ref="Q39">INDEX(Материалы!$C$2:$C$50,MATCH(G39&amp;D39,Материалы!$A$2:$A$50&amp;Материалы!$B$2:$B$50,0))</f>
        <v>277</v>
      </c>
      <c r="R39" s="69">
        <f>FLOOR(Раскройка!$D$2/B39,1)*FLOOR(Раскройка!$C$2/C39,1)</f>
        <v>9</v>
      </c>
      <c r="S39" s="69">
        <f>MAX(Раскройка!$F$2-E39*R39,0)</f>
        <v>1.3525599999999995</v>
      </c>
      <c r="T39" s="69">
        <f t="shared" si="38"/>
        <v>374.65911999999986</v>
      </c>
      <c r="U39" s="70"/>
    </row>
    <row r="40" spans="1:21" x14ac:dyDescent="0.25">
      <c r="A40" s="69" t="s">
        <v>205</v>
      </c>
      <c r="B40" s="69">
        <v>870</v>
      </c>
      <c r="C40" s="69">
        <v>62</v>
      </c>
      <c r="D40" s="69">
        <v>0.6</v>
      </c>
      <c r="E40" s="69">
        <f t="shared" si="36"/>
        <v>5.3940000000000002E-2</v>
      </c>
      <c r="F40" s="20"/>
      <c r="G40" s="7" t="s">
        <v>7</v>
      </c>
      <c r="H40" s="69">
        <f>ROUND(Q40+T40/Раскройка!$F$2,0)</f>
        <v>299</v>
      </c>
      <c r="I40" s="69" t="s">
        <v>75</v>
      </c>
      <c r="J40" s="69">
        <v>2</v>
      </c>
      <c r="K40" s="69" t="s">
        <v>44</v>
      </c>
      <c r="L40" s="69">
        <v>4</v>
      </c>
      <c r="M40" s="69">
        <f>E40*(0.25*(VLOOKUP(I40,Покрытия!$A$2:$B$40,2,FALSE)*J40+VLOOKUP(K40,Покрытия!$A$2:$B$40,2,FALSE)*L40)+H40)</f>
        <v>113.22006</v>
      </c>
      <c r="N40" s="69">
        <v>4</v>
      </c>
      <c r="O40" s="69">
        <f t="shared" si="37"/>
        <v>452.88024000000001</v>
      </c>
      <c r="P40" s="70"/>
      <c r="Q40" s="69">
        <f t="array" ref="Q40">INDEX(Материалы!$C$2:$C$50,MATCH(G40&amp;D40,Материалы!$A$2:$A$50&amp;Материалы!$B$2:$B$50,0))</f>
        <v>277</v>
      </c>
      <c r="R40" s="69">
        <f>FLOOR(Раскройка!$D$2/B40,1)*FLOOR(Раскройка!$C$2/C40,1)</f>
        <v>99</v>
      </c>
      <c r="S40" s="69">
        <f>MAX(Раскройка!$F$2-E40*R40,0)</f>
        <v>0.45993999999999957</v>
      </c>
      <c r="T40" s="69">
        <f t="shared" si="38"/>
        <v>127.40337999999988</v>
      </c>
      <c r="U40" s="70"/>
    </row>
    <row r="41" spans="1:21" x14ac:dyDescent="0.25">
      <c r="A41" s="69" t="s">
        <v>206</v>
      </c>
      <c r="B41" s="69">
        <v>780</v>
      </c>
      <c r="C41" s="69">
        <v>43</v>
      </c>
      <c r="D41" s="69">
        <v>0.6</v>
      </c>
      <c r="E41" s="69">
        <f t="shared" si="36"/>
        <v>3.354E-2</v>
      </c>
      <c r="F41" s="20"/>
      <c r="G41" s="7" t="s">
        <v>7</v>
      </c>
      <c r="H41" s="69">
        <f>ROUND(Q41+T41/Раскройка!$F$2,0)</f>
        <v>323</v>
      </c>
      <c r="I41" s="69" t="s">
        <v>75</v>
      </c>
      <c r="J41" s="69">
        <v>2</v>
      </c>
      <c r="K41" s="69" t="s">
        <v>44</v>
      </c>
      <c r="L41" s="69">
        <v>4</v>
      </c>
      <c r="M41" s="69">
        <f>E41*(0.25*(VLOOKUP(I41,Покрытия!$A$2:$B$40,2,FALSE)*J41+VLOOKUP(K41,Покрытия!$A$2:$B$40,2,FALSE)*L41)+H41)</f>
        <v>71.205420000000004</v>
      </c>
      <c r="N41" s="69">
        <v>6</v>
      </c>
      <c r="O41" s="69">
        <f t="shared" si="37"/>
        <v>427.23252000000002</v>
      </c>
      <c r="P41" s="70"/>
      <c r="Q41" s="69">
        <f t="array" ref="Q41">INDEX(Материалы!$C$2:$C$50,MATCH(G41&amp;D41,Материалы!$A$2:$A$50&amp;Материалы!$B$2:$B$50,0))</f>
        <v>277</v>
      </c>
      <c r="R41" s="69">
        <f>FLOOR(Раскройка!$D$2/B41,1)*FLOOR(Раскройка!$C$2/C41,1)</f>
        <v>144</v>
      </c>
      <c r="S41" s="69">
        <f>MAX(Раскройка!$F$2-E41*R41,0)</f>
        <v>0.97023999999999955</v>
      </c>
      <c r="T41" s="69">
        <f t="shared" si="38"/>
        <v>268.7564799999999</v>
      </c>
      <c r="U41" s="70"/>
    </row>
    <row r="42" spans="1:21" x14ac:dyDescent="0.25">
      <c r="A42" s="69" t="s">
        <v>207</v>
      </c>
      <c r="B42" s="69">
        <v>870</v>
      </c>
      <c r="C42" s="69">
        <v>39</v>
      </c>
      <c r="D42" s="69">
        <v>0.6</v>
      </c>
      <c r="E42" s="69">
        <f t="shared" si="36"/>
        <v>3.3930000000000002E-2</v>
      </c>
      <c r="F42" s="20"/>
      <c r="G42" s="7" t="s">
        <v>7</v>
      </c>
      <c r="H42" s="69">
        <f>ROUND(Q42+T42/Раскройка!$F$2,0)</f>
        <v>296</v>
      </c>
      <c r="I42" s="69" t="s">
        <v>75</v>
      </c>
      <c r="J42" s="69">
        <v>2</v>
      </c>
      <c r="K42" s="69" t="s">
        <v>44</v>
      </c>
      <c r="L42" s="69">
        <v>4</v>
      </c>
      <c r="M42" s="69">
        <f>E42*(0.25*(VLOOKUP(I42,Покрытия!$A$2:$B$40,2,FALSE)*J42+VLOOKUP(K42,Покрытия!$A$2:$B$40,2,FALSE)*L42)+H42)</f>
        <v>71.117280000000008</v>
      </c>
      <c r="N42" s="69">
        <v>8</v>
      </c>
      <c r="O42" s="69">
        <f t="shared" si="37"/>
        <v>568.93824000000006</v>
      </c>
      <c r="P42" s="70"/>
      <c r="Q42" s="69">
        <f t="array" ref="Q42">INDEX(Материалы!$C$2:$C$50,MATCH(G42&amp;D42,Материалы!$A$2:$A$50&amp;Материалы!$B$2:$B$50,0))</f>
        <v>277</v>
      </c>
      <c r="R42" s="69">
        <f>FLOOR(Раскройка!$D$2/B42,1)*FLOOR(Раскройка!$C$2/C42,1)</f>
        <v>159</v>
      </c>
      <c r="S42" s="69">
        <f>MAX(Раскройка!$F$2-E42*R42,0)</f>
        <v>0.40512999999999977</v>
      </c>
      <c r="T42" s="69">
        <f t="shared" si="38"/>
        <v>112.22100999999994</v>
      </c>
      <c r="U42" s="70"/>
    </row>
    <row r="43" spans="1:21" x14ac:dyDescent="0.25">
      <c r="A43" s="69" t="s">
        <v>208</v>
      </c>
      <c r="B43" s="69">
        <v>780</v>
      </c>
      <c r="C43" s="69">
        <v>39</v>
      </c>
      <c r="D43" s="69">
        <v>0.6</v>
      </c>
      <c r="E43" s="69">
        <f t="shared" si="36"/>
        <v>3.0419999999999999E-2</v>
      </c>
      <c r="F43" s="20"/>
      <c r="G43" s="7" t="s">
        <v>7</v>
      </c>
      <c r="H43" s="69">
        <f>ROUND(Q43+T43/Раскройка!$F$2,0)</f>
        <v>323</v>
      </c>
      <c r="I43" s="69" t="s">
        <v>75</v>
      </c>
      <c r="J43" s="69">
        <v>2</v>
      </c>
      <c r="K43" s="69" t="s">
        <v>44</v>
      </c>
      <c r="L43" s="69">
        <v>4</v>
      </c>
      <c r="M43" s="69">
        <f>E43*(0.25*(VLOOKUP(I43,Покрытия!$A$2:$B$40,2,FALSE)*J43+VLOOKUP(K43,Покрытия!$A$2:$B$40,2,FALSE)*L43)+H43)</f>
        <v>64.581659999999999</v>
      </c>
      <c r="N43" s="69">
        <v>8</v>
      </c>
      <c r="O43" s="69">
        <f t="shared" si="37"/>
        <v>516.65328</v>
      </c>
      <c r="P43" s="70"/>
      <c r="Q43" s="69">
        <f t="array" ref="Q43">INDEX(Материалы!$C$2:$C$50,MATCH(G43&amp;D43,Материалы!$A$2:$A$50&amp;Материалы!$B$2:$B$50,0))</f>
        <v>277</v>
      </c>
      <c r="R43" s="69">
        <f>FLOOR(Раскройка!$D$2/B43,1)*FLOOR(Раскройка!$C$2/C43,1)</f>
        <v>159</v>
      </c>
      <c r="S43" s="69">
        <f>MAX(Раскройка!$F$2-E43*R43,0)</f>
        <v>0.96321999999999974</v>
      </c>
      <c r="T43" s="69">
        <f t="shared" si="38"/>
        <v>266.81193999999994</v>
      </c>
      <c r="U43" s="70"/>
    </row>
    <row r="44" spans="1:21" x14ac:dyDescent="0.25">
      <c r="A44" s="69" t="s">
        <v>202</v>
      </c>
      <c r="B44" s="69">
        <f>455-39*2</f>
        <v>377</v>
      </c>
      <c r="C44" s="69">
        <v>390</v>
      </c>
      <c r="D44" s="69">
        <v>0.6</v>
      </c>
      <c r="E44" s="69">
        <f t="shared" si="36"/>
        <v>0.14702999999999999</v>
      </c>
      <c r="F44" s="20"/>
      <c r="G44" s="7" t="s">
        <v>7</v>
      </c>
      <c r="H44" s="69">
        <f>ROUND(Q44+T44/Раскройка!$F$2,0)</f>
        <v>308</v>
      </c>
      <c r="I44" s="69" t="s">
        <v>75</v>
      </c>
      <c r="J44" s="69">
        <v>2</v>
      </c>
      <c r="K44" s="69" t="s">
        <v>44</v>
      </c>
      <c r="L44" s="69">
        <v>4</v>
      </c>
      <c r="M44" s="69">
        <f>E44*(0.25*(VLOOKUP(I44,Покрытия!$A$2:$B$40,2,FALSE)*J44+VLOOKUP(K44,Покрытия!$A$2:$B$40,2,FALSE)*L44)+H44)</f>
        <v>309.93923999999998</v>
      </c>
      <c r="N44" s="69">
        <v>4</v>
      </c>
      <c r="O44" s="69">
        <f t="shared" si="37"/>
        <v>1239.7569599999999</v>
      </c>
      <c r="P44" s="70"/>
      <c r="Q44" s="69">
        <f t="array" ref="Q44">INDEX(Материалы!$C$2:$C$50,MATCH(G44&amp;D44,Материалы!$A$2:$A$50&amp;Материалы!$B$2:$B$50,0))</f>
        <v>277</v>
      </c>
      <c r="R44" s="69">
        <f>FLOOR(Раскройка!$D$2/B44,1)*FLOOR(Раскройка!$C$2/C44,1)</f>
        <v>35</v>
      </c>
      <c r="S44" s="69">
        <f>MAX(Раскройка!$F$2-E44*R44,0)</f>
        <v>0.65395000000000003</v>
      </c>
      <c r="T44" s="69">
        <f t="shared" si="38"/>
        <v>181.14415</v>
      </c>
      <c r="U44" s="70"/>
    </row>
    <row r="45" spans="1:21" x14ac:dyDescent="0.25">
      <c r="A45" s="69" t="s">
        <v>202</v>
      </c>
      <c r="B45" s="69">
        <f>222-43*2</f>
        <v>136</v>
      </c>
      <c r="C45" s="69">
        <v>780</v>
      </c>
      <c r="D45" s="69">
        <v>0.6</v>
      </c>
      <c r="E45" s="69">
        <f t="shared" si="36"/>
        <v>0.10607999999999999</v>
      </c>
      <c r="F45" s="20"/>
      <c r="G45" s="7" t="s">
        <v>7</v>
      </c>
      <c r="H45" s="69">
        <f>ROUND(Q45+T45/Раскройка!$F$2,0)</f>
        <v>351</v>
      </c>
      <c r="I45" s="69" t="s">
        <v>75</v>
      </c>
      <c r="J45" s="69">
        <v>2</v>
      </c>
      <c r="K45" s="69" t="s">
        <v>44</v>
      </c>
      <c r="L45" s="69">
        <v>4</v>
      </c>
      <c r="M45" s="69">
        <f>E45*(0.25*(VLOOKUP(I45,Покрытия!$A$2:$B$40,2,FALSE)*J45+VLOOKUP(K45,Покрытия!$A$2:$B$40,2,FALSE)*L45)+H45)</f>
        <v>228.17807999999999</v>
      </c>
      <c r="N45" s="69">
        <v>2</v>
      </c>
      <c r="O45" s="69">
        <f t="shared" si="37"/>
        <v>456.35615999999999</v>
      </c>
      <c r="P45" s="70"/>
      <c r="Q45" s="69">
        <f t="array" ref="Q45">INDEX(Материалы!$C$2:$C$50,MATCH(G45&amp;D45,Материалы!$A$2:$A$50&amp;Материалы!$B$2:$B$50,0))</f>
        <v>277</v>
      </c>
      <c r="R45" s="69">
        <f>FLOOR(Раскройка!$D$2/B45,1)*FLOOR(Раскройка!$C$2/C45,1)</f>
        <v>40</v>
      </c>
      <c r="S45" s="69">
        <f>MAX(Раскройка!$F$2-E45*R45,0)</f>
        <v>1.5568</v>
      </c>
      <c r="T45" s="69">
        <f t="shared" si="38"/>
        <v>431.23359999999997</v>
      </c>
    </row>
    <row r="46" spans="1:21" x14ac:dyDescent="0.25">
      <c r="A46" s="69" t="s">
        <v>209</v>
      </c>
      <c r="B46" s="69">
        <v>780</v>
      </c>
      <c r="C46" s="69">
        <v>568</v>
      </c>
      <c r="D46" s="69">
        <v>0.6</v>
      </c>
      <c r="E46" s="69">
        <f t="shared" si="36"/>
        <v>0.44303999999999999</v>
      </c>
      <c r="F46" s="20"/>
      <c r="G46" s="7" t="s">
        <v>7</v>
      </c>
      <c r="H46" s="69">
        <f>ROUND(Q46+T46/Раскройка!$F$2,0)</f>
        <v>364</v>
      </c>
      <c r="I46" s="69" t="s">
        <v>75</v>
      </c>
      <c r="J46" s="69">
        <v>2</v>
      </c>
      <c r="K46" s="69" t="s">
        <v>44</v>
      </c>
      <c r="L46" s="69">
        <v>4</v>
      </c>
      <c r="M46" s="69">
        <f>E46*(0.25*(VLOOKUP(I46,Покрытия!$A$2:$B$40,2,FALSE)*J46+VLOOKUP(K46,Покрытия!$A$2:$B$40,2,FALSE)*L46)+H46)</f>
        <v>958.73856000000001</v>
      </c>
      <c r="N46" s="69">
        <v>2</v>
      </c>
      <c r="O46" s="69">
        <f t="shared" si="37"/>
        <v>1917.47712</v>
      </c>
      <c r="P46" s="70"/>
      <c r="Q46" s="69">
        <f t="array" ref="Q46">INDEX(Материалы!$C$2:$C$50,MATCH(G46&amp;D46,Материалы!$A$2:$A$50&amp;Материалы!$B$2:$B$50,0))</f>
        <v>277</v>
      </c>
      <c r="R46" s="69">
        <f>FLOOR(Раскройка!$D$2/B46,1)*FLOOR(Раскройка!$C$2/C46,1)</f>
        <v>9</v>
      </c>
      <c r="S46" s="69">
        <f>MAX(Раскройка!$F$2-E46*R46,0)</f>
        <v>1.81264</v>
      </c>
      <c r="T46" s="69">
        <f t="shared" si="38"/>
        <v>502.10128000000003</v>
      </c>
    </row>
    <row r="47" spans="1:21" x14ac:dyDescent="0.25">
      <c r="A47" s="69" t="s">
        <v>210</v>
      </c>
      <c r="B47" s="69">
        <v>780</v>
      </c>
      <c r="C47" s="69">
        <v>568</v>
      </c>
      <c r="D47" s="69">
        <v>0.6</v>
      </c>
      <c r="E47" s="69">
        <f t="shared" ref="E47" si="39">B47*C47/1000000</f>
        <v>0.44303999999999999</v>
      </c>
      <c r="F47" s="20"/>
      <c r="G47" s="7" t="s">
        <v>7</v>
      </c>
      <c r="H47" s="69">
        <f>ROUND(Q47+T47/Раскройка!$F$2,0)</f>
        <v>364</v>
      </c>
      <c r="I47" s="69" t="s">
        <v>75</v>
      </c>
      <c r="J47" s="69">
        <v>2</v>
      </c>
      <c r="K47" s="69" t="s">
        <v>44</v>
      </c>
      <c r="L47" s="69">
        <v>4</v>
      </c>
      <c r="M47" s="69">
        <f>E47*(0.25*(VLOOKUP(I47,Покрытия!$A$2:$B$40,2,FALSE)*J47+VLOOKUP(K47,Покрытия!$A$2:$B$40,2,FALSE)*L47)+H47)</f>
        <v>958.73856000000001</v>
      </c>
      <c r="N47" s="69">
        <v>2</v>
      </c>
      <c r="O47" s="69">
        <f t="shared" ref="O47" si="40">M47*N47</f>
        <v>1917.47712</v>
      </c>
      <c r="P47" s="70"/>
      <c r="Q47" s="69">
        <f t="array" ref="Q47">INDEX(Материалы!$C$2:$C$50,MATCH(G47&amp;D47,Материалы!$A$2:$A$50&amp;Материалы!$B$2:$B$50,0))</f>
        <v>277</v>
      </c>
      <c r="R47" s="69">
        <f>FLOOR(Раскройка!$D$2/B47,1)*FLOOR(Раскройка!$C$2/C47,1)</f>
        <v>9</v>
      </c>
      <c r="S47" s="69">
        <f>MAX(Раскройка!$F$2-E47*R47,0)</f>
        <v>1.81264</v>
      </c>
      <c r="T47" s="69">
        <f t="shared" ref="T47" si="41">Q47*S47</f>
        <v>502.10128000000003</v>
      </c>
    </row>
    <row r="50" spans="1:20" x14ac:dyDescent="0.25">
      <c r="A50" s="69" t="s">
        <v>197</v>
      </c>
      <c r="B50" s="69">
        <v>870</v>
      </c>
      <c r="C50" s="69">
        <v>110</v>
      </c>
      <c r="D50" s="69">
        <v>19</v>
      </c>
      <c r="E50" s="69">
        <f t="shared" ref="E50:E52" si="42">B50*C50/1000000</f>
        <v>9.5699999999999993E-2</v>
      </c>
      <c r="F50" s="20"/>
      <c r="G50" s="7" t="s">
        <v>12</v>
      </c>
      <c r="H50" s="69">
        <f>ROUND(Q50+T50/Раскройка!$F$2,0)</f>
        <v>814</v>
      </c>
      <c r="I50" s="69" t="s">
        <v>75</v>
      </c>
      <c r="J50" s="69">
        <v>0</v>
      </c>
      <c r="K50" s="69" t="s">
        <v>44</v>
      </c>
      <c r="L50" s="69">
        <v>0</v>
      </c>
      <c r="M50" s="69">
        <f>E50*(0.25*(VLOOKUP(I50,Покрытия!$A$2:$B$40,2,FALSE)*J50+VLOOKUP(K50,Покрытия!$A$2:$B$40,2,FALSE)*L50)+H50)</f>
        <v>77.899799999999999</v>
      </c>
      <c r="N50" s="69">
        <v>2</v>
      </c>
      <c r="O50" s="69">
        <f t="shared" ref="O50:O52" si="43">M50*N50</f>
        <v>155.7996</v>
      </c>
      <c r="P50" s="70"/>
      <c r="Q50" s="69">
        <f t="array" ref="Q50">INDEX(Материалы!$C$2:$C$50,MATCH(G50&amp;D50,Материалы!$A$2:$A$50&amp;Материалы!$B$2:$B$50,0))</f>
        <v>734</v>
      </c>
      <c r="R50" s="69">
        <f>FLOOR(Раскройка!$D$2/B50,1)*FLOOR(Раскройка!$C$2/C50,1)</f>
        <v>54</v>
      </c>
      <c r="S50" s="69">
        <f>MAX(Раскройка!$F$2-E50*R50,0)</f>
        <v>0.6322000000000001</v>
      </c>
      <c r="T50" s="69">
        <f t="shared" ref="T50:T52" si="44">Q50*S50</f>
        <v>464.03480000000008</v>
      </c>
    </row>
    <row r="51" spans="1:20" x14ac:dyDescent="0.25">
      <c r="A51" s="69" t="s">
        <v>184</v>
      </c>
      <c r="B51" s="69">
        <v>2154</v>
      </c>
      <c r="C51" s="69">
        <v>130</v>
      </c>
      <c r="D51" s="69">
        <v>19</v>
      </c>
      <c r="E51" s="69">
        <f t="shared" si="42"/>
        <v>0.28001999999999999</v>
      </c>
      <c r="F51" s="20"/>
      <c r="G51" s="7" t="s">
        <v>12</v>
      </c>
      <c r="H51" s="69">
        <f>ROUND(Q51+T51/Раскройка!$F$2,0)</f>
        <v>936</v>
      </c>
      <c r="I51" s="69" t="s">
        <v>75</v>
      </c>
      <c r="J51" s="69">
        <v>0</v>
      </c>
      <c r="K51" s="69" t="s">
        <v>44</v>
      </c>
      <c r="L51" s="69">
        <v>0</v>
      </c>
      <c r="M51" s="69">
        <f>E51*(0.25*(VLOOKUP(I51,Покрытия!$A$2:$B$40,2,FALSE)*J51+VLOOKUP(K51,Покрытия!$A$2:$B$40,2,FALSE)*L51)+H51)</f>
        <v>262.09872000000001</v>
      </c>
      <c r="N51" s="69">
        <v>1</v>
      </c>
      <c r="O51" s="69">
        <f t="shared" si="43"/>
        <v>262.09872000000001</v>
      </c>
      <c r="P51" s="70"/>
      <c r="Q51" s="69">
        <f t="array" ref="Q51">INDEX(Материалы!$C$2:$C$50,MATCH(G51&amp;D51,Материалы!$A$2:$A$50&amp;Материалы!$B$2:$B$50,0))</f>
        <v>734</v>
      </c>
      <c r="R51" s="69">
        <f>FLOOR(Раскройка!$D$2/B51,1)*FLOOR(Раскройка!$C$2/C51,1)</f>
        <v>15</v>
      </c>
      <c r="S51" s="69">
        <f>MAX(Раскройка!$F$2-E51*R51,0)</f>
        <v>1.5997000000000003</v>
      </c>
      <c r="T51" s="69">
        <f t="shared" si="44"/>
        <v>1174.1798000000003</v>
      </c>
    </row>
    <row r="52" spans="1:20" x14ac:dyDescent="0.25">
      <c r="A52" s="69" t="s">
        <v>189</v>
      </c>
      <c r="B52" s="69">
        <v>116</v>
      </c>
      <c r="C52" s="69">
        <v>116</v>
      </c>
      <c r="D52" s="69">
        <v>19</v>
      </c>
      <c r="E52" s="69">
        <f t="shared" si="42"/>
        <v>1.3455999999999999E-2</v>
      </c>
      <c r="F52" s="20"/>
      <c r="G52" s="7" t="s">
        <v>12</v>
      </c>
      <c r="H52" s="69">
        <f>ROUND(Q52+T52/Раскройка!$F$2,0)</f>
        <v>773</v>
      </c>
      <c r="I52" s="69" t="s">
        <v>75</v>
      </c>
      <c r="J52" s="69">
        <v>0</v>
      </c>
      <c r="K52" s="69" t="s">
        <v>44</v>
      </c>
      <c r="L52" s="69">
        <v>0</v>
      </c>
      <c r="M52" s="69">
        <f>E52*(0.25*(VLOOKUP(I52,Покрытия!$A$2:$B$40,2,FALSE)*J52+VLOOKUP(K52,Покрытия!$A$2:$B$40,2,FALSE)*L52)+H52)</f>
        <v>10.401487999999999</v>
      </c>
      <c r="N52" s="69">
        <v>2</v>
      </c>
      <c r="O52" s="69">
        <f t="shared" si="43"/>
        <v>20.802975999999997</v>
      </c>
      <c r="P52" s="70"/>
      <c r="Q52" s="69">
        <f t="array" ref="Q52">INDEX(Материалы!$C$2:$C$50,MATCH(G52&amp;D52,Материалы!$A$2:$A$50&amp;Материалы!$B$2:$B$50,0))</f>
        <v>734</v>
      </c>
      <c r="R52" s="69">
        <f>FLOOR(Раскройка!$D$2/B52,1)*FLOOR(Раскройка!$C$2/C52,1)</f>
        <v>408</v>
      </c>
      <c r="S52" s="69">
        <f>MAX(Раскройка!$F$2-E52*R52,0)</f>
        <v>0.30995200000000001</v>
      </c>
      <c r="T52" s="69">
        <f t="shared" si="44"/>
        <v>227.50476800000001</v>
      </c>
    </row>
    <row r="53" spans="1:20" x14ac:dyDescent="0.25">
      <c r="A53" s="69" t="s">
        <v>211</v>
      </c>
      <c r="B53" s="69">
        <v>870</v>
      </c>
      <c r="C53" s="69">
        <v>110</v>
      </c>
      <c r="D53" s="69">
        <v>0.6</v>
      </c>
      <c r="E53" s="69">
        <f t="shared" ref="E53:E55" si="45">B53*C53/1000000</f>
        <v>9.5699999999999993E-2</v>
      </c>
      <c r="F53" s="20"/>
      <c r="G53" s="7" t="s">
        <v>7</v>
      </c>
      <c r="H53" s="69">
        <f>ROUND(Q53+T53/Раскройка!$F$2,0)</f>
        <v>307</v>
      </c>
      <c r="I53" s="69" t="s">
        <v>75</v>
      </c>
      <c r="J53" s="69">
        <v>2</v>
      </c>
      <c r="K53" s="69" t="s">
        <v>44</v>
      </c>
      <c r="L53" s="69">
        <v>4</v>
      </c>
      <c r="M53" s="69">
        <f>E53*(0.25*(VLOOKUP(I53,Покрытия!$A$2:$B$40,2,FALSE)*J53+VLOOKUP(K53,Покрытия!$A$2:$B$40,2,FALSE)*L53)+H53)</f>
        <v>201.63989999999998</v>
      </c>
      <c r="N53" s="69">
        <v>4</v>
      </c>
      <c r="O53" s="69">
        <f t="shared" ref="O53:O55" si="46">M53*N53</f>
        <v>806.55959999999993</v>
      </c>
      <c r="P53" s="70"/>
      <c r="Q53" s="69">
        <f t="array" ref="Q53">INDEX(Материалы!$C$2:$C$50,MATCH(G53&amp;D53,Материалы!$A$2:$A$50&amp;Материалы!$B$2:$B$50,0))</f>
        <v>277</v>
      </c>
      <c r="R53" s="69">
        <f>FLOOR(Раскройка!$D$2/B53,1)*FLOOR(Раскройка!$C$2/C53,1)</f>
        <v>54</v>
      </c>
      <c r="S53" s="69">
        <f>MAX(Раскройка!$F$2-E53*R53,0)</f>
        <v>0.6322000000000001</v>
      </c>
      <c r="T53" s="69">
        <f t="shared" ref="T53:T55" si="47">Q53*S53</f>
        <v>175.11940000000001</v>
      </c>
    </row>
    <row r="54" spans="1:20" x14ac:dyDescent="0.25">
      <c r="A54" s="69" t="s">
        <v>212</v>
      </c>
      <c r="B54" s="69">
        <v>2154</v>
      </c>
      <c r="C54" s="69">
        <v>130</v>
      </c>
      <c r="D54" s="69">
        <v>0.6</v>
      </c>
      <c r="E54" s="69">
        <f t="shared" si="45"/>
        <v>0.28001999999999999</v>
      </c>
      <c r="F54" s="20"/>
      <c r="G54" s="7" t="s">
        <v>7</v>
      </c>
      <c r="H54" s="69">
        <f>ROUND(Q54+T54/Раскройка!$F$2,0)</f>
        <v>353</v>
      </c>
      <c r="I54" s="69" t="s">
        <v>75</v>
      </c>
      <c r="J54" s="69">
        <v>2</v>
      </c>
      <c r="K54" s="69" t="s">
        <v>44</v>
      </c>
      <c r="L54" s="69">
        <v>4</v>
      </c>
      <c r="M54" s="69">
        <f>E54*(0.25*(VLOOKUP(I54,Покрытия!$A$2:$B$40,2,FALSE)*J54+VLOOKUP(K54,Покрытия!$A$2:$B$40,2,FALSE)*L54)+H54)</f>
        <v>602.88306</v>
      </c>
      <c r="N54" s="69">
        <v>2</v>
      </c>
      <c r="O54" s="69">
        <f t="shared" si="46"/>
        <v>1205.76612</v>
      </c>
      <c r="P54" s="70"/>
      <c r="Q54" s="69">
        <f t="array" ref="Q54">INDEX(Материалы!$C$2:$C$50,MATCH(G54&amp;D54,Материалы!$A$2:$A$50&amp;Материалы!$B$2:$B$50,0))</f>
        <v>277</v>
      </c>
      <c r="R54" s="69">
        <f>FLOOR(Раскройка!$D$2/B54,1)*FLOOR(Раскройка!$C$2/C54,1)</f>
        <v>15</v>
      </c>
      <c r="S54" s="69">
        <f>MAX(Раскройка!$F$2-E54*R54,0)</f>
        <v>1.5997000000000003</v>
      </c>
      <c r="T54" s="69">
        <f t="shared" si="47"/>
        <v>443.1169000000001</v>
      </c>
    </row>
    <row r="55" spans="1:20" x14ac:dyDescent="0.25">
      <c r="A55" s="69" t="s">
        <v>213</v>
      </c>
      <c r="B55" s="69">
        <v>116</v>
      </c>
      <c r="C55" s="69">
        <v>116</v>
      </c>
      <c r="D55" s="69">
        <v>0.6</v>
      </c>
      <c r="E55" s="69">
        <f t="shared" si="45"/>
        <v>1.3455999999999999E-2</v>
      </c>
      <c r="F55" s="20"/>
      <c r="G55" s="7" t="s">
        <v>7</v>
      </c>
      <c r="H55" s="69">
        <f>ROUND(Q55+T55/Раскройка!$F$2,0)</f>
        <v>292</v>
      </c>
      <c r="I55" s="69" t="s">
        <v>75</v>
      </c>
      <c r="J55" s="69">
        <v>2</v>
      </c>
      <c r="K55" s="69" t="s">
        <v>44</v>
      </c>
      <c r="L55" s="69">
        <v>4</v>
      </c>
      <c r="M55" s="69">
        <f>E55*(0.25*(VLOOKUP(I55,Покрытия!$A$2:$B$40,2,FALSE)*J55+VLOOKUP(K55,Покрытия!$A$2:$B$40,2,FALSE)*L55)+H55)</f>
        <v>28.149951999999999</v>
      </c>
      <c r="N55" s="69">
        <v>4</v>
      </c>
      <c r="O55" s="69">
        <f t="shared" si="46"/>
        <v>112.599808</v>
      </c>
      <c r="P55" s="70"/>
      <c r="Q55" s="69">
        <f t="array" ref="Q55">INDEX(Материалы!$C$2:$C$50,MATCH(G55&amp;D55,Материалы!$A$2:$A$50&amp;Материалы!$B$2:$B$50,0))</f>
        <v>277</v>
      </c>
      <c r="R55" s="69">
        <f>FLOOR(Раскройка!$D$2/B55,1)*FLOOR(Раскройка!$C$2/C55,1)</f>
        <v>408</v>
      </c>
      <c r="S55" s="69">
        <f>MAX(Раскройка!$F$2-E55*R55,0)</f>
        <v>0.30995200000000001</v>
      </c>
      <c r="T55" s="69">
        <f t="shared" si="47"/>
        <v>85.856704000000008</v>
      </c>
    </row>
    <row r="58" spans="1:20" x14ac:dyDescent="0.25">
      <c r="A58" s="69" t="s">
        <v>197</v>
      </c>
      <c r="B58" s="69">
        <v>1440</v>
      </c>
      <c r="C58" s="69">
        <v>110</v>
      </c>
      <c r="D58" s="69">
        <v>19</v>
      </c>
      <c r="E58" s="69">
        <f t="shared" ref="E58:E63" si="48">B58*C58/1000000</f>
        <v>0.15840000000000001</v>
      </c>
      <c r="F58" s="20"/>
      <c r="G58" s="7" t="s">
        <v>12</v>
      </c>
      <c r="H58" s="69">
        <f>ROUND(Q58+T58/Раскройка!$F$2,0)</f>
        <v>1107</v>
      </c>
      <c r="I58" s="69" t="s">
        <v>75</v>
      </c>
      <c r="J58" s="69">
        <v>2</v>
      </c>
      <c r="K58" s="69" t="s">
        <v>44</v>
      </c>
      <c r="L58" s="69">
        <v>4</v>
      </c>
      <c r="M58" s="69">
        <f>E58*(0.25*(VLOOKUP(I58,Покрытия!$A$2:$B$40,2,FALSE)*J58+VLOOKUP(K58,Покрытия!$A$2:$B$40,2,FALSE)*L58)+H58)</f>
        <v>460.46880000000004</v>
      </c>
      <c r="N58" s="69">
        <v>2</v>
      </c>
      <c r="O58" s="69">
        <f t="shared" ref="O58:O63" si="49">M58*N58</f>
        <v>920.93760000000009</v>
      </c>
      <c r="P58" s="70"/>
      <c r="Q58" s="69">
        <f t="array" ref="Q58">INDEX(Материалы!$C$2:$C$50,MATCH(G58&amp;D58,Материалы!$A$2:$A$50&amp;Материалы!$B$2:$B$50,0))</f>
        <v>734</v>
      </c>
      <c r="R58" s="69">
        <f>FLOOR(Раскройка!$D$2/B58,1)*FLOOR(Раскройка!$C$2/C58,1)</f>
        <v>18</v>
      </c>
      <c r="S58" s="69">
        <f>MAX(Раскройка!$F$2-E58*R58,0)</f>
        <v>2.9487999999999994</v>
      </c>
      <c r="T58" s="69">
        <f t="shared" ref="T58:T63" si="50">Q58*S58</f>
        <v>2164.4191999999994</v>
      </c>
    </row>
    <row r="59" spans="1:20" x14ac:dyDescent="0.25">
      <c r="A59" s="69" t="s">
        <v>184</v>
      </c>
      <c r="B59" s="69">
        <v>116</v>
      </c>
      <c r="C59" s="69">
        <v>53</v>
      </c>
      <c r="D59" s="69">
        <v>19</v>
      </c>
      <c r="E59" s="69">
        <f t="shared" si="48"/>
        <v>6.1479999999999998E-3</v>
      </c>
      <c r="F59" s="20"/>
      <c r="G59" s="7" t="s">
        <v>12</v>
      </c>
      <c r="H59" s="69">
        <f>ROUND(Q59+T59/Раскройка!$F$2,0)</f>
        <v>740</v>
      </c>
      <c r="I59" s="69" t="s">
        <v>75</v>
      </c>
      <c r="J59" s="69">
        <v>2</v>
      </c>
      <c r="K59" s="69" t="s">
        <v>44</v>
      </c>
      <c r="L59" s="69">
        <v>4</v>
      </c>
      <c r="M59" s="69">
        <f>E59*(0.25*(VLOOKUP(I59,Покрытия!$A$2:$B$40,2,FALSE)*J59+VLOOKUP(K59,Покрытия!$A$2:$B$40,2,FALSE)*L59)+H59)</f>
        <v>15.615919999999999</v>
      </c>
      <c r="N59" s="69">
        <v>2</v>
      </c>
      <c r="O59" s="69">
        <f t="shared" si="49"/>
        <v>31.231839999999998</v>
      </c>
      <c r="P59" s="70"/>
      <c r="Q59" s="69">
        <f t="array" ref="Q59">INDEX(Материалы!$C$2:$C$50,MATCH(G59&amp;D59,Материалы!$A$2:$A$50&amp;Материалы!$B$2:$B$50,0))</f>
        <v>734</v>
      </c>
      <c r="R59" s="69">
        <f>FLOOR(Раскройка!$D$2/B59,1)*FLOOR(Раскройка!$C$2/C59,1)</f>
        <v>936</v>
      </c>
      <c r="S59" s="69">
        <f>MAX(Раскройка!$F$2-E59*R59,0)</f>
        <v>4.5472000000000179E-2</v>
      </c>
      <c r="T59" s="69">
        <f t="shared" si="50"/>
        <v>33.376448000000131</v>
      </c>
    </row>
    <row r="60" spans="1:20" x14ac:dyDescent="0.25">
      <c r="A60" s="69" t="s">
        <v>189</v>
      </c>
      <c r="B60" s="69">
        <v>116</v>
      </c>
      <c r="C60" s="69">
        <v>116</v>
      </c>
      <c r="D60" s="69">
        <v>19</v>
      </c>
      <c r="E60" s="69">
        <f t="shared" si="48"/>
        <v>1.3455999999999999E-2</v>
      </c>
      <c r="F60" s="20"/>
      <c r="G60" s="7" t="s">
        <v>12</v>
      </c>
      <c r="H60" s="69">
        <f>ROUND(Q60+T60/Раскройка!$F$2,0)</f>
        <v>773</v>
      </c>
      <c r="I60" s="69" t="s">
        <v>75</v>
      </c>
      <c r="J60" s="69">
        <v>2</v>
      </c>
      <c r="K60" s="69" t="s">
        <v>44</v>
      </c>
      <c r="L60" s="69">
        <v>4</v>
      </c>
      <c r="M60" s="69">
        <f>E60*(0.25*(VLOOKUP(I60,Покрытия!$A$2:$B$40,2,FALSE)*J60+VLOOKUP(K60,Покрытия!$A$2:$B$40,2,FALSE)*L60)+H60)</f>
        <v>34.622287999999998</v>
      </c>
      <c r="N60" s="69">
        <v>2</v>
      </c>
      <c r="O60" s="69">
        <f t="shared" si="49"/>
        <v>69.244575999999995</v>
      </c>
      <c r="P60" s="70"/>
      <c r="Q60" s="69">
        <f t="array" ref="Q60">INDEX(Материалы!$C$2:$C$50,MATCH(G60&amp;D60,Материалы!$A$2:$A$50&amp;Материалы!$B$2:$B$50,0))</f>
        <v>734</v>
      </c>
      <c r="R60" s="69">
        <f>FLOOR(Раскройка!$D$2/B60,1)*FLOOR(Раскройка!$C$2/C60,1)</f>
        <v>408</v>
      </c>
      <c r="S60" s="69">
        <f>MAX(Раскройка!$F$2-E60*R60,0)</f>
        <v>0.30995200000000001</v>
      </c>
      <c r="T60" s="69">
        <f t="shared" si="50"/>
        <v>227.50476800000001</v>
      </c>
    </row>
    <row r="61" spans="1:20" x14ac:dyDescent="0.25">
      <c r="A61" s="69" t="s">
        <v>211</v>
      </c>
      <c r="B61" s="69">
        <v>1440</v>
      </c>
      <c r="C61" s="69">
        <v>110</v>
      </c>
      <c r="D61" s="69">
        <v>0.6</v>
      </c>
      <c r="E61" s="69">
        <f t="shared" si="48"/>
        <v>0.15840000000000001</v>
      </c>
      <c r="F61" s="20"/>
      <c r="G61" s="7" t="s">
        <v>7</v>
      </c>
      <c r="H61" s="69">
        <f>ROUND(Q61+T61/Раскройка!$F$2,0)</f>
        <v>418</v>
      </c>
      <c r="I61" s="69" t="s">
        <v>75</v>
      </c>
      <c r="J61" s="69">
        <v>2</v>
      </c>
      <c r="K61" s="69" t="s">
        <v>44</v>
      </c>
      <c r="L61" s="69">
        <v>4</v>
      </c>
      <c r="M61" s="69">
        <f>E61*(0.25*(VLOOKUP(I61,Покрытия!$A$2:$B$40,2,FALSE)*J61+VLOOKUP(K61,Покрытия!$A$2:$B$40,2,FALSE)*L61)+H61)</f>
        <v>351.33120000000002</v>
      </c>
      <c r="N61" s="69">
        <v>4</v>
      </c>
      <c r="O61" s="69">
        <f t="shared" si="49"/>
        <v>1405.3248000000001</v>
      </c>
      <c r="P61" s="70"/>
      <c r="Q61" s="69">
        <f t="array" ref="Q61">INDEX(Материалы!$C$2:$C$50,MATCH(G61&amp;D61,Материалы!$A$2:$A$50&amp;Материалы!$B$2:$B$50,0))</f>
        <v>277</v>
      </c>
      <c r="R61" s="69">
        <f>FLOOR(Раскройка!$D$2/B61,1)*FLOOR(Раскройка!$C$2/C61,1)</f>
        <v>18</v>
      </c>
      <c r="S61" s="69">
        <f>MAX(Раскройка!$F$2-E61*R61,0)</f>
        <v>2.9487999999999994</v>
      </c>
      <c r="T61" s="69">
        <f t="shared" si="50"/>
        <v>816.81759999999986</v>
      </c>
    </row>
    <row r="62" spans="1:20" x14ac:dyDescent="0.25">
      <c r="A62" s="69" t="s">
        <v>212</v>
      </c>
      <c r="B62" s="69">
        <v>116</v>
      </c>
      <c r="C62" s="69">
        <v>53</v>
      </c>
      <c r="D62" s="69">
        <v>0.6</v>
      </c>
      <c r="E62" s="69">
        <f t="shared" si="48"/>
        <v>6.1479999999999998E-3</v>
      </c>
      <c r="F62" s="20"/>
      <c r="G62" s="7" t="s">
        <v>7</v>
      </c>
      <c r="H62" s="69">
        <f>ROUND(Q62+T62/Раскройка!$F$2,0)</f>
        <v>279</v>
      </c>
      <c r="I62" s="69" t="s">
        <v>75</v>
      </c>
      <c r="J62" s="69">
        <v>2</v>
      </c>
      <c r="K62" s="69" t="s">
        <v>44</v>
      </c>
      <c r="L62" s="69">
        <v>4</v>
      </c>
      <c r="M62" s="69">
        <f>E62*(0.25*(VLOOKUP(I62,Покрытия!$A$2:$B$40,2,FALSE)*J62+VLOOKUP(K62,Покрытия!$A$2:$B$40,2,FALSE)*L62)+H62)</f>
        <v>12.781692</v>
      </c>
      <c r="N62" s="69">
        <v>4</v>
      </c>
      <c r="O62" s="69">
        <f t="shared" si="49"/>
        <v>51.126767999999998</v>
      </c>
      <c r="P62" s="70"/>
      <c r="Q62" s="69">
        <f t="array" ref="Q62">INDEX(Материалы!$C$2:$C$50,MATCH(G62&amp;D62,Материалы!$A$2:$A$50&amp;Материалы!$B$2:$B$50,0))</f>
        <v>277</v>
      </c>
      <c r="R62" s="69">
        <f>FLOOR(Раскройка!$D$2/B62,1)*FLOOR(Раскройка!$C$2/C62,1)</f>
        <v>936</v>
      </c>
      <c r="S62" s="69">
        <f>MAX(Раскройка!$F$2-E62*R62,0)</f>
        <v>4.5472000000000179E-2</v>
      </c>
      <c r="T62" s="69">
        <f t="shared" si="50"/>
        <v>12.59574400000005</v>
      </c>
    </row>
    <row r="63" spans="1:20" x14ac:dyDescent="0.25">
      <c r="A63" s="69" t="s">
        <v>213</v>
      </c>
      <c r="B63" s="69">
        <v>116</v>
      </c>
      <c r="C63" s="69">
        <v>116</v>
      </c>
      <c r="D63" s="69">
        <v>0.6</v>
      </c>
      <c r="E63" s="69">
        <f t="shared" si="48"/>
        <v>1.3455999999999999E-2</v>
      </c>
      <c r="F63" s="20"/>
      <c r="G63" s="7" t="s">
        <v>7</v>
      </c>
      <c r="H63" s="69">
        <f>ROUND(Q63+T63/Раскройка!$F$2,0)</f>
        <v>292</v>
      </c>
      <c r="I63" s="69" t="s">
        <v>75</v>
      </c>
      <c r="J63" s="69">
        <v>2</v>
      </c>
      <c r="K63" s="69" t="s">
        <v>44</v>
      </c>
      <c r="L63" s="69">
        <v>4</v>
      </c>
      <c r="M63" s="69">
        <f>E63*(0.25*(VLOOKUP(I63,Покрытия!$A$2:$B$40,2,FALSE)*J63+VLOOKUP(K63,Покрытия!$A$2:$B$40,2,FALSE)*L63)+H63)</f>
        <v>28.149951999999999</v>
      </c>
      <c r="N63" s="69">
        <v>4</v>
      </c>
      <c r="O63" s="69">
        <f t="shared" si="49"/>
        <v>112.599808</v>
      </c>
      <c r="P63" s="70"/>
      <c r="Q63" s="69">
        <f t="array" ref="Q63">INDEX(Материалы!$C$2:$C$50,MATCH(G63&amp;D63,Материалы!$A$2:$A$50&amp;Материалы!$B$2:$B$50,0))</f>
        <v>277</v>
      </c>
      <c r="R63" s="69">
        <f>FLOOR(Раскройка!$D$2/B63,1)*FLOOR(Раскройка!$C$2/C63,1)</f>
        <v>408</v>
      </c>
      <c r="S63" s="69">
        <f>MAX(Раскройка!$F$2-E63*R63,0)</f>
        <v>0.30995200000000001</v>
      </c>
      <c r="T63" s="69">
        <f t="shared" si="50"/>
        <v>85.856704000000008</v>
      </c>
    </row>
    <row r="66" spans="1:20" x14ac:dyDescent="0.25">
      <c r="A66" s="69" t="s">
        <v>111</v>
      </c>
      <c r="B66" s="69">
        <v>1440</v>
      </c>
      <c r="C66" s="69">
        <v>53</v>
      </c>
      <c r="D66" s="69">
        <v>19</v>
      </c>
      <c r="E66" s="69">
        <f t="shared" ref="E66:E67" si="51">B66*C66/1000000</f>
        <v>7.6319999999999999E-2</v>
      </c>
      <c r="F66" s="20"/>
      <c r="G66" s="7" t="s">
        <v>12</v>
      </c>
      <c r="H66" s="69">
        <f>ROUND(Q66+T66/Раскройка!$F$2,0)</f>
        <v>1091</v>
      </c>
      <c r="I66" s="69" t="s">
        <v>75</v>
      </c>
      <c r="J66" s="69">
        <v>2</v>
      </c>
      <c r="K66" s="69" t="s">
        <v>44</v>
      </c>
      <c r="L66" s="69">
        <v>4</v>
      </c>
      <c r="M66" s="69">
        <f>E66*(0.25*(VLOOKUP(I66,Покрытия!$A$2:$B$40,2,FALSE)*J66+VLOOKUP(K66,Покрытия!$A$2:$B$40,2,FALSE)*L66)+H66)</f>
        <v>220.64112</v>
      </c>
      <c r="N66" s="69">
        <v>4</v>
      </c>
      <c r="O66" s="69">
        <f t="shared" ref="O66:O67" si="52">M66*N66</f>
        <v>882.56448</v>
      </c>
      <c r="P66" s="70"/>
      <c r="Q66" s="69">
        <f t="array" ref="Q66">INDEX(Материалы!$C$2:$C$50,MATCH(G66&amp;D66,Материалы!$A$2:$A$50&amp;Материалы!$B$2:$B$50,0))</f>
        <v>734</v>
      </c>
      <c r="R66" s="69">
        <f>FLOOR(Раскройка!$D$2/B66,1)*FLOOR(Раскройка!$C$2/C66,1)</f>
        <v>39</v>
      </c>
      <c r="S66" s="69">
        <f>MAX(Раскройка!$F$2-E66*R66,0)</f>
        <v>2.8235199999999998</v>
      </c>
      <c r="T66" s="69">
        <f t="shared" ref="T66:T67" si="53">Q66*S66</f>
        <v>2072.4636799999998</v>
      </c>
    </row>
    <row r="67" spans="1:20" x14ac:dyDescent="0.25">
      <c r="A67" s="69" t="s">
        <v>112</v>
      </c>
      <c r="B67" s="69">
        <v>2154</v>
      </c>
      <c r="C67" s="69">
        <v>63</v>
      </c>
      <c r="D67" s="69">
        <v>19</v>
      </c>
      <c r="E67" s="69">
        <f t="shared" si="51"/>
        <v>0.13570199999999999</v>
      </c>
      <c r="F67" s="20"/>
      <c r="G67" s="7" t="s">
        <v>12</v>
      </c>
      <c r="H67" s="69">
        <f>ROUND(Q67+T67/Раскройка!$F$2,0)</f>
        <v>918</v>
      </c>
      <c r="I67" s="69" t="s">
        <v>75</v>
      </c>
      <c r="J67" s="69">
        <v>2</v>
      </c>
      <c r="K67" s="69" t="s">
        <v>44</v>
      </c>
      <c r="L67" s="69">
        <v>4</v>
      </c>
      <c r="M67" s="69">
        <f>E67*(0.25*(VLOOKUP(I67,Покрытия!$A$2:$B$40,2,FALSE)*J67+VLOOKUP(K67,Покрытия!$A$2:$B$40,2,FALSE)*L67)+H67)</f>
        <v>368.83803599999999</v>
      </c>
      <c r="N67" s="69">
        <v>2</v>
      </c>
      <c r="O67" s="69">
        <f t="shared" si="52"/>
        <v>737.67607199999998</v>
      </c>
      <c r="P67" s="70"/>
      <c r="Q67" s="69">
        <f t="array" ref="Q67">INDEX(Материалы!$C$2:$C$50,MATCH(G67&amp;D67,Материалы!$A$2:$A$50&amp;Материалы!$B$2:$B$50,0))</f>
        <v>734</v>
      </c>
      <c r="R67" s="69">
        <f>FLOOR(Раскройка!$D$2/B67,1)*FLOOR(Раскройка!$C$2/C67,1)</f>
        <v>32</v>
      </c>
      <c r="S67" s="69">
        <f>MAX(Раскройка!$F$2-E67*R67,0)</f>
        <v>1.4575360000000002</v>
      </c>
      <c r="T67" s="69">
        <f t="shared" si="53"/>
        <v>1069.8314240000002</v>
      </c>
    </row>
    <row r="68" spans="1:20" x14ac:dyDescent="0.25">
      <c r="A68" s="69" t="s">
        <v>144</v>
      </c>
      <c r="B68" s="69">
        <f>1440-63-53</f>
        <v>1324</v>
      </c>
      <c r="C68" s="69">
        <v>25</v>
      </c>
      <c r="D68" s="69">
        <v>25</v>
      </c>
      <c r="E68" s="69">
        <f>B68*C68*D68/1000000000</f>
        <v>8.275E-4</v>
      </c>
      <c r="F68" s="69">
        <f>B68*C68/1000000</f>
        <v>3.3099999999999997E-2</v>
      </c>
      <c r="G68" s="69" t="s">
        <v>16</v>
      </c>
      <c r="H68" s="69">
        <f>ROUND(Q68+T68/Раскройка!$F$11,0)</f>
        <v>50839</v>
      </c>
      <c r="I68" s="69" t="s">
        <v>75</v>
      </c>
      <c r="J68" s="69">
        <v>2</v>
      </c>
      <c r="K68" s="69" t="s">
        <v>44</v>
      </c>
      <c r="L68" s="69">
        <v>4</v>
      </c>
      <c r="M68" s="69">
        <f>E68*H68+0.25*((VLOOKUP(I68,Покрытия!$A$2:$B$50,2,FALSE)*J68+VLOOKUP(K68,Покрытия!$A$2:$B$50,2,FALSE)*L68)*F68)</f>
        <v>101.6492725</v>
      </c>
      <c r="N68" s="69">
        <v>6</v>
      </c>
      <c r="O68" s="69">
        <f>M68*N68</f>
        <v>609.89563499999997</v>
      </c>
      <c r="P68" s="70"/>
      <c r="Q68" s="69">
        <f t="array" ref="Q68">INDEX(Материалы!$C$2:$C$50,MATCH(G68,Материалы!$A$2:$A$50,0))</f>
        <v>45500</v>
      </c>
      <c r="R68" s="69">
        <f>FLOOR(Раскройка!$C$11/C68,1)*FLOOR(Раскройка!$D$11/B68,1)</f>
        <v>24</v>
      </c>
      <c r="S68" s="69">
        <f>MAX(Раскройка!$F$11-E68*R68,0)</f>
        <v>2.64E-3</v>
      </c>
      <c r="T68" s="69">
        <f>Q68*S68</f>
        <v>120.12</v>
      </c>
    </row>
    <row r="69" spans="1:20" x14ac:dyDescent="0.25">
      <c r="A69" s="69" t="s">
        <v>145</v>
      </c>
      <c r="B69" s="69">
        <f>2154-53*4</f>
        <v>1942</v>
      </c>
      <c r="C69" s="69">
        <v>25</v>
      </c>
      <c r="D69" s="69">
        <v>25</v>
      </c>
      <c r="E69" s="69">
        <f>B69*C69*D69/1000000000</f>
        <v>1.21375E-3</v>
      </c>
      <c r="F69" s="69">
        <f>B69*C69/1000000</f>
        <v>4.8550000000000003E-2</v>
      </c>
      <c r="G69" s="69" t="s">
        <v>16</v>
      </c>
      <c r="H69" s="69">
        <f>ROUND(Q69+T69/Раскройка!$F$11,0)</f>
        <v>61546</v>
      </c>
      <c r="I69" s="69" t="s">
        <v>75</v>
      </c>
      <c r="J69" s="69">
        <v>2</v>
      </c>
      <c r="K69" s="69" t="s">
        <v>44</v>
      </c>
      <c r="L69" s="69">
        <v>4</v>
      </c>
      <c r="M69" s="69">
        <f>E69*H69+0.25*((VLOOKUP(I69,Покрытия!$A$2:$B$50,2,FALSE)*J69+VLOOKUP(K69,Покрытия!$A$2:$B$50,2,FALSE)*L69)*F69)</f>
        <v>162.09145749999999</v>
      </c>
      <c r="N69" s="69">
        <v>2</v>
      </c>
      <c r="O69" s="69">
        <f>M69*N69</f>
        <v>324.18291499999998</v>
      </c>
      <c r="P69" s="70"/>
      <c r="Q69" s="69">
        <f t="array" ref="Q69">INDEX(Материалы!$C$2:$C$50,MATCH(G69,Материалы!$A$2:$A$50,0))</f>
        <v>45500</v>
      </c>
      <c r="R69" s="69">
        <f>FLOOR(Раскройка!$C$11/C69,1)*FLOOR(Раскройка!$D$11/B69,1)</f>
        <v>12</v>
      </c>
      <c r="S69" s="69">
        <f>MAX(Раскройка!$F$11-E69*R69,0)</f>
        <v>7.9349999999999993E-3</v>
      </c>
      <c r="T69" s="69">
        <f>Q69*S69</f>
        <v>361.04249999999996</v>
      </c>
    </row>
    <row r="70" spans="1:20" x14ac:dyDescent="0.25">
      <c r="A70" s="69" t="s">
        <v>57</v>
      </c>
      <c r="B70" s="69">
        <v>1324</v>
      </c>
      <c r="C70" s="69">
        <v>218</v>
      </c>
      <c r="D70" s="69">
        <v>19</v>
      </c>
      <c r="E70" s="69">
        <f t="shared" ref="E70:E72" si="54">B70*C70/1000000</f>
        <v>0.288632</v>
      </c>
      <c r="F70" s="20"/>
      <c r="G70" s="7" t="s">
        <v>12</v>
      </c>
      <c r="H70" s="69">
        <f>ROUND(Q70+T70/Раскройка!$F$2,0)</f>
        <v>811</v>
      </c>
      <c r="I70" s="69" t="s">
        <v>75</v>
      </c>
      <c r="J70" s="69">
        <v>2</v>
      </c>
      <c r="K70" s="69" t="s">
        <v>44</v>
      </c>
      <c r="L70" s="69">
        <v>4</v>
      </c>
      <c r="M70" s="69">
        <f>E70*(0.25*(VLOOKUP(I70,Покрытия!$A$2:$B$40,2,FALSE)*J70+VLOOKUP(K70,Покрытия!$A$2:$B$40,2,FALSE)*L70)+H70)</f>
        <v>753.61815200000001</v>
      </c>
      <c r="N70" s="69">
        <v>1</v>
      </c>
      <c r="O70" s="69">
        <f t="shared" ref="O70:O72" si="55">M70*N70</f>
        <v>753.61815200000001</v>
      </c>
      <c r="P70" s="70"/>
      <c r="Q70" s="69">
        <f t="array" ref="Q70">INDEX(Материалы!$C$2:$C$50,MATCH(G70&amp;D70,Материалы!$A$2:$A$50&amp;Материалы!$B$2:$B$50,0))</f>
        <v>734</v>
      </c>
      <c r="R70" s="69">
        <f>FLOOR(Раскройка!$D$2/B70,1)*FLOOR(Раскройка!$C$2/C70,1)</f>
        <v>18</v>
      </c>
      <c r="S70" s="69">
        <f>MAX(Раскройка!$F$2-E70*R70,0)</f>
        <v>0.60462400000000027</v>
      </c>
      <c r="T70" s="69">
        <f t="shared" ref="T70:T72" si="56">Q70*S70</f>
        <v>443.79401600000023</v>
      </c>
    </row>
    <row r="71" spans="1:20" x14ac:dyDescent="0.25">
      <c r="A71" s="69" t="s">
        <v>111</v>
      </c>
      <c r="B71" s="69">
        <v>1440</v>
      </c>
      <c r="C71" s="69">
        <v>53</v>
      </c>
      <c r="D71" s="69">
        <v>0.6</v>
      </c>
      <c r="E71" s="69">
        <f t="shared" si="54"/>
        <v>7.6319999999999999E-2</v>
      </c>
      <c r="F71" s="20"/>
      <c r="G71" s="7" t="s">
        <v>7</v>
      </c>
      <c r="H71" s="69">
        <f>ROUND(Q71+T71/Раскройка!$F$2,0)</f>
        <v>412</v>
      </c>
      <c r="I71" s="69" t="s">
        <v>75</v>
      </c>
      <c r="J71" s="69">
        <v>2</v>
      </c>
      <c r="K71" s="69" t="s">
        <v>44</v>
      </c>
      <c r="L71" s="69">
        <v>4</v>
      </c>
      <c r="M71" s="69">
        <f>E71*(0.25*(VLOOKUP(I71,Покрытия!$A$2:$B$40,2,FALSE)*J71+VLOOKUP(K71,Покрытия!$A$2:$B$40,2,FALSE)*L71)+H71)</f>
        <v>168.81984</v>
      </c>
      <c r="N71" s="69">
        <v>8</v>
      </c>
      <c r="O71" s="69">
        <f t="shared" si="55"/>
        <v>1350.55872</v>
      </c>
      <c r="P71" s="70"/>
      <c r="Q71" s="69">
        <f t="array" ref="Q71">INDEX(Материалы!$C$2:$C$50,MATCH(G71&amp;D71,Материалы!$A$2:$A$50&amp;Материалы!$B$2:$B$50,0))</f>
        <v>277</v>
      </c>
      <c r="R71" s="69">
        <f>FLOOR(Раскройка!$D$2/B71,1)*FLOOR(Раскройка!$C$2/C71,1)</f>
        <v>39</v>
      </c>
      <c r="S71" s="69">
        <f>MAX(Раскройка!$F$2-E71*R71,0)</f>
        <v>2.8235199999999998</v>
      </c>
      <c r="T71" s="69">
        <f t="shared" si="56"/>
        <v>782.11503999999991</v>
      </c>
    </row>
    <row r="72" spans="1:20" x14ac:dyDescent="0.25">
      <c r="A72" s="69" t="s">
        <v>112</v>
      </c>
      <c r="B72" s="69">
        <v>2154</v>
      </c>
      <c r="C72" s="69">
        <v>63</v>
      </c>
      <c r="D72" s="69">
        <v>0.6</v>
      </c>
      <c r="E72" s="69">
        <f t="shared" si="54"/>
        <v>0.13570199999999999</v>
      </c>
      <c r="F72" s="20"/>
      <c r="G72" s="7" t="s">
        <v>7</v>
      </c>
      <c r="H72" s="69">
        <f>ROUND(Q72+T72/Раскройка!$F$2,0)</f>
        <v>347</v>
      </c>
      <c r="I72" s="69" t="s">
        <v>75</v>
      </c>
      <c r="J72" s="69">
        <v>2</v>
      </c>
      <c r="K72" s="69" t="s">
        <v>44</v>
      </c>
      <c r="L72" s="69">
        <v>4</v>
      </c>
      <c r="M72" s="69">
        <f>E72*(0.25*(VLOOKUP(I72,Покрытия!$A$2:$B$40,2,FALSE)*J72+VLOOKUP(K72,Покрытия!$A$2:$B$40,2,FALSE)*L72)+H72)</f>
        <v>291.352194</v>
      </c>
      <c r="N72" s="69">
        <v>4</v>
      </c>
      <c r="O72" s="69">
        <f t="shared" si="55"/>
        <v>1165.408776</v>
      </c>
      <c r="P72" s="70"/>
      <c r="Q72" s="69">
        <f t="array" ref="Q72">INDEX(Материалы!$C$2:$C$50,MATCH(G72&amp;D72,Материалы!$A$2:$A$50&amp;Материалы!$B$2:$B$50,0))</f>
        <v>277</v>
      </c>
      <c r="R72" s="69">
        <f>FLOOR(Раскройка!$D$2/B72,1)*FLOOR(Раскройка!$C$2/C72,1)</f>
        <v>32</v>
      </c>
      <c r="S72" s="69">
        <f>MAX(Раскройка!$F$2-E72*R72,0)</f>
        <v>1.4575360000000002</v>
      </c>
      <c r="T72" s="69">
        <f t="shared" si="56"/>
        <v>403.73747200000003</v>
      </c>
    </row>
    <row r="73" spans="1:20" x14ac:dyDescent="0.25">
      <c r="A73" s="69" t="s">
        <v>57</v>
      </c>
      <c r="B73" s="69">
        <v>1324</v>
      </c>
      <c r="C73" s="69">
        <v>218</v>
      </c>
      <c r="D73" s="69">
        <v>0.6</v>
      </c>
      <c r="E73" s="69">
        <f t="shared" ref="E73" si="57">B73*C73/1000000</f>
        <v>0.288632</v>
      </c>
      <c r="F73" s="20"/>
      <c r="G73" s="7" t="s">
        <v>7</v>
      </c>
      <c r="H73" s="69">
        <f>ROUND(Q73+T73/Раскройка!$F$2,0)</f>
        <v>306</v>
      </c>
      <c r="I73" s="69" t="s">
        <v>75</v>
      </c>
      <c r="J73" s="69">
        <v>2</v>
      </c>
      <c r="K73" s="69" t="s">
        <v>44</v>
      </c>
      <c r="L73" s="69">
        <v>4</v>
      </c>
      <c r="M73" s="69">
        <f>E73*(0.25*(VLOOKUP(I73,Покрытия!$A$2:$B$40,2,FALSE)*J73+VLOOKUP(K73,Покрытия!$A$2:$B$40,2,FALSE)*L73)+H73)</f>
        <v>607.85899199999994</v>
      </c>
      <c r="N73" s="69">
        <v>2</v>
      </c>
      <c r="O73" s="69">
        <f t="shared" ref="O73" si="58">M73*N73</f>
        <v>1215.7179839999999</v>
      </c>
      <c r="P73" s="70"/>
      <c r="Q73" s="69">
        <f t="array" ref="Q73">INDEX(Материалы!$C$2:$C$50,MATCH(G73&amp;D73,Материалы!$A$2:$A$50&amp;Материалы!$B$2:$B$50,0))</f>
        <v>277</v>
      </c>
      <c r="R73" s="69">
        <f>FLOOR(Раскройка!$D$2/B73,1)*FLOOR(Раскройка!$C$2/C73,1)</f>
        <v>18</v>
      </c>
      <c r="S73" s="69">
        <f>MAX(Раскройка!$F$2-E73*R73,0)</f>
        <v>0.60462400000000027</v>
      </c>
      <c r="T73" s="69">
        <f t="shared" ref="T73" si="59">Q73*S73</f>
        <v>167.48084800000007</v>
      </c>
    </row>
    <row r="76" spans="1:20" x14ac:dyDescent="0.25">
      <c r="A76" s="69" t="s">
        <v>34</v>
      </c>
      <c r="B76" s="69">
        <v>1000</v>
      </c>
      <c r="C76" s="69">
        <f>293-164</f>
        <v>129</v>
      </c>
      <c r="D76" s="69">
        <v>120</v>
      </c>
      <c r="E76" s="69">
        <f>B76*C76*D76/1000000000</f>
        <v>1.5480000000000001E-2</v>
      </c>
      <c r="F76" s="69">
        <f>B76*C76/1000000</f>
        <v>0.129</v>
      </c>
      <c r="G76" s="69" t="s">
        <v>16</v>
      </c>
      <c r="H76" s="69">
        <f>ROUND(Q76+T76/Раскройка!$F$11,0)</f>
        <v>45500</v>
      </c>
      <c r="I76" s="69" t="s">
        <v>75</v>
      </c>
      <c r="J76" s="69">
        <v>2</v>
      </c>
      <c r="K76" s="69" t="s">
        <v>44</v>
      </c>
      <c r="L76" s="69">
        <v>4</v>
      </c>
      <c r="M76" s="69">
        <f>E76*H76+0.25*((VLOOKUP(I76,Покрытия!$A$2:$B$50,2,FALSE)*J76+VLOOKUP(K76,Покрытия!$A$2:$B$50,2,FALSE)*L76)*F76)</f>
        <v>936.54000000000008</v>
      </c>
      <c r="N76" s="69">
        <v>1</v>
      </c>
      <c r="O76" s="69">
        <f>M76*N76</f>
        <v>936.54000000000008</v>
      </c>
      <c r="P76" s="70"/>
      <c r="Q76" s="69">
        <f t="array" ref="Q76">INDEX(Материалы!$C$2:$C$50,MATCH(G76,Материалы!$A$2:$A$50,0))</f>
        <v>45500</v>
      </c>
      <c r="R76" s="69">
        <f>FLOOR(Раскройка!$C$11/C76,1)*FLOOR(Раскройка!$D$11/B76,1)</f>
        <v>6</v>
      </c>
      <c r="S76" s="69">
        <f>MAX(Раскройка!$F$11-E76*R76,0)</f>
        <v>0</v>
      </c>
      <c r="T76" s="69">
        <f>Q76*S76</f>
        <v>0</v>
      </c>
    </row>
    <row r="77" spans="1:20" x14ac:dyDescent="0.25">
      <c r="A77" s="69" t="s">
        <v>3</v>
      </c>
      <c r="B77" s="69">
        <v>1000</v>
      </c>
      <c r="C77" s="69">
        <v>164</v>
      </c>
      <c r="D77" s="69">
        <v>19</v>
      </c>
      <c r="E77" s="69">
        <f t="shared" ref="E77:E78" si="60">B77*C77/1000000</f>
        <v>0.16400000000000001</v>
      </c>
      <c r="F77" s="20"/>
      <c r="G77" s="7" t="s">
        <v>12</v>
      </c>
      <c r="H77" s="69">
        <f>ROUND(Q77+T77/Раскройка!$F$2,0)</f>
        <v>970</v>
      </c>
      <c r="I77" s="69" t="s">
        <v>75</v>
      </c>
      <c r="J77" s="69">
        <v>0</v>
      </c>
      <c r="K77" s="69" t="s">
        <v>44</v>
      </c>
      <c r="L77" s="69">
        <v>0</v>
      </c>
      <c r="M77" s="69">
        <f>E77*(0.25*(VLOOKUP(I77,Покрытия!$A$2:$B$40,2,FALSE)*J77+VLOOKUP(K77,Покрытия!$A$2:$B$40,2,FALSE)*L77)+H77)</f>
        <v>159.08000000000001</v>
      </c>
      <c r="N77" s="69">
        <v>1</v>
      </c>
      <c r="O77" s="69">
        <f t="shared" ref="O77:O78" si="61">M77*N77</f>
        <v>159.08000000000001</v>
      </c>
      <c r="P77" s="70"/>
      <c r="Q77" s="69">
        <f t="array" ref="Q77">INDEX(Материалы!$C$2:$C$50,MATCH(G77&amp;D77,Материалы!$A$2:$A$50&amp;Материалы!$B$2:$B$50,0))</f>
        <v>734</v>
      </c>
      <c r="R77" s="69">
        <f>FLOOR(Раскройка!$D$2/B77,1)*FLOOR(Раскройка!$C$2/C77,1)</f>
        <v>24</v>
      </c>
      <c r="S77" s="69">
        <f>MAX(Раскройка!$F$2-E77*R77,0)</f>
        <v>1.8639999999999999</v>
      </c>
      <c r="T77" s="69">
        <f t="shared" ref="T77:T78" si="62">Q77*S77</f>
        <v>1368.1759999999999</v>
      </c>
    </row>
    <row r="78" spans="1:20" x14ac:dyDescent="0.25">
      <c r="A78" s="69" t="s">
        <v>215</v>
      </c>
      <c r="B78" s="69">
        <v>1000</v>
      </c>
      <c r="C78" s="69">
        <v>164</v>
      </c>
      <c r="D78" s="69">
        <v>0.6</v>
      </c>
      <c r="E78" s="69">
        <f t="shared" si="60"/>
        <v>0.16400000000000001</v>
      </c>
      <c r="F78" s="20"/>
      <c r="G78" s="7" t="s">
        <v>7</v>
      </c>
      <c r="H78" s="69">
        <f>ROUND(Q78+T78/Раскройка!$F$2,0)</f>
        <v>366</v>
      </c>
      <c r="I78" s="69" t="s">
        <v>75</v>
      </c>
      <c r="J78" s="69">
        <v>2</v>
      </c>
      <c r="K78" s="69" t="s">
        <v>44</v>
      </c>
      <c r="L78" s="69">
        <v>4</v>
      </c>
      <c r="M78" s="69">
        <f>E78*(0.25*(VLOOKUP(I78,Покрытия!$A$2:$B$40,2,FALSE)*J78+VLOOKUP(K78,Покрытия!$A$2:$B$40,2,FALSE)*L78)+H78)</f>
        <v>355.22399999999999</v>
      </c>
      <c r="N78" s="69">
        <v>2</v>
      </c>
      <c r="O78" s="69">
        <f t="shared" si="61"/>
        <v>710.44799999999998</v>
      </c>
      <c r="P78" s="70"/>
      <c r="Q78" s="69">
        <f t="array" ref="Q78">INDEX(Материалы!$C$2:$C$50,MATCH(G78&amp;D78,Материалы!$A$2:$A$50&amp;Материалы!$B$2:$B$50,0))</f>
        <v>277</v>
      </c>
      <c r="R78" s="69">
        <f>FLOOR(Раскройка!$D$2/B78,1)*FLOOR(Раскройка!$C$2/C78,1)</f>
        <v>24</v>
      </c>
      <c r="S78" s="69">
        <f>MAX(Раскройка!$F$2-E78*R78,0)</f>
        <v>1.8639999999999999</v>
      </c>
      <c r="T78" s="69">
        <f t="shared" si="62"/>
        <v>516.32799999999997</v>
      </c>
    </row>
    <row r="81" spans="1:21" x14ac:dyDescent="0.25">
      <c r="A81" s="69" t="s">
        <v>82</v>
      </c>
      <c r="B81" s="69">
        <v>838</v>
      </c>
      <c r="C81" s="69">
        <v>82</v>
      </c>
      <c r="D81" s="69">
        <v>19</v>
      </c>
      <c r="E81" s="69">
        <f t="shared" ref="E81:E82" si="63">B81*C81/1000000</f>
        <v>6.8715999999999999E-2</v>
      </c>
      <c r="F81" s="20"/>
      <c r="G81" s="7" t="s">
        <v>12</v>
      </c>
      <c r="H81" s="69">
        <f>ROUND(Q81+T81/Раскройка!$F$2,0)</f>
        <v>816</v>
      </c>
      <c r="I81" s="69" t="s">
        <v>75</v>
      </c>
      <c r="J81" s="69">
        <v>0</v>
      </c>
      <c r="K81" s="69" t="s">
        <v>44</v>
      </c>
      <c r="L81" s="69">
        <v>0</v>
      </c>
      <c r="M81" s="69">
        <f>E81*(0.25*(VLOOKUP(I81,Покрытия!$A$2:$B$40,2,FALSE)*J81+VLOOKUP(K81,Покрытия!$A$2:$B$40,2,FALSE)*L81)+H81)</f>
        <v>56.072255999999996</v>
      </c>
      <c r="N81" s="69">
        <v>2</v>
      </c>
      <c r="O81" s="69">
        <f t="shared" ref="O81:O82" si="64">M81*N81</f>
        <v>112.14451199999999</v>
      </c>
      <c r="P81" s="70"/>
      <c r="Q81" s="69">
        <f t="array" ref="Q81">INDEX(Материалы!$C$2:$C$50,MATCH(G81&amp;D81,Материалы!$A$2:$A$50&amp;Материалы!$B$2:$B$50,0))</f>
        <v>734</v>
      </c>
      <c r="R81" s="69">
        <f>FLOOR(Раскройка!$D$2/B81,1)*FLOOR(Раскройка!$C$2/C81,1)</f>
        <v>75</v>
      </c>
      <c r="S81" s="69">
        <f>MAX(Раскройка!$F$2-E81*R81,0)</f>
        <v>0.6463000000000001</v>
      </c>
      <c r="T81" s="69">
        <f t="shared" ref="T81:T82" si="65">Q81*S81</f>
        <v>474.38420000000008</v>
      </c>
    </row>
    <row r="82" spans="1:21" x14ac:dyDescent="0.25">
      <c r="A82" s="69" t="s">
        <v>81</v>
      </c>
      <c r="B82" s="69">
        <v>1650</v>
      </c>
      <c r="C82" s="69">
        <v>82</v>
      </c>
      <c r="D82" s="69">
        <v>19</v>
      </c>
      <c r="E82" s="69">
        <f t="shared" si="63"/>
        <v>0.1353</v>
      </c>
      <c r="F82" s="20"/>
      <c r="G82" s="7" t="s">
        <v>12</v>
      </c>
      <c r="H82" s="69">
        <f>ROUND(Q82+T82/Раскройка!$F$2,0)</f>
        <v>1040</v>
      </c>
      <c r="I82" s="69" t="s">
        <v>75</v>
      </c>
      <c r="J82" s="69">
        <v>0</v>
      </c>
      <c r="K82" s="69" t="s">
        <v>44</v>
      </c>
      <c r="L82" s="69">
        <v>0</v>
      </c>
      <c r="M82" s="69">
        <f>E82*(0.25*(VLOOKUP(I82,Покрытия!$A$2:$B$40,2,FALSE)*J82+VLOOKUP(K82,Покрытия!$A$2:$B$40,2,FALSE)*L82)+H82)</f>
        <v>140.71200000000002</v>
      </c>
      <c r="N82" s="69">
        <v>2</v>
      </c>
      <c r="O82" s="69">
        <f t="shared" si="64"/>
        <v>281.42400000000004</v>
      </c>
      <c r="P82" s="70"/>
      <c r="Q82" s="69">
        <f t="array" ref="Q82">INDEX(Материалы!$C$2:$C$50,MATCH(G82&amp;D82,Материалы!$A$2:$A$50&amp;Материалы!$B$2:$B$50,0))</f>
        <v>734</v>
      </c>
      <c r="R82" s="69">
        <f>FLOOR(Раскройка!$D$2/B82,1)*FLOOR(Раскройка!$C$2/C82,1)</f>
        <v>25</v>
      </c>
      <c r="S82" s="69">
        <f>MAX(Раскройка!$F$2-E82*R82,0)</f>
        <v>2.4174999999999995</v>
      </c>
      <c r="T82" s="69">
        <f t="shared" si="65"/>
        <v>1774.4449999999997</v>
      </c>
    </row>
    <row r="83" spans="1:21" x14ac:dyDescent="0.25">
      <c r="A83" s="69" t="s">
        <v>144</v>
      </c>
      <c r="B83" s="69">
        <v>838</v>
      </c>
      <c r="C83" s="69">
        <v>20</v>
      </c>
      <c r="D83" s="69">
        <v>10</v>
      </c>
      <c r="E83" s="69">
        <f>B83*C83*D83/1000000000</f>
        <v>1.6760000000000001E-4</v>
      </c>
      <c r="F83" s="69">
        <f>B83*C83/1000000</f>
        <v>1.6760000000000001E-2</v>
      </c>
      <c r="G83" s="69" t="s">
        <v>16</v>
      </c>
      <c r="H83" s="69">
        <f>ROUND(Q83+T83/Раскройка!$F$11,0)</f>
        <v>75748</v>
      </c>
      <c r="I83" s="69" t="s">
        <v>75</v>
      </c>
      <c r="J83" s="69">
        <v>2</v>
      </c>
      <c r="K83" s="69" t="s">
        <v>44</v>
      </c>
      <c r="L83" s="69">
        <v>4</v>
      </c>
      <c r="M83" s="69">
        <f>E83*H83+0.25*((VLOOKUP(I83,Покрытия!$A$2:$B$50,2,FALSE)*J83+VLOOKUP(K83,Покрытия!$A$2:$B$50,2,FALSE)*L83)*F83)</f>
        <v>42.863364799999999</v>
      </c>
      <c r="N83" s="69">
        <v>2</v>
      </c>
      <c r="O83" s="69">
        <f>M83*N83</f>
        <v>85.726729599999999</v>
      </c>
      <c r="P83" s="70"/>
      <c r="Q83" s="69">
        <f t="array" ref="Q83">INDEX(Материалы!$C$2:$C$50,MATCH(G83,Материалы!$A$2:$A$50,0))</f>
        <v>45500</v>
      </c>
      <c r="R83" s="69">
        <f>FLOOR(Раскройка!$C$11/C83,1)*FLOOR(Раскройка!$D$11/B83,1)</f>
        <v>45</v>
      </c>
      <c r="S83" s="69">
        <f>MAX(Раскройка!$F$11-E83*R83,0)</f>
        <v>1.4957999999999999E-2</v>
      </c>
      <c r="T83" s="69">
        <f>Q83*S83</f>
        <v>680.58899999999994</v>
      </c>
    </row>
    <row r="84" spans="1:21" x14ac:dyDescent="0.25">
      <c r="A84" s="69" t="s">
        <v>145</v>
      </c>
      <c r="B84" s="69">
        <v>1650</v>
      </c>
      <c r="C84" s="69">
        <v>20</v>
      </c>
      <c r="D84" s="69">
        <v>10</v>
      </c>
      <c r="E84" s="69">
        <f>B84*C84*D84/1000000000</f>
        <v>3.3E-4</v>
      </c>
      <c r="F84" s="69">
        <f>B84*C84/1000000</f>
        <v>3.3000000000000002E-2</v>
      </c>
      <c r="G84" s="69" t="s">
        <v>16</v>
      </c>
      <c r="H84" s="69">
        <f>ROUND(Q84+T84/Раскройка!$F$11,0)</f>
        <v>80990</v>
      </c>
      <c r="I84" s="69" t="s">
        <v>75</v>
      </c>
      <c r="J84" s="69">
        <v>2</v>
      </c>
      <c r="K84" s="69" t="s">
        <v>44</v>
      </c>
      <c r="L84" s="69">
        <v>4</v>
      </c>
      <c r="M84" s="69">
        <f>E84*H84+0.25*((VLOOKUP(I84,Покрытия!$A$2:$B$50,2,FALSE)*J84+VLOOKUP(K84,Покрытия!$A$2:$B$50,2,FALSE)*L84)*F84)</f>
        <v>86.1267</v>
      </c>
      <c r="N84" s="69">
        <v>2</v>
      </c>
      <c r="O84" s="69">
        <f>M84*N84</f>
        <v>172.2534</v>
      </c>
      <c r="P84" s="70"/>
      <c r="Q84" s="69">
        <f t="array" ref="Q84">INDEX(Материалы!$C$2:$C$50,MATCH(G84,Материалы!$A$2:$A$50,0))</f>
        <v>45500</v>
      </c>
      <c r="R84" s="69">
        <f>FLOOR(Раскройка!$C$11/C84,1)*FLOOR(Раскройка!$D$11/B84,1)</f>
        <v>15</v>
      </c>
      <c r="S84" s="69">
        <f>MAX(Раскройка!$F$11-E84*R84,0)</f>
        <v>1.755E-2</v>
      </c>
      <c r="T84" s="69">
        <f>Q84*S84</f>
        <v>798.52499999999998</v>
      </c>
    </row>
    <row r="85" spans="1:21" x14ac:dyDescent="0.25">
      <c r="A85" s="69" t="s">
        <v>57</v>
      </c>
      <c r="B85" s="69">
        <v>838</v>
      </c>
      <c r="C85" s="69">
        <v>1650</v>
      </c>
      <c r="D85" s="69">
        <v>19</v>
      </c>
      <c r="E85" s="69">
        <f t="shared" ref="E85:E87" si="66">B85*C85/1000000</f>
        <v>1.3827</v>
      </c>
      <c r="F85" s="20"/>
      <c r="G85" s="7" t="s">
        <v>12</v>
      </c>
      <c r="H85" s="69">
        <f>ROUND(Q85+T85/Раскройка!$F$2,0)</f>
        <v>943</v>
      </c>
      <c r="I85" s="69" t="s">
        <v>75</v>
      </c>
      <c r="J85" s="69">
        <v>0</v>
      </c>
      <c r="K85" s="69" t="s">
        <v>44</v>
      </c>
      <c r="L85" s="69">
        <v>0</v>
      </c>
      <c r="M85" s="69">
        <f>E85*(0.25*(VLOOKUP(I85,Покрытия!$A$2:$B$40,2,FALSE)*J85+VLOOKUP(K85,Покрытия!$A$2:$B$40,2,FALSE)*L85)+H85)</f>
        <v>1303.8860999999999</v>
      </c>
      <c r="N85" s="69">
        <v>2</v>
      </c>
      <c r="O85" s="69">
        <f t="shared" ref="O85:O87" si="67">M85*N85</f>
        <v>2607.7721999999999</v>
      </c>
      <c r="P85" s="70"/>
      <c r="Q85" s="69">
        <f t="array" ref="Q85">INDEX(Материалы!$C$2:$C$50,MATCH(G85&amp;D85,Материалы!$A$2:$A$50&amp;Материалы!$B$2:$B$50,0))</f>
        <v>734</v>
      </c>
      <c r="R85" s="69">
        <f>FLOOR(Раскройка!$D$2/B85,1)*FLOOR(Раскройка!$C$2/C85,1)</f>
        <v>3</v>
      </c>
      <c r="S85" s="69">
        <f>MAX(Раскройка!$F$2-E85*R85,0)</f>
        <v>1.6518999999999995</v>
      </c>
      <c r="T85" s="69">
        <f t="shared" ref="T85:T87" si="68">Q85*S85</f>
        <v>1212.4945999999995</v>
      </c>
    </row>
    <row r="86" spans="1:21" x14ac:dyDescent="0.25">
      <c r="A86" s="69" t="s">
        <v>200</v>
      </c>
      <c r="B86" s="69">
        <v>838</v>
      </c>
      <c r="C86" s="69">
        <v>82</v>
      </c>
      <c r="D86" s="69">
        <v>0.6</v>
      </c>
      <c r="E86" s="69">
        <f t="shared" si="66"/>
        <v>6.8715999999999999E-2</v>
      </c>
      <c r="F86" s="20"/>
      <c r="G86" s="7" t="s">
        <v>7</v>
      </c>
      <c r="H86" s="69">
        <f>ROUND(Q86+T86/Раскройка!$F$2,0)</f>
        <v>308</v>
      </c>
      <c r="I86" s="69" t="s">
        <v>75</v>
      </c>
      <c r="J86" s="69">
        <v>2</v>
      </c>
      <c r="K86" s="69" t="s">
        <v>44</v>
      </c>
      <c r="L86" s="69">
        <v>4</v>
      </c>
      <c r="M86" s="69">
        <f>E86*(0.25*(VLOOKUP(I86,Покрытия!$A$2:$B$40,2,FALSE)*J86+VLOOKUP(K86,Покрытия!$A$2:$B$40,2,FALSE)*L86)+H86)</f>
        <v>144.853328</v>
      </c>
      <c r="N86" s="69">
        <v>4</v>
      </c>
      <c r="O86" s="69">
        <f t="shared" si="67"/>
        <v>579.41331200000002</v>
      </c>
      <c r="P86" s="70"/>
      <c r="Q86" s="69">
        <f t="array" ref="Q86">INDEX(Материалы!$C$2:$C$50,MATCH(G86&amp;D86,Материалы!$A$2:$A$50&amp;Материалы!$B$2:$B$50,0))</f>
        <v>277</v>
      </c>
      <c r="R86" s="69">
        <f>FLOOR(Раскройка!$D$2/B86,1)*FLOOR(Раскройка!$C$2/C86,1)</f>
        <v>75</v>
      </c>
      <c r="S86" s="69">
        <f>MAX(Раскройка!$F$2-E86*R86,0)</f>
        <v>0.6463000000000001</v>
      </c>
      <c r="T86" s="69">
        <f t="shared" si="68"/>
        <v>179.02510000000004</v>
      </c>
    </row>
    <row r="87" spans="1:21" x14ac:dyDescent="0.25">
      <c r="A87" s="69" t="s">
        <v>201</v>
      </c>
      <c r="B87" s="69">
        <v>1650</v>
      </c>
      <c r="C87" s="69">
        <v>82</v>
      </c>
      <c r="D87" s="69">
        <v>0.6</v>
      </c>
      <c r="E87" s="69">
        <f t="shared" si="66"/>
        <v>0.1353</v>
      </c>
      <c r="F87" s="20"/>
      <c r="G87" s="7" t="s">
        <v>7</v>
      </c>
      <c r="H87" s="69">
        <f>ROUND(Q87+T87/Раскройка!$F$2,0)</f>
        <v>392</v>
      </c>
      <c r="I87" s="69" t="s">
        <v>75</v>
      </c>
      <c r="J87" s="69">
        <v>2</v>
      </c>
      <c r="K87" s="69" t="s">
        <v>44</v>
      </c>
      <c r="L87" s="69">
        <v>4</v>
      </c>
      <c r="M87" s="69">
        <f>E87*(0.25*(VLOOKUP(I87,Покрытия!$A$2:$B$40,2,FALSE)*J87+VLOOKUP(K87,Покрытия!$A$2:$B$40,2,FALSE)*L87)+H87)</f>
        <v>296.57760000000002</v>
      </c>
      <c r="N87" s="69">
        <v>4</v>
      </c>
      <c r="O87" s="69">
        <f t="shared" si="67"/>
        <v>1186.3104000000001</v>
      </c>
      <c r="P87" s="70"/>
      <c r="Q87" s="69">
        <f t="array" ref="Q87">INDEX(Материалы!$C$2:$C$50,MATCH(G87&amp;D87,Материалы!$A$2:$A$50&amp;Материалы!$B$2:$B$50,0))</f>
        <v>277</v>
      </c>
      <c r="R87" s="69">
        <f>FLOOR(Раскройка!$D$2/B87,1)*FLOOR(Раскройка!$C$2/C87,1)</f>
        <v>25</v>
      </c>
      <c r="S87" s="69">
        <f>MAX(Раскройка!$F$2-E87*R87,0)</f>
        <v>2.4174999999999995</v>
      </c>
      <c r="T87" s="69">
        <f t="shared" si="68"/>
        <v>669.64749999999992</v>
      </c>
    </row>
    <row r="88" spans="1:21" x14ac:dyDescent="0.25">
      <c r="A88" s="69" t="s">
        <v>202</v>
      </c>
      <c r="B88" s="69">
        <v>838</v>
      </c>
      <c r="C88" s="69">
        <v>1650</v>
      </c>
      <c r="D88" s="69">
        <v>0.6</v>
      </c>
      <c r="E88" s="69">
        <f>B88*C88/1000000</f>
        <v>1.3827</v>
      </c>
      <c r="F88" s="20"/>
      <c r="G88" s="7" t="s">
        <v>7</v>
      </c>
      <c r="H88" s="69">
        <f>ROUND(Q88+T88/Раскройка!$F$2,0)</f>
        <v>356</v>
      </c>
      <c r="I88" s="69" t="s">
        <v>75</v>
      </c>
      <c r="J88" s="69">
        <v>2</v>
      </c>
      <c r="K88" s="69" t="s">
        <v>44</v>
      </c>
      <c r="L88" s="69">
        <v>4</v>
      </c>
      <c r="M88" s="69">
        <f>E88*(0.25*(VLOOKUP(I88,Покрытия!$A$2:$B$40,2,FALSE)*J88+VLOOKUP(K88,Покрытия!$A$2:$B$40,2,FALSE)*L88)+H88)</f>
        <v>2981.1012000000001</v>
      </c>
      <c r="N88" s="69">
        <v>2</v>
      </c>
      <c r="O88" s="69">
        <f>M88*N88</f>
        <v>5962.2024000000001</v>
      </c>
      <c r="P88" s="70"/>
      <c r="Q88" s="69">
        <f t="array" ref="Q88">INDEX(Материалы!$C$2:$C$50,MATCH(G88&amp;D88,Материалы!$A$2:$A$50&amp;Материалы!$B$2:$B$50,0))</f>
        <v>277</v>
      </c>
      <c r="R88" s="69">
        <f>FLOOR(Раскройка!$D$2/B88,1)*FLOOR(Раскройка!$C$2/C88,1)</f>
        <v>3</v>
      </c>
      <c r="S88" s="69">
        <f>MAX(Раскройка!$F$2-E88*R88,0)</f>
        <v>1.6518999999999995</v>
      </c>
      <c r="T88" s="69">
        <f>Q88*S88</f>
        <v>457.57629999999983</v>
      </c>
    </row>
    <row r="91" spans="1:21" x14ac:dyDescent="0.25">
      <c r="A91" s="69" t="s">
        <v>220</v>
      </c>
      <c r="B91" s="69">
        <v>1156</v>
      </c>
      <c r="C91" s="69">
        <f>2540-580</f>
        <v>1960</v>
      </c>
      <c r="D91" s="69">
        <v>19</v>
      </c>
      <c r="E91" s="69">
        <f t="shared" ref="E91:E92" si="69">B91*C91/1000000</f>
        <v>2.2657600000000002</v>
      </c>
      <c r="F91" s="20"/>
      <c r="G91" s="7" t="s">
        <v>12</v>
      </c>
      <c r="H91" s="69">
        <f>ROUND(Q91+T91/Раскройка!$F$2,0)</f>
        <v>895</v>
      </c>
      <c r="I91" s="69" t="s">
        <v>75</v>
      </c>
      <c r="J91" s="69">
        <v>0</v>
      </c>
      <c r="K91" s="69" t="s">
        <v>44</v>
      </c>
      <c r="L91" s="69">
        <v>0</v>
      </c>
      <c r="M91" s="69">
        <f>E91*(0.25*(VLOOKUP(I91,Покрытия!$A$2:$B$40,2,FALSE)*J91+VLOOKUP(K91,Покрытия!$A$2:$B$40,2,FALSE)*L91)+H91)</f>
        <v>2027.8552000000002</v>
      </c>
      <c r="N91" s="69">
        <v>2</v>
      </c>
      <c r="O91" s="69">
        <f t="shared" ref="O91:O92" si="70">M91*N91</f>
        <v>4055.7104000000004</v>
      </c>
      <c r="P91" s="70"/>
      <c r="Q91" s="69">
        <f t="array" ref="Q91">INDEX(Материалы!$C$2:$C$50,MATCH(G91&amp;D91,Материалы!$A$2:$A$50&amp;Материалы!$B$2:$B$50,0))</f>
        <v>734</v>
      </c>
      <c r="R91" s="69">
        <f>FLOOR(Раскройка!$D$2/B91,1)*FLOOR(Раскройка!$C$2/C91,1)</f>
        <v>2</v>
      </c>
      <c r="S91" s="69">
        <f>MAX(Раскройка!$F$2-E91*R91,0)</f>
        <v>1.2684799999999994</v>
      </c>
      <c r="T91" s="69">
        <f t="shared" ref="T91:T92" si="71">Q91*S91</f>
        <v>931.0643199999995</v>
      </c>
      <c r="U91" s="70"/>
    </row>
    <row r="92" spans="1:21" x14ac:dyDescent="0.25">
      <c r="A92" s="69" t="s">
        <v>221</v>
      </c>
      <c r="B92" s="69">
        <v>1156</v>
      </c>
      <c r="C92" s="69">
        <v>1960</v>
      </c>
      <c r="D92" s="69">
        <v>0.6</v>
      </c>
      <c r="E92" s="69">
        <f t="shared" si="69"/>
        <v>2.2657600000000002</v>
      </c>
      <c r="F92" s="20"/>
      <c r="G92" s="7" t="s">
        <v>7</v>
      </c>
      <c r="H92" s="69">
        <f>ROUND(Q92+T92/Раскройка!$F$2,0)</f>
        <v>338</v>
      </c>
      <c r="I92" s="69" t="s">
        <v>75</v>
      </c>
      <c r="J92" s="69">
        <v>2</v>
      </c>
      <c r="K92" s="69" t="s">
        <v>44</v>
      </c>
      <c r="L92" s="69">
        <v>4</v>
      </c>
      <c r="M92" s="69">
        <f>E92*(0.25*(VLOOKUP(I92,Покрытия!$A$2:$B$40,2,FALSE)*J92+VLOOKUP(K92,Покрытия!$A$2:$B$40,2,FALSE)*L92)+H92)</f>
        <v>4844.1948800000009</v>
      </c>
      <c r="N92" s="69">
        <v>4</v>
      </c>
      <c r="O92" s="69">
        <f t="shared" si="70"/>
        <v>19376.779520000004</v>
      </c>
      <c r="P92" s="70"/>
      <c r="Q92" s="69">
        <f t="array" ref="Q92">INDEX(Материалы!$C$2:$C$50,MATCH(G92&amp;D92,Материалы!$A$2:$A$50&amp;Материалы!$B$2:$B$50,0))</f>
        <v>277</v>
      </c>
      <c r="R92" s="69">
        <f>FLOOR(Раскройка!$D$2/B92,1)*FLOOR(Раскройка!$C$2/C92,1)</f>
        <v>2</v>
      </c>
      <c r="S92" s="69">
        <f>MAX(Раскройка!$F$2-E92*R92,0)</f>
        <v>1.2684799999999994</v>
      </c>
      <c r="T92" s="69">
        <f t="shared" si="71"/>
        <v>351.36895999999984</v>
      </c>
      <c r="U92" s="70"/>
    </row>
    <row r="95" spans="1:21" x14ac:dyDescent="0.25">
      <c r="A95" s="69" t="s">
        <v>82</v>
      </c>
      <c r="B95" s="69">
        <v>1860</v>
      </c>
      <c r="C95" s="69">
        <v>82</v>
      </c>
      <c r="D95" s="69">
        <v>19</v>
      </c>
      <c r="E95" s="69">
        <f t="shared" ref="E95:E96" si="72">B95*C95/1000000</f>
        <v>0.15251999999999999</v>
      </c>
      <c r="F95" s="20"/>
      <c r="G95" s="7" t="s">
        <v>12</v>
      </c>
      <c r="H95" s="69">
        <f>ROUND(Q95+T95/Раскройка!$F$2,0)</f>
        <v>985</v>
      </c>
      <c r="I95" s="69" t="s">
        <v>75</v>
      </c>
      <c r="J95" s="69">
        <v>0</v>
      </c>
      <c r="K95" s="69" t="s">
        <v>44</v>
      </c>
      <c r="L95" s="69">
        <v>0</v>
      </c>
      <c r="M95" s="69">
        <f>E95*(0.25*(VLOOKUP(I95,Покрытия!$A$2:$B$40,2,FALSE)*J95+VLOOKUP(K95,Покрытия!$A$2:$B$40,2,FALSE)*L95)+H95)</f>
        <v>150.23219999999998</v>
      </c>
      <c r="N95" s="69">
        <v>4</v>
      </c>
      <c r="O95" s="69">
        <f t="shared" ref="O95:O96" si="73">M95*N95</f>
        <v>600.92879999999991</v>
      </c>
      <c r="P95" s="70"/>
      <c r="Q95" s="69">
        <f t="array" ref="Q95">INDEX(Материалы!$C$2:$C$50,MATCH(G95&amp;D95,Материалы!$A$2:$A$50&amp;Материалы!$B$2:$B$50,0))</f>
        <v>734</v>
      </c>
      <c r="R95" s="69">
        <f>FLOOR(Раскройка!$D$2/B95,1)*FLOOR(Раскройка!$C$2/C95,1)</f>
        <v>25</v>
      </c>
      <c r="S95" s="69">
        <f>MAX(Раскройка!$F$2-E95*R95,0)</f>
        <v>1.9870000000000001</v>
      </c>
      <c r="T95" s="69">
        <f t="shared" ref="T95:T96" si="74">Q95*S95</f>
        <v>1458.4580000000001</v>
      </c>
    </row>
    <row r="96" spans="1:21" x14ac:dyDescent="0.25">
      <c r="A96" s="69" t="s">
        <v>81</v>
      </c>
      <c r="B96" s="69">
        <v>353</v>
      </c>
      <c r="C96" s="69">
        <v>82</v>
      </c>
      <c r="D96" s="69">
        <v>19</v>
      </c>
      <c r="E96" s="69">
        <f t="shared" si="72"/>
        <v>2.8946E-2</v>
      </c>
      <c r="F96" s="20"/>
      <c r="G96" s="7" t="s">
        <v>12</v>
      </c>
      <c r="H96" s="69">
        <f>ROUND(Q96+T96/Раскройка!$F$2,0)</f>
        <v>827</v>
      </c>
      <c r="I96" s="69" t="s">
        <v>75</v>
      </c>
      <c r="J96" s="69">
        <v>0</v>
      </c>
      <c r="K96" s="69" t="s">
        <v>44</v>
      </c>
      <c r="L96" s="69">
        <v>0</v>
      </c>
      <c r="M96" s="69">
        <f>E96*(0.25*(VLOOKUP(I96,Покрытия!$A$2:$B$40,2,FALSE)*J96+VLOOKUP(K96,Покрытия!$A$2:$B$40,2,FALSE)*L96)+H96)</f>
        <v>23.938341999999999</v>
      </c>
      <c r="N96" s="69">
        <v>4</v>
      </c>
      <c r="O96" s="69">
        <f t="shared" si="73"/>
        <v>95.753367999999995</v>
      </c>
      <c r="P96" s="70"/>
      <c r="Q96" s="69">
        <f t="array" ref="Q96">INDEX(Материалы!$C$2:$C$50,MATCH(G96&amp;D96,Материалы!$A$2:$A$50&amp;Материалы!$B$2:$B$50,0))</f>
        <v>734</v>
      </c>
      <c r="R96" s="69">
        <f>FLOOR(Раскройка!$D$2/B96,1)*FLOOR(Раскройка!$C$2/C96,1)</f>
        <v>175</v>
      </c>
      <c r="S96" s="69">
        <f>MAX(Раскройка!$F$2-E96*R96,0)</f>
        <v>0.73444999999999983</v>
      </c>
      <c r="T96" s="69">
        <f t="shared" si="74"/>
        <v>539.08629999999982</v>
      </c>
    </row>
    <row r="97" spans="1:20" x14ac:dyDescent="0.25">
      <c r="A97" s="69" t="s">
        <v>144</v>
      </c>
      <c r="B97" s="69">
        <v>1860</v>
      </c>
      <c r="C97" s="69">
        <v>20</v>
      </c>
      <c r="D97" s="69">
        <v>10</v>
      </c>
      <c r="E97" s="69">
        <f>B97*C97*D97/1000000000</f>
        <v>3.7199999999999999E-4</v>
      </c>
      <c r="F97" s="69">
        <f>B97*C97/1000000</f>
        <v>3.7199999999999997E-2</v>
      </c>
      <c r="G97" s="69" t="s">
        <v>16</v>
      </c>
      <c r="H97" s="69">
        <f>ROUND(Q97+T97/Раскройка!$F$11,0)</f>
        <v>79716</v>
      </c>
      <c r="I97" s="69" t="s">
        <v>75</v>
      </c>
      <c r="J97" s="69">
        <v>2</v>
      </c>
      <c r="K97" s="69" t="s">
        <v>44</v>
      </c>
      <c r="L97" s="69">
        <v>4</v>
      </c>
      <c r="M97" s="69">
        <f>E97*H97+0.25*((VLOOKUP(I97,Покрытия!$A$2:$B$50,2,FALSE)*J97+VLOOKUP(K97,Покрытия!$A$2:$B$50,2,FALSE)*L97)*F97)</f>
        <v>96.614351999999997</v>
      </c>
      <c r="N97" s="69">
        <v>4</v>
      </c>
      <c r="O97" s="69">
        <f>M97*N97</f>
        <v>386.45740799999999</v>
      </c>
      <c r="P97" s="70"/>
      <c r="Q97" s="69">
        <f t="array" ref="Q97">INDEX(Материалы!$C$2:$C$50,MATCH(G97,Материалы!$A$2:$A$50,0))</f>
        <v>45500</v>
      </c>
      <c r="R97" s="69">
        <f>FLOOR(Раскройка!$C$11/C97,1)*FLOOR(Раскройка!$D$11/B97,1)</f>
        <v>15</v>
      </c>
      <c r="S97" s="69">
        <f>MAX(Раскройка!$F$11-E97*R97,0)</f>
        <v>1.6919999999999998E-2</v>
      </c>
      <c r="T97" s="69">
        <f>Q97*S97</f>
        <v>769.8599999999999</v>
      </c>
    </row>
    <row r="98" spans="1:20" x14ac:dyDescent="0.25">
      <c r="A98" s="69" t="s">
        <v>145</v>
      </c>
      <c r="B98" s="69">
        <v>353</v>
      </c>
      <c r="C98" s="69">
        <v>20</v>
      </c>
      <c r="D98" s="69">
        <v>10</v>
      </c>
      <c r="E98" s="69">
        <f>B98*C98*D98/1000000000</f>
        <v>7.0599999999999995E-5</v>
      </c>
      <c r="F98" s="69">
        <f>B98*C98/1000000</f>
        <v>7.0600000000000003E-3</v>
      </c>
      <c r="G98" s="69" t="s">
        <v>16</v>
      </c>
      <c r="H98" s="69">
        <f>ROUND(Q98+T98/Раскройка!$F$11,0)</f>
        <v>73868</v>
      </c>
      <c r="I98" s="69" t="s">
        <v>75</v>
      </c>
      <c r="J98" s="69">
        <v>2</v>
      </c>
      <c r="K98" s="69" t="s">
        <v>44</v>
      </c>
      <c r="L98" s="69">
        <v>4</v>
      </c>
      <c r="M98" s="69">
        <f>E98*H98+0.25*((VLOOKUP(I98,Покрытия!$A$2:$B$50,2,FALSE)*J98+VLOOKUP(K98,Покрытия!$A$2:$B$50,2,FALSE)*L98)*F98)</f>
        <v>17.923080800000001</v>
      </c>
      <c r="N98" s="69">
        <v>4</v>
      </c>
      <c r="O98" s="69">
        <f>M98*N98</f>
        <v>71.692323200000004</v>
      </c>
      <c r="P98" s="70"/>
      <c r="Q98" s="69">
        <f t="array" ref="Q98">INDEX(Материалы!$C$2:$C$50,MATCH(G98,Материалы!$A$2:$A$50,0))</f>
        <v>45500</v>
      </c>
      <c r="R98" s="69">
        <f>FLOOR(Раскройка!$C$11/C98,1)*FLOOR(Раскройка!$D$11/B98,1)</f>
        <v>120</v>
      </c>
      <c r="S98" s="69">
        <f>MAX(Раскройка!$F$11-E98*R98,0)</f>
        <v>1.4028000000000001E-2</v>
      </c>
      <c r="T98" s="69">
        <f>Q98*S98</f>
        <v>638.274</v>
      </c>
    </row>
    <row r="99" spans="1:20" x14ac:dyDescent="0.25">
      <c r="A99" s="69" t="s">
        <v>57</v>
      </c>
      <c r="B99" s="69">
        <v>1860</v>
      </c>
      <c r="C99" s="69">
        <v>353</v>
      </c>
      <c r="D99" s="69">
        <v>19</v>
      </c>
      <c r="E99" s="69">
        <f t="shared" ref="E99:E101" si="75">B99*C99/1000000</f>
        <v>0.65658000000000005</v>
      </c>
      <c r="F99" s="20"/>
      <c r="G99" s="7" t="s">
        <v>12</v>
      </c>
      <c r="H99" s="69">
        <f>ROUND(Q99+T99/Раскройка!$F$2,0)</f>
        <v>1053</v>
      </c>
      <c r="I99" s="69" t="s">
        <v>75</v>
      </c>
      <c r="J99" s="69">
        <v>0</v>
      </c>
      <c r="K99" s="69" t="s">
        <v>44</v>
      </c>
      <c r="L99" s="69">
        <v>0</v>
      </c>
      <c r="M99" s="69">
        <f>E99*(0.25*(VLOOKUP(I99,Покрытия!$A$2:$B$40,2,FALSE)*J99+VLOOKUP(K99,Покрытия!$A$2:$B$40,2,FALSE)*L99)+H99)</f>
        <v>691.37874000000011</v>
      </c>
      <c r="N99" s="69">
        <v>2</v>
      </c>
      <c r="O99" s="69">
        <f t="shared" ref="O99:O101" si="76">M99*N99</f>
        <v>1382.7574800000002</v>
      </c>
      <c r="P99" s="70"/>
      <c r="Q99" s="69">
        <f t="array" ref="Q99">INDEX(Материалы!$C$2:$C$50,MATCH(G99&amp;D99,Материалы!$A$2:$A$50&amp;Материалы!$B$2:$B$50,0))</f>
        <v>734</v>
      </c>
      <c r="R99" s="69">
        <f>FLOOR(Раскройка!$D$2/B99,1)*FLOOR(Раскройка!$C$2/C99,1)</f>
        <v>5</v>
      </c>
      <c r="S99" s="69">
        <f>MAX(Раскройка!$F$2-E99*R99,0)</f>
        <v>2.5170999999999997</v>
      </c>
      <c r="T99" s="69">
        <f t="shared" ref="T99:T101" si="77">Q99*S99</f>
        <v>1847.5513999999998</v>
      </c>
    </row>
    <row r="100" spans="1:20" x14ac:dyDescent="0.25">
      <c r="A100" s="69" t="s">
        <v>200</v>
      </c>
      <c r="B100" s="69">
        <v>1860</v>
      </c>
      <c r="C100" s="69">
        <v>82</v>
      </c>
      <c r="D100" s="69">
        <v>0.6</v>
      </c>
      <c r="E100" s="69">
        <f t="shared" si="75"/>
        <v>0.15251999999999999</v>
      </c>
      <c r="F100" s="20"/>
      <c r="G100" s="7" t="s">
        <v>7</v>
      </c>
      <c r="H100" s="69">
        <f>ROUND(Q100+T100/Раскройка!$F$2,0)</f>
        <v>372</v>
      </c>
      <c r="I100" s="69" t="s">
        <v>75</v>
      </c>
      <c r="J100" s="69">
        <v>2</v>
      </c>
      <c r="K100" s="69" t="s">
        <v>44</v>
      </c>
      <c r="L100" s="69">
        <v>4</v>
      </c>
      <c r="M100" s="69">
        <f>E100*(0.25*(VLOOKUP(I100,Покрытия!$A$2:$B$40,2,FALSE)*J100+VLOOKUP(K100,Покрытия!$A$2:$B$40,2,FALSE)*L100)+H100)</f>
        <v>331.27343999999999</v>
      </c>
      <c r="N100" s="69">
        <v>8</v>
      </c>
      <c r="O100" s="69">
        <f t="shared" si="76"/>
        <v>2650.1875199999999</v>
      </c>
      <c r="P100" s="70"/>
      <c r="Q100" s="69">
        <f t="array" ref="Q100">INDEX(Материалы!$C$2:$C$50,MATCH(G100&amp;D100,Материалы!$A$2:$A$50&amp;Материалы!$B$2:$B$50,0))</f>
        <v>277</v>
      </c>
      <c r="R100" s="69">
        <f>FLOOR(Раскройка!$D$2/B100,1)*FLOOR(Раскройка!$C$2/C100,1)</f>
        <v>25</v>
      </c>
      <c r="S100" s="69">
        <f>MAX(Раскройка!$F$2-E100*R100,0)</f>
        <v>1.9870000000000001</v>
      </c>
      <c r="T100" s="69">
        <f t="shared" si="77"/>
        <v>550.399</v>
      </c>
    </row>
    <row r="101" spans="1:20" x14ac:dyDescent="0.25">
      <c r="A101" s="69" t="s">
        <v>201</v>
      </c>
      <c r="B101" s="69">
        <v>353</v>
      </c>
      <c r="C101" s="69">
        <v>82</v>
      </c>
      <c r="D101" s="69">
        <v>0.6</v>
      </c>
      <c r="E101" s="69">
        <f t="shared" si="75"/>
        <v>2.8946E-2</v>
      </c>
      <c r="F101" s="20"/>
      <c r="G101" s="7" t="s">
        <v>7</v>
      </c>
      <c r="H101" s="69">
        <f>ROUND(Q101+T101/Раскройка!$F$2,0)</f>
        <v>312</v>
      </c>
      <c r="I101" s="69" t="s">
        <v>75</v>
      </c>
      <c r="J101" s="69">
        <v>2</v>
      </c>
      <c r="K101" s="69" t="s">
        <v>44</v>
      </c>
      <c r="L101" s="69">
        <v>4</v>
      </c>
      <c r="M101" s="69">
        <f>E101*(0.25*(VLOOKUP(I101,Покрытия!$A$2:$B$40,2,FALSE)*J101+VLOOKUP(K101,Покрытия!$A$2:$B$40,2,FALSE)*L101)+H101)</f>
        <v>61.133952000000001</v>
      </c>
      <c r="N101" s="69">
        <v>8</v>
      </c>
      <c r="O101" s="69">
        <f t="shared" si="76"/>
        <v>489.07161600000001</v>
      </c>
      <c r="P101" s="70"/>
      <c r="Q101" s="69">
        <f t="array" ref="Q101">INDEX(Материалы!$C$2:$C$50,MATCH(G101&amp;D101,Материалы!$A$2:$A$50&amp;Материалы!$B$2:$B$50,0))</f>
        <v>277</v>
      </c>
      <c r="R101" s="69">
        <f>FLOOR(Раскройка!$D$2/B101,1)*FLOOR(Раскройка!$C$2/C101,1)</f>
        <v>175</v>
      </c>
      <c r="S101" s="69">
        <f>MAX(Раскройка!$F$2-E101*R101,0)</f>
        <v>0.73444999999999983</v>
      </c>
      <c r="T101" s="69">
        <f t="shared" si="77"/>
        <v>203.44264999999996</v>
      </c>
    </row>
    <row r="102" spans="1:20" x14ac:dyDescent="0.25">
      <c r="A102" s="69" t="s">
        <v>202</v>
      </c>
      <c r="B102" s="69">
        <v>1860</v>
      </c>
      <c r="C102" s="69">
        <v>353</v>
      </c>
      <c r="D102" s="69">
        <v>0.6</v>
      </c>
      <c r="E102" s="69">
        <f>B102*C102/1000000</f>
        <v>0.65658000000000005</v>
      </c>
      <c r="F102" s="20"/>
      <c r="G102" s="7" t="s">
        <v>7</v>
      </c>
      <c r="H102" s="69">
        <f>ROUND(Q102+T102/Раскройка!$F$2,0)</f>
        <v>397</v>
      </c>
      <c r="I102" s="69" t="s">
        <v>75</v>
      </c>
      <c r="J102" s="69">
        <v>2</v>
      </c>
      <c r="K102" s="69" t="s">
        <v>44</v>
      </c>
      <c r="L102" s="69">
        <v>4</v>
      </c>
      <c r="M102" s="69">
        <f>E102*(0.25*(VLOOKUP(I102,Покрытия!$A$2:$B$40,2,FALSE)*J102+VLOOKUP(K102,Покрытия!$A$2:$B$40,2,FALSE)*L102)+H102)</f>
        <v>1442.5062600000001</v>
      </c>
      <c r="N102" s="69">
        <v>4</v>
      </c>
      <c r="O102" s="69">
        <f>M102*N102</f>
        <v>5770.0250400000004</v>
      </c>
      <c r="P102" s="70"/>
      <c r="Q102" s="69">
        <f t="array" ref="Q102">INDEX(Материалы!$C$2:$C$50,MATCH(G102&amp;D102,Материалы!$A$2:$A$50&amp;Материалы!$B$2:$B$50,0))</f>
        <v>277</v>
      </c>
      <c r="R102" s="69">
        <f>FLOOR(Раскройка!$D$2/B102,1)*FLOOR(Раскройка!$C$2/C102,1)</f>
        <v>5</v>
      </c>
      <c r="S102" s="69">
        <f>MAX(Раскройка!$F$2-E102*R102,0)</f>
        <v>2.5170999999999997</v>
      </c>
      <c r="T102" s="69">
        <f>Q102*S102</f>
        <v>697.23669999999993</v>
      </c>
    </row>
    <row r="105" spans="1:20" x14ac:dyDescent="0.25">
      <c r="A105" s="69" t="s">
        <v>82</v>
      </c>
      <c r="B105" s="69">
        <v>870</v>
      </c>
      <c r="C105" s="69">
        <v>82</v>
      </c>
      <c r="D105" s="69">
        <v>19</v>
      </c>
      <c r="E105" s="69">
        <f t="shared" ref="E105:E106" si="78">B105*C105/1000000</f>
        <v>7.1340000000000001E-2</v>
      </c>
      <c r="F105" s="20"/>
      <c r="G105" s="7" t="s">
        <v>12</v>
      </c>
      <c r="H105" s="69">
        <f>ROUND(Q105+T105/Раскройка!$F$2,0)</f>
        <v>791</v>
      </c>
      <c r="I105" s="69" t="s">
        <v>75</v>
      </c>
      <c r="J105" s="69">
        <v>0</v>
      </c>
      <c r="K105" s="69" t="s">
        <v>44</v>
      </c>
      <c r="L105" s="69">
        <v>0</v>
      </c>
      <c r="M105" s="69">
        <f>E105*(0.25*(VLOOKUP(I105,Покрытия!$A$2:$B$40,2,FALSE)*J105+VLOOKUP(K105,Покрытия!$A$2:$B$40,2,FALSE)*L105)+H105)</f>
        <v>56.429940000000002</v>
      </c>
      <c r="N105" s="69">
        <v>2</v>
      </c>
      <c r="O105" s="69">
        <f t="shared" ref="O105:O106" si="79">M105*N105</f>
        <v>112.85988</v>
      </c>
      <c r="P105" s="70"/>
      <c r="Q105" s="69">
        <f t="array" ref="Q105">INDEX(Материалы!$C$2:$C$50,MATCH(G105&amp;D105,Материалы!$A$2:$A$50&amp;Материалы!$B$2:$B$50,0))</f>
        <v>734</v>
      </c>
      <c r="R105" s="69">
        <f>FLOOR(Раскройка!$D$2/B105,1)*FLOOR(Раскройка!$C$2/C105,1)</f>
        <v>75</v>
      </c>
      <c r="S105" s="69">
        <f>MAX(Раскройка!$F$2-E105*R105,0)</f>
        <v>0.44949999999999957</v>
      </c>
      <c r="T105" s="69">
        <f t="shared" ref="T105:T106" si="80">Q105*S105</f>
        <v>329.93299999999971</v>
      </c>
    </row>
    <row r="106" spans="1:20" x14ac:dyDescent="0.25">
      <c r="A106" s="69" t="s">
        <v>81</v>
      </c>
      <c r="B106" s="69">
        <v>714</v>
      </c>
      <c r="C106" s="69">
        <v>82</v>
      </c>
      <c r="D106" s="69">
        <v>19</v>
      </c>
      <c r="E106" s="69">
        <f t="shared" si="78"/>
        <v>5.8548000000000003E-2</v>
      </c>
      <c r="F106" s="20"/>
      <c r="G106" s="7" t="s">
        <v>12</v>
      </c>
      <c r="H106" s="69">
        <f>ROUND(Q106+T106/Раскройка!$F$2,0)</f>
        <v>912</v>
      </c>
      <c r="I106" s="69" t="s">
        <v>75</v>
      </c>
      <c r="J106" s="69">
        <v>0</v>
      </c>
      <c r="K106" s="69" t="s">
        <v>44</v>
      </c>
      <c r="L106" s="69">
        <v>0</v>
      </c>
      <c r="M106" s="69">
        <f>E106*(0.25*(VLOOKUP(I106,Покрытия!$A$2:$B$40,2,FALSE)*J106+VLOOKUP(K106,Покрытия!$A$2:$B$40,2,FALSE)*L106)+H106)</f>
        <v>53.395776000000005</v>
      </c>
      <c r="N106" s="69">
        <v>2</v>
      </c>
      <c r="O106" s="69">
        <f t="shared" si="79"/>
        <v>106.79155200000001</v>
      </c>
      <c r="P106" s="70"/>
      <c r="Q106" s="69">
        <f t="array" ref="Q106">INDEX(Материалы!$C$2:$C$50,MATCH(G106&amp;D106,Материалы!$A$2:$A$50&amp;Материалы!$B$2:$B$50,0))</f>
        <v>734</v>
      </c>
      <c r="R106" s="69">
        <f>FLOOR(Раскройка!$D$2/B106,1)*FLOOR(Раскройка!$C$2/C106,1)</f>
        <v>75</v>
      </c>
      <c r="S106" s="69">
        <f>MAX(Раскройка!$F$2-E106*R106,0)</f>
        <v>1.4089</v>
      </c>
      <c r="T106" s="69">
        <f t="shared" si="80"/>
        <v>1034.1326000000001</v>
      </c>
    </row>
    <row r="107" spans="1:20" x14ac:dyDescent="0.25">
      <c r="A107" s="69" t="s">
        <v>144</v>
      </c>
      <c r="B107" s="69">
        <v>870</v>
      </c>
      <c r="C107" s="69">
        <v>20</v>
      </c>
      <c r="D107" s="69">
        <v>10</v>
      </c>
      <c r="E107" s="69">
        <f>B107*C107*D107/1000000000</f>
        <v>1.74E-4</v>
      </c>
      <c r="F107" s="69">
        <f>B107*C107/1000000</f>
        <v>1.7399999999999999E-2</v>
      </c>
      <c r="G107" s="69" t="s">
        <v>16</v>
      </c>
      <c r="H107" s="69">
        <f>ROUND(Q107+T107/Раскройка!$F$11,0)</f>
        <v>75166</v>
      </c>
      <c r="I107" s="69" t="s">
        <v>75</v>
      </c>
      <c r="J107" s="69">
        <v>2</v>
      </c>
      <c r="K107" s="69" t="s">
        <v>44</v>
      </c>
      <c r="L107" s="69">
        <v>4</v>
      </c>
      <c r="M107" s="69">
        <f>E107*H107+0.25*((VLOOKUP(I107,Покрытия!$A$2:$B$50,2,FALSE)*J107+VLOOKUP(K107,Покрытия!$A$2:$B$50,2,FALSE)*L107)*F107)</f>
        <v>44.398883999999995</v>
      </c>
      <c r="N107" s="69">
        <v>2</v>
      </c>
      <c r="O107" s="69">
        <f>M107*N107</f>
        <v>88.797767999999991</v>
      </c>
      <c r="P107" s="70"/>
      <c r="Q107" s="69">
        <f t="array" ref="Q107">INDEX(Материалы!$C$2:$C$50,MATCH(G107,Материалы!$A$2:$A$50,0))</f>
        <v>45500</v>
      </c>
      <c r="R107" s="69">
        <f>FLOOR(Раскройка!$C$11/C107,1)*FLOOR(Раскройка!$D$11/B107,1)</f>
        <v>45</v>
      </c>
      <c r="S107" s="69">
        <f>MAX(Раскройка!$F$11-E107*R107,0)</f>
        <v>1.4669999999999999E-2</v>
      </c>
      <c r="T107" s="69">
        <f>Q107*S107</f>
        <v>667.4849999999999</v>
      </c>
    </row>
    <row r="108" spans="1:20" x14ac:dyDescent="0.25">
      <c r="A108" s="69" t="s">
        <v>145</v>
      </c>
      <c r="B108" s="69">
        <v>714</v>
      </c>
      <c r="C108" s="69">
        <v>20</v>
      </c>
      <c r="D108" s="69">
        <v>10</v>
      </c>
      <c r="E108" s="69">
        <f>B108*C108*D108/1000000000</f>
        <v>1.428E-4</v>
      </c>
      <c r="F108" s="69">
        <f>B108*C108/1000000</f>
        <v>1.4279999999999999E-2</v>
      </c>
      <c r="G108" s="69" t="s">
        <v>16</v>
      </c>
      <c r="H108" s="69">
        <f>ROUND(Q108+T108/Раскройка!$F$11,0)</f>
        <v>73674</v>
      </c>
      <c r="I108" s="69" t="s">
        <v>75</v>
      </c>
      <c r="J108" s="69">
        <v>2</v>
      </c>
      <c r="K108" s="69" t="s">
        <v>44</v>
      </c>
      <c r="L108" s="69">
        <v>4</v>
      </c>
      <c r="M108" s="69">
        <f>E108*H108+0.25*((VLOOKUP(I108,Покрытия!$A$2:$B$50,2,FALSE)*J108+VLOOKUP(K108,Покрытия!$A$2:$B$50,2,FALSE)*L108)*F108)</f>
        <v>36.2246472</v>
      </c>
      <c r="N108" s="69">
        <v>2</v>
      </c>
      <c r="O108" s="69">
        <f>M108*N108</f>
        <v>72.449294399999999</v>
      </c>
      <c r="P108" s="70"/>
      <c r="Q108" s="69">
        <f t="array" ref="Q108">INDEX(Материалы!$C$2:$C$50,MATCH(G108,Материалы!$A$2:$A$50,0))</f>
        <v>45500</v>
      </c>
      <c r="R108" s="69">
        <f>FLOOR(Раскройка!$C$11/C108,1)*FLOOR(Раскройка!$D$11/B108,1)</f>
        <v>60</v>
      </c>
      <c r="S108" s="69">
        <f>MAX(Раскройка!$F$11-E108*R108,0)</f>
        <v>1.3932E-2</v>
      </c>
      <c r="T108" s="69">
        <f>Q108*S108</f>
        <v>633.90599999999995</v>
      </c>
    </row>
    <row r="109" spans="1:20" x14ac:dyDescent="0.25">
      <c r="A109" s="69" t="s">
        <v>57</v>
      </c>
      <c r="B109" s="69">
        <v>870</v>
      </c>
      <c r="C109" s="69">
        <v>714</v>
      </c>
      <c r="D109" s="69">
        <v>19</v>
      </c>
      <c r="E109" s="69">
        <f t="shared" ref="E109:E111" si="81">B109*C109/1000000</f>
        <v>0.62117999999999995</v>
      </c>
      <c r="F109" s="20"/>
      <c r="G109" s="7" t="s">
        <v>12</v>
      </c>
      <c r="H109" s="69">
        <f>ROUND(Q109+T109/Раскройка!$F$2,0)</f>
        <v>996</v>
      </c>
      <c r="I109" s="69" t="s">
        <v>75</v>
      </c>
      <c r="J109" s="69">
        <v>0</v>
      </c>
      <c r="K109" s="69" t="s">
        <v>44</v>
      </c>
      <c r="L109" s="69">
        <v>0</v>
      </c>
      <c r="M109" s="69">
        <f>E109*(0.25*(VLOOKUP(I109,Покрытия!$A$2:$B$40,2,FALSE)*J109+VLOOKUP(K109,Покрытия!$A$2:$B$40,2,FALSE)*L109)+H109)</f>
        <v>618.69527999999991</v>
      </c>
      <c r="N109" s="69">
        <v>1</v>
      </c>
      <c r="O109" s="69">
        <f t="shared" ref="O109:O111" si="82">M109*N109</f>
        <v>618.69527999999991</v>
      </c>
      <c r="P109" s="70"/>
      <c r="Q109" s="69">
        <f t="array" ref="Q109">INDEX(Материалы!$C$2:$C$50,MATCH(G109&amp;D109,Материалы!$A$2:$A$50&amp;Материалы!$B$2:$B$50,0))</f>
        <v>734</v>
      </c>
      <c r="R109" s="69">
        <f>FLOOR(Раскройка!$D$2/B109,1)*FLOOR(Раскройка!$C$2/C109,1)</f>
        <v>6</v>
      </c>
      <c r="S109" s="69">
        <f>MAX(Раскройка!$F$2-E109*R109,0)</f>
        <v>2.0729199999999999</v>
      </c>
      <c r="T109" s="69">
        <f t="shared" ref="T109:T111" si="83">Q109*S109</f>
        <v>1521.5232799999999</v>
      </c>
    </row>
    <row r="110" spans="1:20" x14ac:dyDescent="0.25">
      <c r="A110" s="69" t="s">
        <v>200</v>
      </c>
      <c r="B110" s="69">
        <v>870</v>
      </c>
      <c r="C110" s="69">
        <v>82</v>
      </c>
      <c r="D110" s="69">
        <v>0.6</v>
      </c>
      <c r="E110" s="69">
        <f t="shared" si="81"/>
        <v>7.1340000000000001E-2</v>
      </c>
      <c r="F110" s="20"/>
      <c r="G110" s="7" t="s">
        <v>7</v>
      </c>
      <c r="H110" s="69">
        <f>ROUND(Q110+T110/Раскройка!$F$2,0)</f>
        <v>298</v>
      </c>
      <c r="I110" s="69" t="s">
        <v>75</v>
      </c>
      <c r="J110" s="69">
        <v>2</v>
      </c>
      <c r="K110" s="69" t="s">
        <v>44</v>
      </c>
      <c r="L110" s="69">
        <v>4</v>
      </c>
      <c r="M110" s="69">
        <f>E110*(0.25*(VLOOKUP(I110,Покрытия!$A$2:$B$40,2,FALSE)*J110+VLOOKUP(K110,Покрытия!$A$2:$B$40,2,FALSE)*L110)+H110)</f>
        <v>149.67132000000001</v>
      </c>
      <c r="N110" s="69">
        <v>4</v>
      </c>
      <c r="O110" s="69">
        <f t="shared" si="82"/>
        <v>598.68528000000003</v>
      </c>
      <c r="P110" s="70"/>
      <c r="Q110" s="69">
        <f t="array" ref="Q110">INDEX(Материалы!$C$2:$C$50,MATCH(G110&amp;D110,Материалы!$A$2:$A$50&amp;Материалы!$B$2:$B$50,0))</f>
        <v>277</v>
      </c>
      <c r="R110" s="69">
        <f>FLOOR(Раскройка!$D$2/B110,1)*FLOOR(Раскройка!$C$2/C110,1)</f>
        <v>75</v>
      </c>
      <c r="S110" s="69">
        <f>MAX(Раскройка!$F$2-E110*R110,0)</f>
        <v>0.44949999999999957</v>
      </c>
      <c r="T110" s="69">
        <f t="shared" si="83"/>
        <v>124.51149999999988</v>
      </c>
    </row>
    <row r="111" spans="1:20" x14ac:dyDescent="0.25">
      <c r="A111" s="69" t="s">
        <v>201</v>
      </c>
      <c r="B111" s="69">
        <v>714</v>
      </c>
      <c r="C111" s="69">
        <v>82</v>
      </c>
      <c r="D111" s="69">
        <v>0.6</v>
      </c>
      <c r="E111" s="69">
        <f t="shared" si="81"/>
        <v>5.8548000000000003E-2</v>
      </c>
      <c r="F111" s="20"/>
      <c r="G111" s="7" t="s">
        <v>7</v>
      </c>
      <c r="H111" s="69">
        <f>ROUND(Q111+T111/Раскройка!$F$2,0)</f>
        <v>344</v>
      </c>
      <c r="I111" s="69" t="s">
        <v>75</v>
      </c>
      <c r="J111" s="69">
        <v>2</v>
      </c>
      <c r="K111" s="69" t="s">
        <v>44</v>
      </c>
      <c r="L111" s="69">
        <v>4</v>
      </c>
      <c r="M111" s="69">
        <f>E111*(0.25*(VLOOKUP(I111,Покрытия!$A$2:$B$40,2,FALSE)*J111+VLOOKUP(K111,Покрытия!$A$2:$B$40,2,FALSE)*L111)+H111)</f>
        <v>125.52691200000001</v>
      </c>
      <c r="N111" s="69">
        <v>4</v>
      </c>
      <c r="O111" s="69">
        <f t="shared" si="82"/>
        <v>502.10764800000004</v>
      </c>
      <c r="P111" s="70"/>
      <c r="Q111" s="69">
        <f t="array" ref="Q111">INDEX(Материалы!$C$2:$C$50,MATCH(G111&amp;D111,Материалы!$A$2:$A$50&amp;Материалы!$B$2:$B$50,0))</f>
        <v>277</v>
      </c>
      <c r="R111" s="69">
        <f>FLOOR(Раскройка!$D$2/B111,1)*FLOOR(Раскройка!$C$2/C111,1)</f>
        <v>75</v>
      </c>
      <c r="S111" s="69">
        <f>MAX(Раскройка!$F$2-E111*R111,0)</f>
        <v>1.4089</v>
      </c>
      <c r="T111" s="69">
        <f t="shared" si="83"/>
        <v>390.26530000000002</v>
      </c>
    </row>
    <row r="112" spans="1:20" x14ac:dyDescent="0.25">
      <c r="A112" s="69" t="s">
        <v>202</v>
      </c>
      <c r="B112" s="69">
        <v>870</v>
      </c>
      <c r="C112" s="69">
        <v>714</v>
      </c>
      <c r="D112" s="69">
        <v>0.6</v>
      </c>
      <c r="E112" s="69">
        <f>B112*C112/1000000</f>
        <v>0.62117999999999995</v>
      </c>
      <c r="F112" s="20"/>
      <c r="G112" s="7" t="s">
        <v>7</v>
      </c>
      <c r="H112" s="69">
        <f>ROUND(Q112+T112/Раскройка!$F$2,0)</f>
        <v>376</v>
      </c>
      <c r="I112" s="69" t="s">
        <v>75</v>
      </c>
      <c r="J112" s="69">
        <v>2</v>
      </c>
      <c r="K112" s="69" t="s">
        <v>44</v>
      </c>
      <c r="L112" s="69">
        <v>4</v>
      </c>
      <c r="M112" s="69">
        <f>E112*(0.25*(VLOOKUP(I112,Покрытия!$A$2:$B$40,2,FALSE)*J112+VLOOKUP(K112,Покрытия!$A$2:$B$40,2,FALSE)*L112)+H112)</f>
        <v>1351.68768</v>
      </c>
      <c r="N112" s="69">
        <v>2</v>
      </c>
      <c r="O112" s="69">
        <f>M112*N112</f>
        <v>2703.37536</v>
      </c>
      <c r="P112" s="70"/>
      <c r="Q112" s="69">
        <f t="array" ref="Q112">INDEX(Материалы!$C$2:$C$50,MATCH(G112&amp;D112,Материалы!$A$2:$A$50&amp;Материалы!$B$2:$B$50,0))</f>
        <v>277</v>
      </c>
      <c r="R112" s="69">
        <f>FLOOR(Раскройка!$D$2/B112,1)*FLOOR(Раскройка!$C$2/C112,1)</f>
        <v>6</v>
      </c>
      <c r="S112" s="69">
        <f>MAX(Раскройка!$F$2-E112*R112,0)</f>
        <v>2.0729199999999999</v>
      </c>
      <c r="T112" s="69">
        <f>Q112*S112</f>
        <v>574.19884000000002</v>
      </c>
    </row>
    <row r="116" spans="1:20" x14ac:dyDescent="0.25">
      <c r="A116" s="69" t="s">
        <v>82</v>
      </c>
      <c r="B116" s="69">
        <v>870</v>
      </c>
      <c r="C116" s="69">
        <v>82</v>
      </c>
      <c r="D116" s="69">
        <v>19</v>
      </c>
      <c r="E116" s="69">
        <f t="shared" ref="E116:E117" si="84">B116*C116/1000000</f>
        <v>7.1340000000000001E-2</v>
      </c>
      <c r="F116" s="20"/>
      <c r="G116" s="7" t="s">
        <v>12</v>
      </c>
      <c r="H116" s="69">
        <f>ROUND(Q116+T116/Раскройка!$F$2,0)</f>
        <v>791</v>
      </c>
      <c r="I116" s="69" t="s">
        <v>75</v>
      </c>
      <c r="J116" s="69">
        <v>0</v>
      </c>
      <c r="K116" s="69" t="s">
        <v>44</v>
      </c>
      <c r="L116" s="69">
        <v>0</v>
      </c>
      <c r="M116" s="69">
        <f>E116*(0.25*(VLOOKUP(I116,Покрытия!$A$2:$B$40,2,FALSE)*J116+VLOOKUP(K116,Покрытия!$A$2:$B$40,2,FALSE)*L116)+H116)</f>
        <v>56.429940000000002</v>
      </c>
      <c r="N116" s="69">
        <v>2</v>
      </c>
      <c r="O116" s="69">
        <f t="shared" ref="O116:O117" si="85">M116*N116</f>
        <v>112.85988</v>
      </c>
      <c r="P116" s="70"/>
      <c r="Q116" s="69">
        <f t="array" ref="Q116">INDEX(Материалы!$C$2:$C$50,MATCH(G116&amp;D116,Материалы!$A$2:$A$50&amp;Материалы!$B$2:$B$50,0))</f>
        <v>734</v>
      </c>
      <c r="R116" s="69">
        <f>FLOOR(Раскройка!$D$2/B116,1)*FLOOR(Раскройка!$C$2/C116,1)</f>
        <v>75</v>
      </c>
      <c r="S116" s="69">
        <f>MAX(Раскройка!$F$2-E116*R116,0)</f>
        <v>0.44949999999999957</v>
      </c>
      <c r="T116" s="69">
        <f t="shared" ref="T116:T117" si="86">Q116*S116</f>
        <v>329.93299999999971</v>
      </c>
    </row>
    <row r="117" spans="1:20" x14ac:dyDescent="0.25">
      <c r="A117" s="69" t="s">
        <v>81</v>
      </c>
      <c r="B117" s="69">
        <v>357</v>
      </c>
      <c r="C117" s="69">
        <v>82</v>
      </c>
      <c r="D117" s="69">
        <v>19</v>
      </c>
      <c r="E117" s="69">
        <f t="shared" si="84"/>
        <v>2.9274000000000001E-2</v>
      </c>
      <c r="F117" s="20"/>
      <c r="G117" s="7" t="s">
        <v>12</v>
      </c>
      <c r="H117" s="69">
        <f>ROUND(Q117+T117/Раскройка!$F$2,0)</f>
        <v>820</v>
      </c>
      <c r="I117" s="69" t="s">
        <v>75</v>
      </c>
      <c r="J117" s="69">
        <v>0</v>
      </c>
      <c r="K117" s="69" t="s">
        <v>44</v>
      </c>
      <c r="L117" s="69">
        <v>0</v>
      </c>
      <c r="M117" s="69">
        <f>E117*(0.25*(VLOOKUP(I117,Покрытия!$A$2:$B$40,2,FALSE)*J117+VLOOKUP(K117,Покрытия!$A$2:$B$40,2,FALSE)*L117)+H117)</f>
        <v>24.00468</v>
      </c>
      <c r="N117" s="69">
        <v>2</v>
      </c>
      <c r="O117" s="69">
        <f t="shared" si="85"/>
        <v>48.009360000000001</v>
      </c>
      <c r="P117" s="70"/>
      <c r="Q117" s="69">
        <f t="array" ref="Q117">INDEX(Материалы!$C$2:$C$50,MATCH(G117&amp;D117,Материалы!$A$2:$A$50&amp;Материалы!$B$2:$B$50,0))</f>
        <v>734</v>
      </c>
      <c r="R117" s="69">
        <f>FLOOR(Раскройка!$D$2/B117,1)*FLOOR(Раскройка!$C$2/C117,1)</f>
        <v>175</v>
      </c>
      <c r="S117" s="69">
        <f>MAX(Раскройка!$F$2-E117*R117,0)</f>
        <v>0.67704999999999949</v>
      </c>
      <c r="T117" s="69">
        <f t="shared" si="86"/>
        <v>496.9546999999996</v>
      </c>
    </row>
    <row r="118" spans="1:20" x14ac:dyDescent="0.25">
      <c r="A118" s="69" t="s">
        <v>144</v>
      </c>
      <c r="B118" s="69">
        <v>870</v>
      </c>
      <c r="C118" s="69">
        <v>20</v>
      </c>
      <c r="D118" s="69">
        <v>10</v>
      </c>
      <c r="E118" s="69">
        <f>B118*C118*D118/1000000000</f>
        <v>1.74E-4</v>
      </c>
      <c r="F118" s="69">
        <f>B118*C118/1000000</f>
        <v>1.7399999999999999E-2</v>
      </c>
      <c r="G118" s="69" t="s">
        <v>16</v>
      </c>
      <c r="H118" s="69">
        <f>ROUND(Q118+T118/Раскройка!$F$11,0)</f>
        <v>75166</v>
      </c>
      <c r="I118" s="69" t="s">
        <v>75</v>
      </c>
      <c r="J118" s="69">
        <v>2</v>
      </c>
      <c r="K118" s="69" t="s">
        <v>44</v>
      </c>
      <c r="L118" s="69">
        <v>4</v>
      </c>
      <c r="M118" s="69">
        <f>E118*H118+0.25*((VLOOKUP(I118,Покрытия!$A$2:$B$50,2,FALSE)*J118+VLOOKUP(K118,Покрытия!$A$2:$B$50,2,FALSE)*L118)*F118)</f>
        <v>44.398883999999995</v>
      </c>
      <c r="N118" s="69">
        <v>2</v>
      </c>
      <c r="O118" s="69">
        <f>M118*N118</f>
        <v>88.797767999999991</v>
      </c>
      <c r="P118" s="70"/>
      <c r="Q118" s="69">
        <f t="array" ref="Q118">INDEX(Материалы!$C$2:$C$50,MATCH(G118,Материалы!$A$2:$A$50,0))</f>
        <v>45500</v>
      </c>
      <c r="R118" s="69">
        <f>FLOOR(Раскройка!$C$11/C118,1)*FLOOR(Раскройка!$D$11/B118,1)</f>
        <v>45</v>
      </c>
      <c r="S118" s="69">
        <f>MAX(Раскройка!$F$11-E118*R118,0)</f>
        <v>1.4669999999999999E-2</v>
      </c>
      <c r="T118" s="69">
        <f>Q118*S118</f>
        <v>667.4849999999999</v>
      </c>
    </row>
    <row r="119" spans="1:20" x14ac:dyDescent="0.25">
      <c r="A119" s="69" t="s">
        <v>145</v>
      </c>
      <c r="B119" s="69">
        <v>357</v>
      </c>
      <c r="C119" s="69">
        <v>20</v>
      </c>
      <c r="D119" s="69">
        <v>10</v>
      </c>
      <c r="E119" s="69">
        <f>B119*C119*D119/1000000000</f>
        <v>7.1400000000000001E-5</v>
      </c>
      <c r="F119" s="69">
        <f>B119*C119/1000000</f>
        <v>7.1399999999999996E-3</v>
      </c>
      <c r="G119" s="69" t="s">
        <v>16</v>
      </c>
      <c r="H119" s="69">
        <f>ROUND(Q119+T119/Раскройка!$F$11,0)</f>
        <v>73674</v>
      </c>
      <c r="I119" s="69" t="s">
        <v>75</v>
      </c>
      <c r="J119" s="69">
        <v>2</v>
      </c>
      <c r="K119" s="69" t="s">
        <v>44</v>
      </c>
      <c r="L119" s="69">
        <v>4</v>
      </c>
      <c r="M119" s="69">
        <f>E119*H119+0.25*((VLOOKUP(I119,Покрытия!$A$2:$B$50,2,FALSE)*J119+VLOOKUP(K119,Покрытия!$A$2:$B$50,2,FALSE)*L119)*F119)</f>
        <v>18.1123236</v>
      </c>
      <c r="N119" s="69">
        <v>2</v>
      </c>
      <c r="O119" s="69">
        <f>M119*N119</f>
        <v>36.2246472</v>
      </c>
      <c r="P119" s="70"/>
      <c r="Q119" s="69">
        <f t="array" ref="Q119">INDEX(Материалы!$C$2:$C$50,MATCH(G119,Материалы!$A$2:$A$50,0))</f>
        <v>45500</v>
      </c>
      <c r="R119" s="69">
        <f>FLOOR(Раскройка!$C$11/C119,1)*FLOOR(Раскройка!$D$11/B119,1)</f>
        <v>120</v>
      </c>
      <c r="S119" s="69">
        <f>MAX(Раскройка!$F$11-E119*R119,0)</f>
        <v>1.3932E-2</v>
      </c>
      <c r="T119" s="69">
        <f>Q119*S119</f>
        <v>633.90599999999995</v>
      </c>
    </row>
    <row r="120" spans="1:20" x14ac:dyDescent="0.25">
      <c r="A120" s="69" t="s">
        <v>57</v>
      </c>
      <c r="B120" s="69">
        <v>870</v>
      </c>
      <c r="C120" s="69">
        <v>357</v>
      </c>
      <c r="D120" s="69">
        <v>19</v>
      </c>
      <c r="E120" s="69">
        <f t="shared" ref="E120:E122" si="87">B120*C120/1000000</f>
        <v>0.31058999999999998</v>
      </c>
      <c r="F120" s="20"/>
      <c r="G120" s="7" t="s">
        <v>12</v>
      </c>
      <c r="H120" s="69">
        <f>ROUND(Q120+T120/Раскройка!$F$2,0)</f>
        <v>878</v>
      </c>
      <c r="I120" s="69" t="s">
        <v>75</v>
      </c>
      <c r="J120" s="69">
        <v>0</v>
      </c>
      <c r="K120" s="69" t="s">
        <v>44</v>
      </c>
      <c r="L120" s="69">
        <v>0</v>
      </c>
      <c r="M120" s="69">
        <f>E120*(0.25*(VLOOKUP(I120,Покрытия!$A$2:$B$40,2,FALSE)*J120+VLOOKUP(K120,Покрытия!$A$2:$B$40,2,FALSE)*L120)+H120)</f>
        <v>272.69801999999999</v>
      </c>
      <c r="N120" s="69">
        <v>1</v>
      </c>
      <c r="O120" s="69">
        <f t="shared" ref="O120:O122" si="88">M120*N120</f>
        <v>272.69801999999999</v>
      </c>
      <c r="P120" s="70"/>
      <c r="Q120" s="69">
        <f t="array" ref="Q120">INDEX(Материалы!$C$2:$C$50,MATCH(G120&amp;D120,Материалы!$A$2:$A$50&amp;Материалы!$B$2:$B$50,0))</f>
        <v>734</v>
      </c>
      <c r="R120" s="69">
        <f>FLOOR(Раскройка!$D$2/B120,1)*FLOOR(Раскройка!$C$2/C120,1)</f>
        <v>15</v>
      </c>
      <c r="S120" s="69">
        <f>MAX(Раскройка!$F$2-E120*R120,0)</f>
        <v>1.1411500000000006</v>
      </c>
      <c r="T120" s="69">
        <f t="shared" ref="T120:T122" si="89">Q120*S120</f>
        <v>837.60410000000036</v>
      </c>
    </row>
    <row r="121" spans="1:20" x14ac:dyDescent="0.25">
      <c r="A121" s="69" t="s">
        <v>200</v>
      </c>
      <c r="B121" s="69">
        <v>870</v>
      </c>
      <c r="C121" s="69">
        <v>82</v>
      </c>
      <c r="D121" s="69">
        <v>0.6</v>
      </c>
      <c r="E121" s="69">
        <f t="shared" si="87"/>
        <v>7.1340000000000001E-2</v>
      </c>
      <c r="F121" s="20"/>
      <c r="G121" s="7" t="s">
        <v>7</v>
      </c>
      <c r="H121" s="69">
        <f>ROUND(Q121+T121/Раскройка!$F$2,0)</f>
        <v>298</v>
      </c>
      <c r="I121" s="69" t="s">
        <v>75</v>
      </c>
      <c r="J121" s="69">
        <v>2</v>
      </c>
      <c r="K121" s="69" t="s">
        <v>44</v>
      </c>
      <c r="L121" s="69">
        <v>4</v>
      </c>
      <c r="M121" s="69">
        <f>E121*(0.25*(VLOOKUP(I121,Покрытия!$A$2:$B$40,2,FALSE)*J121+VLOOKUP(K121,Покрытия!$A$2:$B$40,2,FALSE)*L121)+H121)</f>
        <v>149.67132000000001</v>
      </c>
      <c r="N121" s="69">
        <v>4</v>
      </c>
      <c r="O121" s="69">
        <f t="shared" si="88"/>
        <v>598.68528000000003</v>
      </c>
      <c r="P121" s="70"/>
      <c r="Q121" s="69">
        <f t="array" ref="Q121">INDEX(Материалы!$C$2:$C$50,MATCH(G121&amp;D121,Материалы!$A$2:$A$50&amp;Материалы!$B$2:$B$50,0))</f>
        <v>277</v>
      </c>
      <c r="R121" s="69">
        <f>FLOOR(Раскройка!$D$2/B121,1)*FLOOR(Раскройка!$C$2/C121,1)</f>
        <v>75</v>
      </c>
      <c r="S121" s="69">
        <f>MAX(Раскройка!$F$2-E121*R121,0)</f>
        <v>0.44949999999999957</v>
      </c>
      <c r="T121" s="69">
        <f t="shared" si="89"/>
        <v>124.51149999999988</v>
      </c>
    </row>
    <row r="122" spans="1:20" x14ac:dyDescent="0.25">
      <c r="A122" s="69" t="s">
        <v>201</v>
      </c>
      <c r="B122" s="69">
        <v>357</v>
      </c>
      <c r="C122" s="69">
        <v>82</v>
      </c>
      <c r="D122" s="69">
        <v>0.6</v>
      </c>
      <c r="E122" s="69">
        <f t="shared" si="87"/>
        <v>2.9274000000000001E-2</v>
      </c>
      <c r="F122" s="20"/>
      <c r="G122" s="7" t="s">
        <v>7</v>
      </c>
      <c r="H122" s="69">
        <f>ROUND(Q122+T122/Раскройка!$F$2,0)</f>
        <v>309</v>
      </c>
      <c r="I122" s="69" t="s">
        <v>75</v>
      </c>
      <c r="J122" s="69">
        <v>2</v>
      </c>
      <c r="K122" s="69" t="s">
        <v>44</v>
      </c>
      <c r="L122" s="69">
        <v>4</v>
      </c>
      <c r="M122" s="69">
        <f>E122*(0.25*(VLOOKUP(I122,Покрытия!$A$2:$B$40,2,FALSE)*J122+VLOOKUP(K122,Покрытия!$A$2:$B$40,2,FALSE)*L122)+H122)</f>
        <v>61.738866000000002</v>
      </c>
      <c r="N122" s="69">
        <v>4</v>
      </c>
      <c r="O122" s="69">
        <f t="shared" si="88"/>
        <v>246.95546400000001</v>
      </c>
      <c r="P122" s="70"/>
      <c r="Q122" s="69">
        <f t="array" ref="Q122">INDEX(Материалы!$C$2:$C$50,MATCH(G122&amp;D122,Материалы!$A$2:$A$50&amp;Материалы!$B$2:$B$50,0))</f>
        <v>277</v>
      </c>
      <c r="R122" s="69">
        <f>FLOOR(Раскройка!$D$2/B122,1)*FLOOR(Раскройка!$C$2/C122,1)</f>
        <v>175</v>
      </c>
      <c r="S122" s="69">
        <f>MAX(Раскройка!$F$2-E122*R122,0)</f>
        <v>0.67704999999999949</v>
      </c>
      <c r="T122" s="69">
        <f t="shared" si="89"/>
        <v>187.54284999999985</v>
      </c>
    </row>
    <row r="123" spans="1:20" x14ac:dyDescent="0.25">
      <c r="A123" s="69" t="s">
        <v>202</v>
      </c>
      <c r="B123" s="69">
        <v>870</v>
      </c>
      <c r="C123" s="69">
        <v>357</v>
      </c>
      <c r="D123" s="69">
        <v>0.6</v>
      </c>
      <c r="E123" s="69">
        <f>B123*C123/1000000</f>
        <v>0.31058999999999998</v>
      </c>
      <c r="F123" s="20"/>
      <c r="G123" s="7" t="s">
        <v>7</v>
      </c>
      <c r="H123" s="69">
        <f>ROUND(Q123+T123/Раскройка!$F$2,0)</f>
        <v>331</v>
      </c>
      <c r="I123" s="69" t="s">
        <v>75</v>
      </c>
      <c r="J123" s="69">
        <v>2</v>
      </c>
      <c r="K123" s="69" t="s">
        <v>44</v>
      </c>
      <c r="L123" s="69">
        <v>4</v>
      </c>
      <c r="M123" s="69">
        <f>E123*(0.25*(VLOOKUP(I123,Покрытия!$A$2:$B$40,2,FALSE)*J123+VLOOKUP(K123,Покрытия!$A$2:$B$40,2,FALSE)*L123)+H123)</f>
        <v>661.86728999999991</v>
      </c>
      <c r="N123" s="69">
        <v>2</v>
      </c>
      <c r="O123" s="69">
        <f>M123*N123</f>
        <v>1323.7345799999998</v>
      </c>
      <c r="P123" s="70"/>
      <c r="Q123" s="69">
        <f t="array" ref="Q123">INDEX(Материалы!$C$2:$C$50,MATCH(G123&amp;D123,Материалы!$A$2:$A$50&amp;Материалы!$B$2:$B$50,0))</f>
        <v>277</v>
      </c>
      <c r="R123" s="69">
        <f>FLOOR(Раскройка!$D$2/B123,1)*FLOOR(Раскройка!$C$2/C123,1)</f>
        <v>15</v>
      </c>
      <c r="S123" s="69">
        <f>MAX(Раскройка!$F$2-E123*R123,0)</f>
        <v>1.1411500000000006</v>
      </c>
      <c r="T123" s="69">
        <f>Q123*S123</f>
        <v>316.09855000000016</v>
      </c>
    </row>
    <row r="126" spans="1:20" x14ac:dyDescent="0.25">
      <c r="A126" s="69" t="s">
        <v>82</v>
      </c>
      <c r="B126" s="69">
        <v>870</v>
      </c>
      <c r="C126" s="69">
        <v>82</v>
      </c>
      <c r="D126" s="69">
        <v>19</v>
      </c>
      <c r="E126" s="69">
        <f t="shared" ref="E126:E127" si="90">B126*C126/1000000</f>
        <v>7.1340000000000001E-2</v>
      </c>
      <c r="F126" s="20"/>
      <c r="G126" s="7" t="s">
        <v>12</v>
      </c>
      <c r="H126" s="69">
        <f>ROUND(Q126+T126/Раскройка!$F$2,0)</f>
        <v>791</v>
      </c>
      <c r="I126" s="69" t="s">
        <v>75</v>
      </c>
      <c r="J126" s="69">
        <v>0</v>
      </c>
      <c r="K126" s="69" t="s">
        <v>44</v>
      </c>
      <c r="L126" s="69">
        <v>0</v>
      </c>
      <c r="M126" s="69">
        <f>E126*(0.25*(VLOOKUP(I126,Покрытия!$A$2:$B$40,2,FALSE)*J126+VLOOKUP(K126,Покрытия!$A$2:$B$40,2,FALSE)*L126)+H126)</f>
        <v>56.429940000000002</v>
      </c>
      <c r="N126" s="69">
        <v>2</v>
      </c>
      <c r="O126" s="69">
        <f t="shared" ref="O126:O127" si="91">M126*N126</f>
        <v>112.85988</v>
      </c>
      <c r="P126" s="70"/>
      <c r="Q126" s="69">
        <f t="array" ref="Q126">INDEX(Материалы!$C$2:$C$50,MATCH(G126&amp;D126,Материалы!$A$2:$A$50&amp;Материалы!$B$2:$B$50,0))</f>
        <v>734</v>
      </c>
      <c r="R126" s="69">
        <f>FLOOR(Раскройка!$D$2/B126,1)*FLOOR(Раскройка!$C$2/C126,1)</f>
        <v>75</v>
      </c>
      <c r="S126" s="69">
        <f>MAX(Раскройка!$F$2-E126*R126,0)</f>
        <v>0.44949999999999957</v>
      </c>
      <c r="T126" s="69">
        <f t="shared" ref="T126:T127" si="92">Q126*S126</f>
        <v>329.93299999999971</v>
      </c>
    </row>
    <row r="127" spans="1:20" x14ac:dyDescent="0.25">
      <c r="A127" s="69" t="s">
        <v>81</v>
      </c>
      <c r="B127" s="69">
        <v>518</v>
      </c>
      <c r="C127" s="69">
        <v>82</v>
      </c>
      <c r="D127" s="69">
        <v>19</v>
      </c>
      <c r="E127" s="69">
        <f t="shared" si="90"/>
        <v>4.2476E-2</v>
      </c>
      <c r="F127" s="20"/>
      <c r="G127" s="7" t="s">
        <v>12</v>
      </c>
      <c r="H127" s="69">
        <f>ROUND(Q127+T127/Раскройка!$F$2,0)</f>
        <v>796</v>
      </c>
      <c r="I127" s="69" t="s">
        <v>75</v>
      </c>
      <c r="J127" s="69">
        <v>0</v>
      </c>
      <c r="K127" s="69" t="s">
        <v>44</v>
      </c>
      <c r="L127" s="69">
        <v>0</v>
      </c>
      <c r="M127" s="69">
        <f>E127*(0.25*(VLOOKUP(I127,Покрытия!$A$2:$B$40,2,FALSE)*J127+VLOOKUP(K127,Покрытия!$A$2:$B$40,2,FALSE)*L127)+H127)</f>
        <v>33.810896</v>
      </c>
      <c r="N127" s="69">
        <v>2</v>
      </c>
      <c r="O127" s="69">
        <f t="shared" si="91"/>
        <v>67.621791999999999</v>
      </c>
      <c r="P127" s="70"/>
      <c r="Q127" s="69">
        <f t="array" ref="Q127">INDEX(Материалы!$C$2:$C$50,MATCH(G127&amp;D127,Материалы!$A$2:$A$50&amp;Материалы!$B$2:$B$50,0))</f>
        <v>734</v>
      </c>
      <c r="R127" s="69">
        <f>FLOOR(Раскройка!$D$2/B127,1)*FLOOR(Раскройка!$C$2/C127,1)</f>
        <v>125</v>
      </c>
      <c r="S127" s="69">
        <f>MAX(Раскройка!$F$2-E127*R127,0)</f>
        <v>0.49049999999999994</v>
      </c>
      <c r="T127" s="69">
        <f t="shared" si="92"/>
        <v>360.02699999999993</v>
      </c>
    </row>
    <row r="128" spans="1:20" x14ac:dyDescent="0.25">
      <c r="A128" s="69" t="s">
        <v>144</v>
      </c>
      <c r="B128" s="69">
        <v>870</v>
      </c>
      <c r="C128" s="69">
        <v>20</v>
      </c>
      <c r="D128" s="69">
        <v>10</v>
      </c>
      <c r="E128" s="69">
        <f>B128*C128*D128/1000000000</f>
        <v>1.74E-4</v>
      </c>
      <c r="F128" s="69">
        <f>B128*C128/1000000</f>
        <v>1.7399999999999999E-2</v>
      </c>
      <c r="G128" s="69" t="s">
        <v>16</v>
      </c>
      <c r="H128" s="69">
        <f>ROUND(Q128+T128/Раскройка!$F$11,0)</f>
        <v>75166</v>
      </c>
      <c r="I128" s="69" t="s">
        <v>75</v>
      </c>
      <c r="J128" s="69">
        <v>2</v>
      </c>
      <c r="K128" s="69" t="s">
        <v>44</v>
      </c>
      <c r="L128" s="69">
        <v>4</v>
      </c>
      <c r="M128" s="69">
        <f>E128*H128+0.25*((VLOOKUP(I128,Покрытия!$A$2:$B$50,2,FALSE)*J128+VLOOKUP(K128,Покрытия!$A$2:$B$50,2,FALSE)*L128)*F128)</f>
        <v>44.398883999999995</v>
      </c>
      <c r="N128" s="69">
        <v>2</v>
      </c>
      <c r="O128" s="69">
        <f>M128*N128</f>
        <v>88.797767999999991</v>
      </c>
      <c r="P128" s="70"/>
      <c r="Q128" s="69">
        <f t="array" ref="Q128">INDEX(Материалы!$C$2:$C$50,MATCH(G128,Материалы!$A$2:$A$50,0))</f>
        <v>45500</v>
      </c>
      <c r="R128" s="69">
        <f>FLOOR(Раскройка!$C$11/C128,1)*FLOOR(Раскройка!$D$11/B128,1)</f>
        <v>45</v>
      </c>
      <c r="S128" s="69">
        <f>MAX(Раскройка!$F$11-E128*R128,0)</f>
        <v>1.4669999999999999E-2</v>
      </c>
      <c r="T128" s="69">
        <f>Q128*S128</f>
        <v>667.4849999999999</v>
      </c>
    </row>
    <row r="129" spans="1:20" x14ac:dyDescent="0.25">
      <c r="A129" s="69" t="s">
        <v>145</v>
      </c>
      <c r="B129" s="69">
        <v>518</v>
      </c>
      <c r="C129" s="69">
        <v>20</v>
      </c>
      <c r="D129" s="69">
        <v>10</v>
      </c>
      <c r="E129" s="69">
        <f>B129*C129*D129/1000000000</f>
        <v>1.036E-4</v>
      </c>
      <c r="F129" s="69">
        <f>B129*C129/1000000</f>
        <v>1.0359999999999999E-2</v>
      </c>
      <c r="G129" s="69" t="s">
        <v>16</v>
      </c>
      <c r="H129" s="69">
        <f>ROUND(Q129+T129/Раскройка!$F$11,0)</f>
        <v>75287</v>
      </c>
      <c r="I129" s="69" t="s">
        <v>75</v>
      </c>
      <c r="J129" s="69">
        <v>2</v>
      </c>
      <c r="K129" s="69" t="s">
        <v>44</v>
      </c>
      <c r="L129" s="69">
        <v>4</v>
      </c>
      <c r="M129" s="69">
        <f>E129*H129+0.25*((VLOOKUP(I129,Покрытия!$A$2:$B$50,2,FALSE)*J129+VLOOKUP(K129,Покрытия!$A$2:$B$50,2,FALSE)*L129)*F129)</f>
        <v>26.447733199999998</v>
      </c>
      <c r="N129" s="69">
        <v>2</v>
      </c>
      <c r="O129" s="69">
        <f>M129*N129</f>
        <v>52.895466399999997</v>
      </c>
      <c r="P129" s="70"/>
      <c r="Q129" s="69">
        <f t="array" ref="Q129">INDEX(Материалы!$C$2:$C$50,MATCH(G129,Материалы!$A$2:$A$50,0))</f>
        <v>45500</v>
      </c>
      <c r="R129" s="69">
        <f>FLOOR(Раскройка!$C$11/C129,1)*FLOOR(Раскройка!$D$11/B129,1)</f>
        <v>75</v>
      </c>
      <c r="S129" s="69">
        <f>MAX(Раскройка!$F$11-E129*R129,0)</f>
        <v>1.473E-2</v>
      </c>
      <c r="T129" s="69">
        <f>Q129*S129</f>
        <v>670.21500000000003</v>
      </c>
    </row>
    <row r="130" spans="1:20" x14ac:dyDescent="0.25">
      <c r="A130" s="69" t="s">
        <v>57</v>
      </c>
      <c r="B130" s="69">
        <v>870</v>
      </c>
      <c r="C130" s="69">
        <v>518</v>
      </c>
      <c r="D130" s="69">
        <v>19</v>
      </c>
      <c r="E130" s="69">
        <f t="shared" ref="E130:E132" si="93">B130*C130/1000000</f>
        <v>0.45066000000000001</v>
      </c>
      <c r="F130" s="20"/>
      <c r="G130" s="7" t="s">
        <v>12</v>
      </c>
      <c r="H130" s="69">
        <f>ROUND(Q130+T130/Раскройка!$F$2,0)</f>
        <v>955</v>
      </c>
      <c r="I130" s="69" t="s">
        <v>75</v>
      </c>
      <c r="J130" s="69">
        <v>0</v>
      </c>
      <c r="K130" s="69" t="s">
        <v>44</v>
      </c>
      <c r="L130" s="69">
        <v>0</v>
      </c>
      <c r="M130" s="69">
        <f>E130*(0.25*(VLOOKUP(I130,Покрытия!$A$2:$B$40,2,FALSE)*J130+VLOOKUP(K130,Покрытия!$A$2:$B$40,2,FALSE)*L130)+H130)</f>
        <v>430.38029999999998</v>
      </c>
      <c r="N130" s="69">
        <v>1</v>
      </c>
      <c r="O130" s="69">
        <f t="shared" ref="O130:O132" si="94">M130*N130</f>
        <v>430.38029999999998</v>
      </c>
      <c r="P130" s="70"/>
      <c r="Q130" s="69">
        <f t="array" ref="Q130">INDEX(Материалы!$C$2:$C$50,MATCH(G130&amp;D130,Материалы!$A$2:$A$50&amp;Материалы!$B$2:$B$50,0))</f>
        <v>734</v>
      </c>
      <c r="R130" s="69">
        <f>FLOOR(Раскройка!$D$2/B130,1)*FLOOR(Раскройка!$C$2/C130,1)</f>
        <v>9</v>
      </c>
      <c r="S130" s="69">
        <f>MAX(Раскройка!$F$2-E130*R130,0)</f>
        <v>1.7440600000000002</v>
      </c>
      <c r="T130" s="69">
        <f t="shared" ref="T130:T132" si="95">Q130*S130</f>
        <v>1280.1400400000002</v>
      </c>
    </row>
    <row r="131" spans="1:20" x14ac:dyDescent="0.25">
      <c r="A131" s="69" t="s">
        <v>200</v>
      </c>
      <c r="B131" s="69">
        <v>870</v>
      </c>
      <c r="C131" s="69">
        <v>82</v>
      </c>
      <c r="D131" s="69">
        <v>0.6</v>
      </c>
      <c r="E131" s="69">
        <f t="shared" si="93"/>
        <v>7.1340000000000001E-2</v>
      </c>
      <c r="F131" s="20"/>
      <c r="G131" s="7" t="s">
        <v>7</v>
      </c>
      <c r="H131" s="69">
        <f>ROUND(Q131+T131/Раскройка!$F$2,0)</f>
        <v>298</v>
      </c>
      <c r="I131" s="69" t="s">
        <v>75</v>
      </c>
      <c r="J131" s="69">
        <v>2</v>
      </c>
      <c r="K131" s="69" t="s">
        <v>44</v>
      </c>
      <c r="L131" s="69">
        <v>4</v>
      </c>
      <c r="M131" s="69">
        <f>E131*(0.25*(VLOOKUP(I131,Покрытия!$A$2:$B$40,2,FALSE)*J131+VLOOKUP(K131,Покрытия!$A$2:$B$40,2,FALSE)*L131)+H131)</f>
        <v>149.67132000000001</v>
      </c>
      <c r="N131" s="69">
        <v>4</v>
      </c>
      <c r="O131" s="69">
        <f t="shared" si="94"/>
        <v>598.68528000000003</v>
      </c>
      <c r="P131" s="70"/>
      <c r="Q131" s="69">
        <f t="array" ref="Q131">INDEX(Материалы!$C$2:$C$50,MATCH(G131&amp;D131,Материалы!$A$2:$A$50&amp;Материалы!$B$2:$B$50,0))</f>
        <v>277</v>
      </c>
      <c r="R131" s="69">
        <f>FLOOR(Раскройка!$D$2/B131,1)*FLOOR(Раскройка!$C$2/C131,1)</f>
        <v>75</v>
      </c>
      <c r="S131" s="69">
        <f>MAX(Раскройка!$F$2-E131*R131,0)</f>
        <v>0.44949999999999957</v>
      </c>
      <c r="T131" s="69">
        <f t="shared" si="95"/>
        <v>124.51149999999988</v>
      </c>
    </row>
    <row r="132" spans="1:20" x14ac:dyDescent="0.25">
      <c r="A132" s="69" t="s">
        <v>201</v>
      </c>
      <c r="B132" s="69">
        <v>518</v>
      </c>
      <c r="C132" s="69">
        <v>82</v>
      </c>
      <c r="D132" s="69">
        <v>0.6</v>
      </c>
      <c r="E132" s="69">
        <f t="shared" si="93"/>
        <v>4.2476E-2</v>
      </c>
      <c r="F132" s="20"/>
      <c r="G132" s="7" t="s">
        <v>7</v>
      </c>
      <c r="H132" s="69">
        <f>ROUND(Q132+T132/Раскройка!$F$2,0)</f>
        <v>300</v>
      </c>
      <c r="I132" s="69" t="s">
        <v>75</v>
      </c>
      <c r="J132" s="69">
        <v>2</v>
      </c>
      <c r="K132" s="69" t="s">
        <v>44</v>
      </c>
      <c r="L132" s="69">
        <v>4</v>
      </c>
      <c r="M132" s="69">
        <f>E132*(0.25*(VLOOKUP(I132,Покрытия!$A$2:$B$40,2,FALSE)*J132+VLOOKUP(K132,Покрытия!$A$2:$B$40,2,FALSE)*L132)+H132)</f>
        <v>89.199600000000004</v>
      </c>
      <c r="N132" s="69">
        <v>4</v>
      </c>
      <c r="O132" s="69">
        <f t="shared" si="94"/>
        <v>356.79840000000002</v>
      </c>
      <c r="P132" s="70"/>
      <c r="Q132" s="69">
        <f t="array" ref="Q132">INDEX(Материалы!$C$2:$C$50,MATCH(G132&amp;D132,Материалы!$A$2:$A$50&amp;Материалы!$B$2:$B$50,0))</f>
        <v>277</v>
      </c>
      <c r="R132" s="69">
        <f>FLOOR(Раскройка!$D$2/B132,1)*FLOOR(Раскройка!$C$2/C132,1)</f>
        <v>125</v>
      </c>
      <c r="S132" s="69">
        <f>MAX(Раскройка!$F$2-E132*R132,0)</f>
        <v>0.49049999999999994</v>
      </c>
      <c r="T132" s="69">
        <f t="shared" si="95"/>
        <v>135.86849999999998</v>
      </c>
    </row>
    <row r="133" spans="1:20" x14ac:dyDescent="0.25">
      <c r="A133" s="69" t="s">
        <v>202</v>
      </c>
      <c r="B133" s="69">
        <v>870</v>
      </c>
      <c r="C133" s="69">
        <v>518</v>
      </c>
      <c r="D133" s="69">
        <v>0.6</v>
      </c>
      <c r="E133" s="69">
        <f>B133*C133/1000000</f>
        <v>0.45066000000000001</v>
      </c>
      <c r="F133" s="20"/>
      <c r="G133" s="7" t="s">
        <v>7</v>
      </c>
      <c r="H133" s="69">
        <f>ROUND(Q133+T133/Раскройка!$F$2,0)</f>
        <v>360</v>
      </c>
      <c r="I133" s="69" t="s">
        <v>75</v>
      </c>
      <c r="J133" s="69">
        <v>2</v>
      </c>
      <c r="K133" s="69" t="s">
        <v>44</v>
      </c>
      <c r="L133" s="69">
        <v>4</v>
      </c>
      <c r="M133" s="69">
        <f>E133*(0.25*(VLOOKUP(I133,Покрытия!$A$2:$B$40,2,FALSE)*J133+VLOOKUP(K133,Покрытия!$A$2:$B$40,2,FALSE)*L133)+H133)</f>
        <v>973.42560000000003</v>
      </c>
      <c r="N133" s="69">
        <v>2</v>
      </c>
      <c r="O133" s="69">
        <f>M133*N133</f>
        <v>1946.8512000000001</v>
      </c>
      <c r="P133" s="70"/>
      <c r="Q133" s="69">
        <f t="array" ref="Q133">INDEX(Материалы!$C$2:$C$50,MATCH(G133&amp;D133,Материалы!$A$2:$A$50&amp;Материалы!$B$2:$B$50,0))</f>
        <v>277</v>
      </c>
      <c r="R133" s="69">
        <f>FLOOR(Раскройка!$D$2/B133,1)*FLOOR(Раскройка!$C$2/C133,1)</f>
        <v>9</v>
      </c>
      <c r="S133" s="69">
        <f>MAX(Раскройка!$F$2-E133*R133,0)</f>
        <v>1.7440600000000002</v>
      </c>
      <c r="T133" s="69">
        <f>Q133*S133</f>
        <v>483.10462000000007</v>
      </c>
    </row>
    <row r="136" spans="1:20" x14ac:dyDescent="0.25">
      <c r="A136" s="69" t="s">
        <v>82</v>
      </c>
      <c r="B136" s="69">
        <v>368</v>
      </c>
      <c r="C136" s="69">
        <v>82</v>
      </c>
      <c r="D136" s="69">
        <v>19</v>
      </c>
      <c r="E136" s="69">
        <f t="shared" ref="E136:E137" si="96">B136*C136/1000000</f>
        <v>3.0176000000000001E-2</v>
      </c>
      <c r="F136" s="20"/>
      <c r="G136" s="7" t="s">
        <v>12</v>
      </c>
      <c r="H136" s="69">
        <f>ROUND(Q136+T136/Раскройка!$F$2,0)</f>
        <v>800</v>
      </c>
      <c r="I136" s="69" t="s">
        <v>75</v>
      </c>
      <c r="J136" s="69">
        <v>0</v>
      </c>
      <c r="K136" s="69" t="s">
        <v>44</v>
      </c>
      <c r="L136" s="69">
        <v>0</v>
      </c>
      <c r="M136" s="69">
        <f>E136*(0.25*(VLOOKUP(I136,Покрытия!$A$2:$B$40,2,FALSE)*J136+VLOOKUP(K136,Покрытия!$A$2:$B$40,2,FALSE)*L136)+H136)</f>
        <v>24.140800000000002</v>
      </c>
      <c r="N136" s="69">
        <v>2</v>
      </c>
      <c r="O136" s="69">
        <f t="shared" ref="O136:O137" si="97">M136*N136</f>
        <v>48.281600000000005</v>
      </c>
      <c r="P136" s="70"/>
      <c r="Q136" s="69">
        <f t="array" ref="Q136">INDEX(Материалы!$C$2:$C$50,MATCH(G136&amp;D136,Материалы!$A$2:$A$50&amp;Материалы!$B$2:$B$50,0))</f>
        <v>734</v>
      </c>
      <c r="R136" s="69">
        <f>FLOOR(Раскройка!$D$2/B136,1)*FLOOR(Раскройка!$C$2/C136,1)</f>
        <v>175</v>
      </c>
      <c r="S136" s="69">
        <f>MAX(Раскройка!$F$2-E136*R136,0)</f>
        <v>0.51919999999999966</v>
      </c>
      <c r="T136" s="69">
        <f t="shared" ref="T136:T137" si="98">Q136*S136</f>
        <v>381.09279999999973</v>
      </c>
    </row>
    <row r="137" spans="1:20" x14ac:dyDescent="0.25">
      <c r="A137" s="69" t="s">
        <v>81</v>
      </c>
      <c r="B137" s="69">
        <v>2056</v>
      </c>
      <c r="C137" s="69">
        <v>82</v>
      </c>
      <c r="D137" s="69">
        <v>19</v>
      </c>
      <c r="E137" s="69">
        <f t="shared" si="96"/>
        <v>0.16859199999999999</v>
      </c>
      <c r="F137" s="20"/>
      <c r="G137" s="7" t="s">
        <v>12</v>
      </c>
      <c r="H137" s="69">
        <f>ROUND(Q137+T137/Раскройка!$F$2,0)</f>
        <v>935</v>
      </c>
      <c r="I137" s="69" t="s">
        <v>75</v>
      </c>
      <c r="J137" s="69">
        <v>0</v>
      </c>
      <c r="K137" s="69" t="s">
        <v>44</v>
      </c>
      <c r="L137" s="69">
        <v>0</v>
      </c>
      <c r="M137" s="69">
        <f>E137*(0.25*(VLOOKUP(I137,Покрытия!$A$2:$B$40,2,FALSE)*J137+VLOOKUP(K137,Покрытия!$A$2:$B$40,2,FALSE)*L137)+H137)</f>
        <v>157.63352</v>
      </c>
      <c r="N137" s="69">
        <v>2</v>
      </c>
      <c r="O137" s="69">
        <f t="shared" si="97"/>
        <v>315.26704000000001</v>
      </c>
      <c r="P137" s="70"/>
      <c r="Q137" s="69">
        <f t="array" ref="Q137">INDEX(Материалы!$C$2:$C$50,MATCH(G137&amp;D137,Материалы!$A$2:$A$50&amp;Материалы!$B$2:$B$50,0))</f>
        <v>734</v>
      </c>
      <c r="R137" s="69">
        <f>FLOOR(Раскройка!$D$2/B137,1)*FLOOR(Раскройка!$C$2/C137,1)</f>
        <v>25</v>
      </c>
      <c r="S137" s="69">
        <f>MAX(Раскройка!$F$2-E137*R137,0)</f>
        <v>1.5852000000000004</v>
      </c>
      <c r="T137" s="69">
        <f t="shared" si="98"/>
        <v>1163.5368000000003</v>
      </c>
    </row>
    <row r="138" spans="1:20" x14ac:dyDescent="0.25">
      <c r="A138" s="69" t="s">
        <v>144</v>
      </c>
      <c r="B138" s="69">
        <v>368</v>
      </c>
      <c r="C138" s="69">
        <v>20</v>
      </c>
      <c r="D138" s="69">
        <v>10</v>
      </c>
      <c r="E138" s="69">
        <f>B138*C138*D138/1000000000</f>
        <v>7.36E-5</v>
      </c>
      <c r="F138" s="69">
        <f>B138*C138/1000000</f>
        <v>7.3600000000000002E-3</v>
      </c>
      <c r="G138" s="69" t="s">
        <v>16</v>
      </c>
      <c r="H138" s="69">
        <f>ROUND(Q138+T138/Раскройка!$F$11,0)</f>
        <v>73140</v>
      </c>
      <c r="I138" s="69" t="s">
        <v>75</v>
      </c>
      <c r="J138" s="69">
        <v>2</v>
      </c>
      <c r="K138" s="69" t="s">
        <v>44</v>
      </c>
      <c r="L138" s="69">
        <v>4</v>
      </c>
      <c r="M138" s="69">
        <f>E138*H138+0.25*((VLOOKUP(I138,Покрытия!$A$2:$B$50,2,FALSE)*J138+VLOOKUP(K138,Покрытия!$A$2:$B$50,2,FALSE)*L138)*F138)</f>
        <v>18.631104000000001</v>
      </c>
      <c r="N138" s="69">
        <v>2</v>
      </c>
      <c r="O138" s="69">
        <f>M138*N138</f>
        <v>37.262208000000001</v>
      </c>
      <c r="P138" s="70"/>
      <c r="Q138" s="69">
        <f t="array" ref="Q138">INDEX(Материалы!$C$2:$C$50,MATCH(G138,Материалы!$A$2:$A$50,0))</f>
        <v>45500</v>
      </c>
      <c r="R138" s="69">
        <f>FLOOR(Раскройка!$C$11/C138,1)*FLOOR(Раскройка!$D$11/B138,1)</f>
        <v>120</v>
      </c>
      <c r="S138" s="69">
        <f>MAX(Раскройка!$F$11-E138*R138,0)</f>
        <v>1.3668E-2</v>
      </c>
      <c r="T138" s="69">
        <f>Q138*S138</f>
        <v>621.89400000000001</v>
      </c>
    </row>
    <row r="139" spans="1:20" x14ac:dyDescent="0.25">
      <c r="A139" s="69" t="s">
        <v>145</v>
      </c>
      <c r="B139" s="69">
        <v>2056</v>
      </c>
      <c r="C139" s="69">
        <v>20</v>
      </c>
      <c r="D139" s="69">
        <v>10</v>
      </c>
      <c r="E139" s="69">
        <f>B139*C139*D139/1000000000</f>
        <v>4.1120000000000002E-4</v>
      </c>
      <c r="F139" s="69">
        <f>B139*C139/1000000</f>
        <v>4.1119999999999997E-2</v>
      </c>
      <c r="G139" s="69" t="s">
        <v>16</v>
      </c>
      <c r="H139" s="69">
        <f>ROUND(Q139+T139/Раскройка!$F$11,0)</f>
        <v>78527</v>
      </c>
      <c r="I139" s="69" t="s">
        <v>75</v>
      </c>
      <c r="J139" s="69">
        <v>2</v>
      </c>
      <c r="K139" s="69" t="s">
        <v>44</v>
      </c>
      <c r="L139" s="69">
        <v>4</v>
      </c>
      <c r="M139" s="69">
        <f>E139*H139+0.25*((VLOOKUP(I139,Покрытия!$A$2:$B$50,2,FALSE)*J139+VLOOKUP(K139,Покрытия!$A$2:$B$50,2,FALSE)*L139)*F139)</f>
        <v>106.30630239999999</v>
      </c>
      <c r="N139" s="69">
        <v>2</v>
      </c>
      <c r="O139" s="69">
        <f>M139*N139</f>
        <v>212.61260479999999</v>
      </c>
      <c r="P139" s="70"/>
      <c r="Q139" s="69">
        <f t="array" ref="Q139">INDEX(Материалы!$C$2:$C$50,MATCH(G139,Материалы!$A$2:$A$50,0))</f>
        <v>45500</v>
      </c>
      <c r="R139" s="69">
        <f>FLOOR(Раскройка!$C$11/C139,1)*FLOOR(Раскройка!$D$11/B139,1)</f>
        <v>15</v>
      </c>
      <c r="S139" s="69">
        <f>MAX(Раскройка!$F$11-E139*R139,0)</f>
        <v>1.6331999999999999E-2</v>
      </c>
      <c r="T139" s="69">
        <f>Q139*S139</f>
        <v>743.10599999999999</v>
      </c>
    </row>
    <row r="140" spans="1:20" x14ac:dyDescent="0.25">
      <c r="A140" s="69" t="s">
        <v>57</v>
      </c>
      <c r="B140" s="69">
        <v>2056</v>
      </c>
      <c r="C140" s="69">
        <v>368</v>
      </c>
      <c r="D140" s="69">
        <v>19</v>
      </c>
      <c r="E140" s="69">
        <f t="shared" ref="E140:E142" si="99">B140*C140/1000000</f>
        <v>0.75660799999999995</v>
      </c>
      <c r="F140" s="20"/>
      <c r="G140" s="7" t="s">
        <v>12</v>
      </c>
      <c r="H140" s="69">
        <f>ROUND(Q140+T140/Раскройка!$F$2,0)</f>
        <v>989</v>
      </c>
      <c r="I140" s="69" t="s">
        <v>75</v>
      </c>
      <c r="J140" s="69">
        <v>0</v>
      </c>
      <c r="K140" s="69" t="s">
        <v>44</v>
      </c>
      <c r="L140" s="69">
        <v>0</v>
      </c>
      <c r="M140" s="69">
        <f>E140*(0.25*(VLOOKUP(I140,Покрытия!$A$2:$B$40,2,FALSE)*J140+VLOOKUP(K140,Покрытия!$A$2:$B$40,2,FALSE)*L140)+H140)</f>
        <v>748.28531199999998</v>
      </c>
      <c r="N140" s="69">
        <v>1</v>
      </c>
      <c r="O140" s="69">
        <f t="shared" ref="O140:O142" si="100">M140*N140</f>
        <v>748.28531199999998</v>
      </c>
      <c r="P140" s="70"/>
      <c r="Q140" s="69">
        <f t="array" ref="Q140">INDEX(Материалы!$C$2:$C$50,MATCH(G140&amp;D140,Материалы!$A$2:$A$50&amp;Материалы!$B$2:$B$50,0))</f>
        <v>734</v>
      </c>
      <c r="R140" s="69">
        <f>FLOOR(Раскройка!$D$2/B140,1)*FLOOR(Раскройка!$C$2/C140,1)</f>
        <v>5</v>
      </c>
      <c r="S140" s="69">
        <f>MAX(Раскройка!$F$2-E140*R140,0)</f>
        <v>2.0169600000000001</v>
      </c>
      <c r="T140" s="69">
        <f t="shared" ref="T140:T142" si="101">Q140*S140</f>
        <v>1480.4486400000001</v>
      </c>
    </row>
    <row r="141" spans="1:20" x14ac:dyDescent="0.25">
      <c r="A141" s="69" t="s">
        <v>200</v>
      </c>
      <c r="B141" s="69">
        <v>368</v>
      </c>
      <c r="C141" s="69">
        <v>82</v>
      </c>
      <c r="D141" s="69">
        <v>0.6</v>
      </c>
      <c r="E141" s="69">
        <f t="shared" si="99"/>
        <v>3.0176000000000001E-2</v>
      </c>
      <c r="F141" s="20"/>
      <c r="G141" s="7" t="s">
        <v>7</v>
      </c>
      <c r="H141" s="69">
        <f>ROUND(Q141+T141/Раскройка!$F$2,0)</f>
        <v>302</v>
      </c>
      <c r="I141" s="69" t="s">
        <v>75</v>
      </c>
      <c r="J141" s="69">
        <v>2</v>
      </c>
      <c r="K141" s="69" t="s">
        <v>44</v>
      </c>
      <c r="L141" s="69">
        <v>4</v>
      </c>
      <c r="M141" s="69">
        <f>E141*(0.25*(VLOOKUP(I141,Покрытия!$A$2:$B$40,2,FALSE)*J141+VLOOKUP(K141,Покрытия!$A$2:$B$40,2,FALSE)*L141)+H141)</f>
        <v>63.429952</v>
      </c>
      <c r="N141" s="69">
        <v>4</v>
      </c>
      <c r="O141" s="69">
        <f t="shared" si="100"/>
        <v>253.719808</v>
      </c>
      <c r="P141" s="70"/>
      <c r="Q141" s="69">
        <f t="array" ref="Q141">INDEX(Материалы!$C$2:$C$50,MATCH(G141&amp;D141,Материалы!$A$2:$A$50&amp;Материалы!$B$2:$B$50,0))</f>
        <v>277</v>
      </c>
      <c r="R141" s="69">
        <f>FLOOR(Раскройка!$D$2/B141,1)*FLOOR(Раскройка!$C$2/C141,1)</f>
        <v>175</v>
      </c>
      <c r="S141" s="69">
        <f>MAX(Раскройка!$F$2-E141*R141,0)</f>
        <v>0.51919999999999966</v>
      </c>
      <c r="T141" s="69">
        <f t="shared" si="101"/>
        <v>143.81839999999991</v>
      </c>
    </row>
    <row r="142" spans="1:20" x14ac:dyDescent="0.25">
      <c r="A142" s="69" t="s">
        <v>201</v>
      </c>
      <c r="B142" s="69">
        <v>2056</v>
      </c>
      <c r="C142" s="69">
        <v>82</v>
      </c>
      <c r="D142" s="69">
        <v>0.6</v>
      </c>
      <c r="E142" s="69">
        <f t="shared" si="99"/>
        <v>0.16859199999999999</v>
      </c>
      <c r="F142" s="20"/>
      <c r="G142" s="7" t="s">
        <v>7</v>
      </c>
      <c r="H142" s="69">
        <f>ROUND(Q142+T142/Раскройка!$F$2,0)</f>
        <v>353</v>
      </c>
      <c r="I142" s="69" t="s">
        <v>75</v>
      </c>
      <c r="J142" s="69">
        <v>2</v>
      </c>
      <c r="K142" s="69" t="s">
        <v>44</v>
      </c>
      <c r="L142" s="69">
        <v>4</v>
      </c>
      <c r="M142" s="69">
        <f>E142*(0.25*(VLOOKUP(I142,Покрытия!$A$2:$B$40,2,FALSE)*J142+VLOOKUP(K142,Покрытия!$A$2:$B$40,2,FALSE)*L142)+H142)</f>
        <v>362.97857599999998</v>
      </c>
      <c r="N142" s="69">
        <v>4</v>
      </c>
      <c r="O142" s="69">
        <f t="shared" si="100"/>
        <v>1451.9143039999999</v>
      </c>
      <c r="P142" s="70"/>
      <c r="Q142" s="69">
        <f t="array" ref="Q142">INDEX(Материалы!$C$2:$C$50,MATCH(G142&amp;D142,Материалы!$A$2:$A$50&amp;Материалы!$B$2:$B$50,0))</f>
        <v>277</v>
      </c>
      <c r="R142" s="69">
        <f>FLOOR(Раскройка!$D$2/B142,1)*FLOOR(Раскройка!$C$2/C142,1)</f>
        <v>25</v>
      </c>
      <c r="S142" s="69">
        <f>MAX(Раскройка!$F$2-E142*R142,0)</f>
        <v>1.5852000000000004</v>
      </c>
      <c r="T142" s="69">
        <f t="shared" si="101"/>
        <v>439.10040000000009</v>
      </c>
    </row>
    <row r="143" spans="1:20" x14ac:dyDescent="0.25">
      <c r="A143" s="69" t="s">
        <v>202</v>
      </c>
      <c r="B143" s="69">
        <v>2056</v>
      </c>
      <c r="C143" s="69">
        <v>368</v>
      </c>
      <c r="D143" s="69">
        <v>0.6</v>
      </c>
      <c r="E143" s="69">
        <f>B143*C143/1000000</f>
        <v>0.75660799999999995</v>
      </c>
      <c r="F143" s="20"/>
      <c r="G143" s="7" t="s">
        <v>7</v>
      </c>
      <c r="H143" s="69">
        <f>ROUND(Q143+T143/Раскройка!$F$2,0)</f>
        <v>373</v>
      </c>
      <c r="I143" s="69" t="s">
        <v>75</v>
      </c>
      <c r="J143" s="69">
        <v>2</v>
      </c>
      <c r="K143" s="69" t="s">
        <v>44</v>
      </c>
      <c r="L143" s="69">
        <v>4</v>
      </c>
      <c r="M143" s="69">
        <f>E143*(0.25*(VLOOKUP(I143,Покрытия!$A$2:$B$40,2,FALSE)*J143+VLOOKUP(K143,Покрытия!$A$2:$B$40,2,FALSE)*L143)+H143)</f>
        <v>1644.1091839999999</v>
      </c>
      <c r="N143" s="69">
        <v>2</v>
      </c>
      <c r="O143" s="69">
        <f>M143*N143</f>
        <v>3288.2183679999998</v>
      </c>
      <c r="P143" s="70"/>
      <c r="Q143" s="69">
        <f t="array" ref="Q143">INDEX(Материалы!$C$2:$C$50,MATCH(G143&amp;D143,Материалы!$A$2:$A$50&amp;Материалы!$B$2:$B$50,0))</f>
        <v>277</v>
      </c>
      <c r="R143" s="69">
        <f>FLOOR(Раскройка!$D$2/B143,1)*FLOOR(Раскройка!$C$2/C143,1)</f>
        <v>5</v>
      </c>
      <c r="S143" s="69">
        <f>MAX(Раскройка!$F$2-E143*R143,0)</f>
        <v>2.0169600000000001</v>
      </c>
      <c r="T143" s="69">
        <f>Q143*S143</f>
        <v>558.69792000000007</v>
      </c>
    </row>
    <row r="144" spans="1:20" x14ac:dyDescent="0.25">
      <c r="A144" s="69" t="s">
        <v>82</v>
      </c>
      <c r="B144" s="69">
        <v>2480</v>
      </c>
      <c r="C144" s="69">
        <v>82</v>
      </c>
      <c r="D144" s="69">
        <v>19</v>
      </c>
      <c r="E144" s="69">
        <f t="shared" ref="E144:E145" si="102">B144*C144/1000000</f>
        <v>0.20336000000000001</v>
      </c>
      <c r="F144" s="20"/>
      <c r="G144" s="7" t="s">
        <v>12</v>
      </c>
      <c r="H144" s="69">
        <f>ROUND(Q144+T144/Раскройка!$F$2,0)</f>
        <v>825</v>
      </c>
      <c r="I144" s="69" t="s">
        <v>75</v>
      </c>
      <c r="J144" s="69">
        <v>0</v>
      </c>
      <c r="K144" s="69" t="s">
        <v>44</v>
      </c>
      <c r="L144" s="69">
        <v>0</v>
      </c>
      <c r="M144" s="69">
        <f>E144*(0.25*(VLOOKUP(I144,Покрытия!$A$2:$B$40,2,FALSE)*J144+VLOOKUP(K144,Покрытия!$A$2:$B$40,2,FALSE)*L144)+H144)</f>
        <v>167.77200000000002</v>
      </c>
      <c r="N144" s="69">
        <v>2</v>
      </c>
      <c r="O144" s="69">
        <f t="shared" ref="O144:O145" si="103">M144*N144</f>
        <v>335.54400000000004</v>
      </c>
      <c r="P144" s="70"/>
      <c r="Q144" s="69">
        <f t="array" ref="Q144">INDEX(Материалы!$C$2:$C$50,MATCH(G144&amp;D144,Материалы!$A$2:$A$50&amp;Материалы!$B$2:$B$50,0))</f>
        <v>734</v>
      </c>
      <c r="R144" s="69">
        <f>FLOOR(Раскройка!$D$2/B144,1)*FLOOR(Раскройка!$C$2/C144,1)</f>
        <v>25</v>
      </c>
      <c r="S144" s="69">
        <f>MAX(Раскройка!$F$2-E144*R144,0)</f>
        <v>0.7159999999999993</v>
      </c>
      <c r="T144" s="69">
        <f t="shared" ref="T144:T145" si="104">Q144*S144</f>
        <v>525.54399999999953</v>
      </c>
    </row>
    <row r="145" spans="1:20" x14ac:dyDescent="0.25">
      <c r="A145" s="69" t="s">
        <v>81</v>
      </c>
      <c r="B145" s="69">
        <v>368</v>
      </c>
      <c r="C145" s="69">
        <v>82</v>
      </c>
      <c r="D145" s="69">
        <v>19</v>
      </c>
      <c r="E145" s="69">
        <f t="shared" si="102"/>
        <v>3.0176000000000001E-2</v>
      </c>
      <c r="F145" s="20"/>
      <c r="G145" s="7" t="s">
        <v>12</v>
      </c>
      <c r="H145" s="69">
        <f>ROUND(Q145+T145/Раскройка!$F$2,0)</f>
        <v>800</v>
      </c>
      <c r="I145" s="69" t="s">
        <v>75</v>
      </c>
      <c r="J145" s="69">
        <v>0</v>
      </c>
      <c r="K145" s="69" t="s">
        <v>44</v>
      </c>
      <c r="L145" s="69">
        <v>0</v>
      </c>
      <c r="M145" s="69">
        <f>E145*(0.25*(VLOOKUP(I145,Покрытия!$A$2:$B$40,2,FALSE)*J145+VLOOKUP(K145,Покрытия!$A$2:$B$40,2,FALSE)*L145)+H145)</f>
        <v>24.140800000000002</v>
      </c>
      <c r="N145" s="69">
        <v>4</v>
      </c>
      <c r="O145" s="69">
        <f t="shared" si="103"/>
        <v>96.563200000000009</v>
      </c>
      <c r="P145" s="70"/>
      <c r="Q145" s="69">
        <f t="array" ref="Q145">INDEX(Материалы!$C$2:$C$50,MATCH(G145&amp;D145,Материалы!$A$2:$A$50&amp;Материалы!$B$2:$B$50,0))</f>
        <v>734</v>
      </c>
      <c r="R145" s="69">
        <f>FLOOR(Раскройка!$D$2/B145,1)*FLOOR(Раскройка!$C$2/C145,1)</f>
        <v>175</v>
      </c>
      <c r="S145" s="69">
        <f>MAX(Раскройка!$F$2-E145*R145,0)</f>
        <v>0.51919999999999966</v>
      </c>
      <c r="T145" s="69">
        <f t="shared" si="104"/>
        <v>381.09279999999973</v>
      </c>
    </row>
    <row r="146" spans="1:20" x14ac:dyDescent="0.25">
      <c r="A146" s="69" t="s">
        <v>144</v>
      </c>
      <c r="B146" s="69">
        <v>2480</v>
      </c>
      <c r="C146" s="69">
        <v>20</v>
      </c>
      <c r="D146" s="69">
        <v>10</v>
      </c>
      <c r="E146" s="69">
        <f>B146*C146*D146/1000000000</f>
        <v>4.9600000000000002E-4</v>
      </c>
      <c r="F146" s="69">
        <f>B146*C146/1000000</f>
        <v>4.9599999999999998E-2</v>
      </c>
      <c r="G146" s="69" t="s">
        <v>16</v>
      </c>
      <c r="H146" s="69">
        <f>ROUND(Q146+T146/Раскройка!$F$11,0)</f>
        <v>75955</v>
      </c>
      <c r="I146" s="69" t="s">
        <v>75</v>
      </c>
      <c r="J146" s="69">
        <v>2</v>
      </c>
      <c r="K146" s="69" t="s">
        <v>44</v>
      </c>
      <c r="L146" s="69">
        <v>4</v>
      </c>
      <c r="M146" s="69">
        <f>E146*H146+0.25*((VLOOKUP(I146,Покрытия!$A$2:$B$50,2,FALSE)*J146+VLOOKUP(K146,Покрытия!$A$2:$B$50,2,FALSE)*L146)*F146)</f>
        <v>126.95368000000001</v>
      </c>
      <c r="N146" s="69">
        <v>2</v>
      </c>
      <c r="O146" s="69">
        <f>M146*N146</f>
        <v>253.90736000000001</v>
      </c>
      <c r="P146" s="70"/>
      <c r="Q146" s="69">
        <f t="array" ref="Q146">INDEX(Материалы!$C$2:$C$50,MATCH(G146,Материалы!$A$2:$A$50,0))</f>
        <v>45500</v>
      </c>
      <c r="R146" s="69">
        <f>FLOOR(Раскройка!$C$11/C146,1)*FLOOR(Раскройка!$D$11/B146,1)</f>
        <v>15</v>
      </c>
      <c r="S146" s="69">
        <f>MAX(Раскройка!$F$11-E146*R146,0)</f>
        <v>1.5059999999999999E-2</v>
      </c>
      <c r="T146" s="69">
        <f>Q146*S146</f>
        <v>685.2299999999999</v>
      </c>
    </row>
    <row r="147" spans="1:20" x14ac:dyDescent="0.25">
      <c r="A147" s="69" t="s">
        <v>145</v>
      </c>
      <c r="B147" s="69">
        <v>368</v>
      </c>
      <c r="C147" s="69">
        <v>20</v>
      </c>
      <c r="D147" s="69">
        <v>10</v>
      </c>
      <c r="E147" s="69">
        <f>B147*C147*D147/1000000000</f>
        <v>7.36E-5</v>
      </c>
      <c r="F147" s="69">
        <f>B147*C147/1000000</f>
        <v>7.3600000000000002E-3</v>
      </c>
      <c r="G147" s="69" t="s">
        <v>16</v>
      </c>
      <c r="H147" s="69">
        <f>ROUND(Q147+T147/Раскройка!$F$11,0)</f>
        <v>73140</v>
      </c>
      <c r="I147" s="69" t="s">
        <v>75</v>
      </c>
      <c r="J147" s="69">
        <v>2</v>
      </c>
      <c r="K147" s="69" t="s">
        <v>44</v>
      </c>
      <c r="L147" s="69">
        <v>4</v>
      </c>
      <c r="M147" s="69">
        <f>E147*H147+0.25*((VLOOKUP(I147,Покрытия!$A$2:$B$50,2,FALSE)*J147+VLOOKUP(K147,Покрытия!$A$2:$B$50,2,FALSE)*L147)*F147)</f>
        <v>18.631104000000001</v>
      </c>
      <c r="N147" s="69">
        <v>4</v>
      </c>
      <c r="O147" s="69">
        <f>M147*N147</f>
        <v>74.524416000000002</v>
      </c>
      <c r="P147" s="70"/>
      <c r="Q147" s="69">
        <f t="array" ref="Q147">INDEX(Материалы!$C$2:$C$50,MATCH(G147,Материалы!$A$2:$A$50,0))</f>
        <v>45500</v>
      </c>
      <c r="R147" s="69">
        <f>FLOOR(Раскройка!$C$11/C147,1)*FLOOR(Раскройка!$D$11/B147,1)</f>
        <v>120</v>
      </c>
      <c r="S147" s="69">
        <f>MAX(Раскройка!$F$11-E147*R147,0)</f>
        <v>1.3668E-2</v>
      </c>
      <c r="T147" s="69">
        <f>Q147*S147</f>
        <v>621.89400000000001</v>
      </c>
    </row>
    <row r="148" spans="1:20" x14ac:dyDescent="0.25">
      <c r="A148" s="69" t="s">
        <v>57</v>
      </c>
      <c r="B148" s="69">
        <v>2480</v>
      </c>
      <c r="C148" s="69">
        <v>368</v>
      </c>
      <c r="D148" s="69">
        <v>19</v>
      </c>
      <c r="E148" s="69">
        <f t="shared" ref="E148:E150" si="105">B148*C148/1000000</f>
        <v>0.91264000000000001</v>
      </c>
      <c r="F148" s="20"/>
      <c r="G148" s="7" t="s">
        <v>12</v>
      </c>
      <c r="H148" s="69">
        <f>ROUND(Q148+T148/Раскройка!$F$2,0)</f>
        <v>891</v>
      </c>
      <c r="I148" s="69" t="s">
        <v>75</v>
      </c>
      <c r="J148" s="69">
        <v>0</v>
      </c>
      <c r="K148" s="69" t="s">
        <v>44</v>
      </c>
      <c r="L148" s="69">
        <v>0</v>
      </c>
      <c r="M148" s="69">
        <f>E148*(0.25*(VLOOKUP(I148,Покрытия!$A$2:$B$40,2,FALSE)*J148+VLOOKUP(K148,Покрытия!$A$2:$B$40,2,FALSE)*L148)+H148)</f>
        <v>813.16224</v>
      </c>
      <c r="N148" s="69">
        <v>1</v>
      </c>
      <c r="O148" s="69">
        <f t="shared" ref="O148:O150" si="106">M148*N148</f>
        <v>813.16224</v>
      </c>
      <c r="P148" s="70"/>
      <c r="Q148" s="69">
        <f t="array" ref="Q148">INDEX(Материалы!$C$2:$C$50,MATCH(G148&amp;D148,Материалы!$A$2:$A$50&amp;Материалы!$B$2:$B$50,0))</f>
        <v>734</v>
      </c>
      <c r="R148" s="69">
        <f>FLOOR(Раскройка!$D$2/B148,1)*FLOOR(Раскройка!$C$2/C148,1)</f>
        <v>5</v>
      </c>
      <c r="S148" s="69">
        <f>MAX(Раскройка!$F$2-E148*R148,0)</f>
        <v>1.2367999999999997</v>
      </c>
      <c r="T148" s="69">
        <f t="shared" ref="T148:T150" si="107">Q148*S148</f>
        <v>907.81119999999976</v>
      </c>
    </row>
    <row r="149" spans="1:20" x14ac:dyDescent="0.25">
      <c r="A149" s="69" t="s">
        <v>200</v>
      </c>
      <c r="B149" s="69">
        <v>2480</v>
      </c>
      <c r="C149" s="69">
        <v>82</v>
      </c>
      <c r="D149" s="69">
        <v>0.6</v>
      </c>
      <c r="E149" s="69">
        <f t="shared" si="105"/>
        <v>0.20336000000000001</v>
      </c>
      <c r="F149" s="20"/>
      <c r="G149" s="7" t="s">
        <v>7</v>
      </c>
      <c r="H149" s="69">
        <f>ROUND(Q149+T149/Раскройка!$F$2,0)</f>
        <v>311</v>
      </c>
      <c r="I149" s="69" t="s">
        <v>75</v>
      </c>
      <c r="J149" s="69">
        <v>2</v>
      </c>
      <c r="K149" s="69" t="s">
        <v>44</v>
      </c>
      <c r="L149" s="69">
        <v>4</v>
      </c>
      <c r="M149" s="69">
        <f>E149*(0.25*(VLOOKUP(I149,Покрытия!$A$2:$B$40,2,FALSE)*J149+VLOOKUP(K149,Покрытия!$A$2:$B$40,2,FALSE)*L149)+H149)</f>
        <v>429.29296000000005</v>
      </c>
      <c r="N149" s="69">
        <v>4</v>
      </c>
      <c r="O149" s="69">
        <f t="shared" si="106"/>
        <v>1717.1718400000002</v>
      </c>
      <c r="P149" s="70"/>
      <c r="Q149" s="69">
        <f t="array" ref="Q149">INDEX(Материалы!$C$2:$C$50,MATCH(G149&amp;D149,Материалы!$A$2:$A$50&amp;Материалы!$B$2:$B$50,0))</f>
        <v>277</v>
      </c>
      <c r="R149" s="69">
        <f>FLOOR(Раскройка!$D$2/B149,1)*FLOOR(Раскройка!$C$2/C149,1)</f>
        <v>25</v>
      </c>
      <c r="S149" s="69">
        <f>MAX(Раскройка!$F$2-E149*R149,0)</f>
        <v>0.7159999999999993</v>
      </c>
      <c r="T149" s="69">
        <f t="shared" si="107"/>
        <v>198.33199999999979</v>
      </c>
    </row>
    <row r="150" spans="1:20" x14ac:dyDescent="0.25">
      <c r="A150" s="69" t="s">
        <v>201</v>
      </c>
      <c r="B150" s="69">
        <v>368</v>
      </c>
      <c r="C150" s="69">
        <v>82</v>
      </c>
      <c r="D150" s="69">
        <v>0.6</v>
      </c>
      <c r="E150" s="69">
        <f t="shared" si="105"/>
        <v>3.0176000000000001E-2</v>
      </c>
      <c r="F150" s="20"/>
      <c r="G150" s="7" t="s">
        <v>7</v>
      </c>
      <c r="H150" s="69">
        <f>ROUND(Q150+T150/Раскройка!$F$2,0)</f>
        <v>302</v>
      </c>
      <c r="I150" s="69" t="s">
        <v>75</v>
      </c>
      <c r="J150" s="69">
        <v>2</v>
      </c>
      <c r="K150" s="69" t="s">
        <v>44</v>
      </c>
      <c r="L150" s="69">
        <v>4</v>
      </c>
      <c r="M150" s="69">
        <f>E150*(0.25*(VLOOKUP(I150,Покрытия!$A$2:$B$40,2,FALSE)*J150+VLOOKUP(K150,Покрытия!$A$2:$B$40,2,FALSE)*L150)+H150)</f>
        <v>63.429952</v>
      </c>
      <c r="N150" s="69">
        <v>4</v>
      </c>
      <c r="O150" s="69">
        <f t="shared" si="106"/>
        <v>253.719808</v>
      </c>
      <c r="P150" s="70"/>
      <c r="Q150" s="69">
        <f t="array" ref="Q150">INDEX(Материалы!$C$2:$C$50,MATCH(G150&amp;D150,Материалы!$A$2:$A$50&amp;Материалы!$B$2:$B$50,0))</f>
        <v>277</v>
      </c>
      <c r="R150" s="69">
        <f>FLOOR(Раскройка!$D$2/B150,1)*FLOOR(Раскройка!$C$2/C150,1)</f>
        <v>175</v>
      </c>
      <c r="S150" s="69">
        <f>MAX(Раскройка!$F$2-E150*R150,0)</f>
        <v>0.51919999999999966</v>
      </c>
      <c r="T150" s="69">
        <f t="shared" si="107"/>
        <v>143.81839999999991</v>
      </c>
    </row>
    <row r="151" spans="1:20" x14ac:dyDescent="0.25">
      <c r="A151" s="69" t="s">
        <v>202</v>
      </c>
      <c r="B151" s="69">
        <v>2480</v>
      </c>
      <c r="C151" s="69">
        <v>368</v>
      </c>
      <c r="D151" s="69">
        <v>0.6</v>
      </c>
      <c r="E151" s="69">
        <f>B151*C151/1000000</f>
        <v>0.91264000000000001</v>
      </c>
      <c r="F151" s="20"/>
      <c r="G151" s="7" t="s">
        <v>7</v>
      </c>
      <c r="H151" s="69">
        <f>ROUND(Q151+T151/Раскройка!$F$2,0)</f>
        <v>336</v>
      </c>
      <c r="I151" s="69" t="s">
        <v>75</v>
      </c>
      <c r="J151" s="69">
        <v>2</v>
      </c>
      <c r="K151" s="69" t="s">
        <v>44</v>
      </c>
      <c r="L151" s="69">
        <v>4</v>
      </c>
      <c r="M151" s="69">
        <f>E151*(0.25*(VLOOKUP(I151,Покрытия!$A$2:$B$40,2,FALSE)*J151+VLOOKUP(K151,Покрытия!$A$2:$B$40,2,FALSE)*L151)+H151)</f>
        <v>1949.39904</v>
      </c>
      <c r="N151" s="69">
        <v>2</v>
      </c>
      <c r="O151" s="69">
        <f>M151*N151</f>
        <v>3898.79808</v>
      </c>
      <c r="P151" s="70"/>
      <c r="Q151" s="69">
        <f t="array" ref="Q151">INDEX(Материалы!$C$2:$C$50,MATCH(G151&amp;D151,Материалы!$A$2:$A$50&amp;Материалы!$B$2:$B$50,0))</f>
        <v>277</v>
      </c>
      <c r="R151" s="69">
        <f>FLOOR(Раскройка!$D$2/B151,1)*FLOOR(Раскройка!$C$2/C151,1)</f>
        <v>5</v>
      </c>
      <c r="S151" s="69">
        <f>MAX(Раскройка!$F$2-E151*R151,0)</f>
        <v>1.2367999999999997</v>
      </c>
      <c r="T151" s="69">
        <f>Q151*S151</f>
        <v>342.59359999999992</v>
      </c>
    </row>
    <row r="154" spans="1:20" x14ac:dyDescent="0.25">
      <c r="A154" s="69" t="s">
        <v>197</v>
      </c>
      <c r="B154" s="69">
        <v>2096</v>
      </c>
      <c r="C154" s="69">
        <v>110</v>
      </c>
      <c r="D154" s="69">
        <v>19</v>
      </c>
      <c r="E154" s="69">
        <f t="shared" ref="E154:E159" si="108">B154*C154/1000000</f>
        <v>0.23055999999999999</v>
      </c>
      <c r="F154" s="20"/>
      <c r="G154" s="7" t="s">
        <v>12</v>
      </c>
      <c r="H154" s="69">
        <f>ROUND(Q154+T154/Раскройка!$F$2,0)</f>
        <v>943</v>
      </c>
      <c r="I154" s="69" t="s">
        <v>75</v>
      </c>
      <c r="J154" s="69">
        <v>2</v>
      </c>
      <c r="K154" s="69" t="s">
        <v>44</v>
      </c>
      <c r="L154" s="69">
        <v>4</v>
      </c>
      <c r="M154" s="69">
        <f>E154*(0.25*(VLOOKUP(I154,Покрытия!$A$2:$B$40,2,FALSE)*J154+VLOOKUP(K154,Покрытия!$A$2:$B$40,2,FALSE)*L154)+H154)</f>
        <v>632.42607999999996</v>
      </c>
      <c r="N154" s="69">
        <v>2</v>
      </c>
      <c r="O154" s="69">
        <f t="shared" ref="O154:O159" si="109">M154*N154</f>
        <v>1264.8521599999999</v>
      </c>
      <c r="P154" s="70"/>
      <c r="Q154" s="69">
        <f t="array" ref="Q154">INDEX(Материалы!$C$2:$C$50,MATCH(G154&amp;D154,Материалы!$A$2:$A$50&amp;Материалы!$B$2:$B$50,0))</f>
        <v>734</v>
      </c>
      <c r="R154" s="69">
        <f>FLOOR(Раскройка!$D$2/B154,1)*FLOOR(Раскройка!$C$2/C154,1)</f>
        <v>18</v>
      </c>
      <c r="S154" s="69">
        <f>MAX(Раскройка!$F$2-E154*R154,0)</f>
        <v>1.6499199999999998</v>
      </c>
      <c r="T154" s="69">
        <f t="shared" ref="T154:T159" si="110">Q154*S154</f>
        <v>1211.0412799999999</v>
      </c>
    </row>
    <row r="155" spans="1:20" x14ac:dyDescent="0.25">
      <c r="A155" s="69" t="s">
        <v>184</v>
      </c>
      <c r="B155" s="69">
        <v>116</v>
      </c>
      <c r="C155" s="69">
        <v>53</v>
      </c>
      <c r="D155" s="69">
        <v>19</v>
      </c>
      <c r="E155" s="69">
        <f t="shared" si="108"/>
        <v>6.1479999999999998E-3</v>
      </c>
      <c r="F155" s="20"/>
      <c r="G155" s="7" t="s">
        <v>12</v>
      </c>
      <c r="H155" s="69">
        <f>ROUND(Q155+T155/Раскройка!$F$2,0)</f>
        <v>740</v>
      </c>
      <c r="I155" s="69" t="s">
        <v>75</v>
      </c>
      <c r="J155" s="69">
        <v>2</v>
      </c>
      <c r="K155" s="69" t="s">
        <v>44</v>
      </c>
      <c r="L155" s="69">
        <v>4</v>
      </c>
      <c r="M155" s="69">
        <f>E155*(0.25*(VLOOKUP(I155,Покрытия!$A$2:$B$40,2,FALSE)*J155+VLOOKUP(K155,Покрытия!$A$2:$B$40,2,FALSE)*L155)+H155)</f>
        <v>15.615919999999999</v>
      </c>
      <c r="N155" s="69">
        <v>2</v>
      </c>
      <c r="O155" s="69">
        <f t="shared" si="109"/>
        <v>31.231839999999998</v>
      </c>
      <c r="P155" s="70"/>
      <c r="Q155" s="69">
        <f t="array" ref="Q155">INDEX(Материалы!$C$2:$C$50,MATCH(G155&amp;D155,Материалы!$A$2:$A$50&amp;Материалы!$B$2:$B$50,0))</f>
        <v>734</v>
      </c>
      <c r="R155" s="69">
        <f>FLOOR(Раскройка!$D$2/B155,1)*FLOOR(Раскройка!$C$2/C155,1)</f>
        <v>936</v>
      </c>
      <c r="S155" s="69">
        <f>MAX(Раскройка!$F$2-E155*R155,0)</f>
        <v>4.5472000000000179E-2</v>
      </c>
      <c r="T155" s="69">
        <f t="shared" si="110"/>
        <v>33.376448000000131</v>
      </c>
    </row>
    <row r="156" spans="1:20" x14ac:dyDescent="0.25">
      <c r="A156" s="69" t="s">
        <v>189</v>
      </c>
      <c r="B156" s="69">
        <v>116</v>
      </c>
      <c r="C156" s="69">
        <v>116</v>
      </c>
      <c r="D156" s="69">
        <v>19</v>
      </c>
      <c r="E156" s="69">
        <f t="shared" si="108"/>
        <v>1.3455999999999999E-2</v>
      </c>
      <c r="F156" s="20"/>
      <c r="G156" s="7" t="s">
        <v>12</v>
      </c>
      <c r="H156" s="69">
        <f>ROUND(Q156+T156/Раскройка!$F$2,0)</f>
        <v>773</v>
      </c>
      <c r="I156" s="69" t="s">
        <v>75</v>
      </c>
      <c r="J156" s="69">
        <v>2</v>
      </c>
      <c r="K156" s="69" t="s">
        <v>44</v>
      </c>
      <c r="L156" s="69">
        <v>4</v>
      </c>
      <c r="M156" s="69">
        <f>E156*(0.25*(VLOOKUP(I156,Покрытия!$A$2:$B$40,2,FALSE)*J156+VLOOKUP(K156,Покрытия!$A$2:$B$40,2,FALSE)*L156)+H156)</f>
        <v>34.622287999999998</v>
      </c>
      <c r="N156" s="69">
        <v>2</v>
      </c>
      <c r="O156" s="69">
        <f t="shared" si="109"/>
        <v>69.244575999999995</v>
      </c>
      <c r="P156" s="70"/>
      <c r="Q156" s="69">
        <f t="array" ref="Q156">INDEX(Материалы!$C$2:$C$50,MATCH(G156&amp;D156,Материалы!$A$2:$A$50&amp;Материалы!$B$2:$B$50,0))</f>
        <v>734</v>
      </c>
      <c r="R156" s="69">
        <f>FLOOR(Раскройка!$D$2/B156,1)*FLOOR(Раскройка!$C$2/C156,1)</f>
        <v>408</v>
      </c>
      <c r="S156" s="69">
        <f>MAX(Раскройка!$F$2-E156*R156,0)</f>
        <v>0.30995200000000001</v>
      </c>
      <c r="T156" s="69">
        <f t="shared" si="110"/>
        <v>227.50476800000001</v>
      </c>
    </row>
    <row r="157" spans="1:20" x14ac:dyDescent="0.25">
      <c r="A157" s="69" t="s">
        <v>211</v>
      </c>
      <c r="B157" s="69">
        <v>2096</v>
      </c>
      <c r="C157" s="69">
        <v>110</v>
      </c>
      <c r="D157" s="69">
        <v>0.6</v>
      </c>
      <c r="E157" s="69">
        <f t="shared" si="108"/>
        <v>0.23055999999999999</v>
      </c>
      <c r="F157" s="20"/>
      <c r="G157" s="7" t="s">
        <v>7</v>
      </c>
      <c r="H157" s="69">
        <f>ROUND(Q157+T157/Раскройка!$F$2,0)</f>
        <v>356</v>
      </c>
      <c r="I157" s="69" t="s">
        <v>75</v>
      </c>
      <c r="J157" s="69">
        <v>2</v>
      </c>
      <c r="K157" s="69" t="s">
        <v>44</v>
      </c>
      <c r="L157" s="69">
        <v>4</v>
      </c>
      <c r="M157" s="69">
        <f>E157*(0.25*(VLOOKUP(I157,Покрытия!$A$2:$B$40,2,FALSE)*J157+VLOOKUP(K157,Покрытия!$A$2:$B$40,2,FALSE)*L157)+H157)</f>
        <v>497.08735999999999</v>
      </c>
      <c r="N157" s="69">
        <v>4</v>
      </c>
      <c r="O157" s="69">
        <f t="shared" si="109"/>
        <v>1988.34944</v>
      </c>
      <c r="P157" s="70"/>
      <c r="Q157" s="69">
        <f t="array" ref="Q157">INDEX(Материалы!$C$2:$C$50,MATCH(G157&amp;D157,Материалы!$A$2:$A$50&amp;Материалы!$B$2:$B$50,0))</f>
        <v>277</v>
      </c>
      <c r="R157" s="69">
        <f>FLOOR(Раскройка!$D$2/B157,1)*FLOOR(Раскройка!$C$2/C157,1)</f>
        <v>18</v>
      </c>
      <c r="S157" s="69">
        <f>MAX(Раскройка!$F$2-E157*R157,0)</f>
        <v>1.6499199999999998</v>
      </c>
      <c r="T157" s="69">
        <f t="shared" si="110"/>
        <v>457.02783999999997</v>
      </c>
    </row>
    <row r="158" spans="1:20" x14ac:dyDescent="0.25">
      <c r="A158" s="69" t="s">
        <v>212</v>
      </c>
      <c r="B158" s="69">
        <v>116</v>
      </c>
      <c r="C158" s="69">
        <v>53</v>
      </c>
      <c r="D158" s="69">
        <v>0.6</v>
      </c>
      <c r="E158" s="69">
        <f t="shared" si="108"/>
        <v>6.1479999999999998E-3</v>
      </c>
      <c r="F158" s="20"/>
      <c r="G158" s="7" t="s">
        <v>7</v>
      </c>
      <c r="H158" s="69">
        <f>ROUND(Q158+T158/Раскройка!$F$2,0)</f>
        <v>279</v>
      </c>
      <c r="I158" s="69" t="s">
        <v>75</v>
      </c>
      <c r="J158" s="69">
        <v>2</v>
      </c>
      <c r="K158" s="69" t="s">
        <v>44</v>
      </c>
      <c r="L158" s="69">
        <v>4</v>
      </c>
      <c r="M158" s="69">
        <f>E158*(0.25*(VLOOKUP(I158,Покрытия!$A$2:$B$40,2,FALSE)*J158+VLOOKUP(K158,Покрытия!$A$2:$B$40,2,FALSE)*L158)+H158)</f>
        <v>12.781692</v>
      </c>
      <c r="N158" s="69">
        <v>4</v>
      </c>
      <c r="O158" s="69">
        <f t="shared" si="109"/>
        <v>51.126767999999998</v>
      </c>
      <c r="P158" s="70"/>
      <c r="Q158" s="69">
        <f t="array" ref="Q158">INDEX(Материалы!$C$2:$C$50,MATCH(G158&amp;D158,Материалы!$A$2:$A$50&amp;Материалы!$B$2:$B$50,0))</f>
        <v>277</v>
      </c>
      <c r="R158" s="69">
        <f>FLOOR(Раскройка!$D$2/B158,1)*FLOOR(Раскройка!$C$2/C158,1)</f>
        <v>936</v>
      </c>
      <c r="S158" s="69">
        <f>MAX(Раскройка!$F$2-E158*R158,0)</f>
        <v>4.5472000000000179E-2</v>
      </c>
      <c r="T158" s="69">
        <f t="shared" si="110"/>
        <v>12.59574400000005</v>
      </c>
    </row>
    <row r="159" spans="1:20" x14ac:dyDescent="0.25">
      <c r="A159" s="69" t="s">
        <v>213</v>
      </c>
      <c r="B159" s="69">
        <v>116</v>
      </c>
      <c r="C159" s="69">
        <v>116</v>
      </c>
      <c r="D159" s="69">
        <v>0.6</v>
      </c>
      <c r="E159" s="69">
        <f t="shared" si="108"/>
        <v>1.3455999999999999E-2</v>
      </c>
      <c r="F159" s="20"/>
      <c r="G159" s="7" t="s">
        <v>7</v>
      </c>
      <c r="H159" s="69">
        <f>ROUND(Q159+T159/Раскройка!$F$2,0)</f>
        <v>292</v>
      </c>
      <c r="I159" s="69" t="s">
        <v>75</v>
      </c>
      <c r="J159" s="69">
        <v>2</v>
      </c>
      <c r="K159" s="69" t="s">
        <v>44</v>
      </c>
      <c r="L159" s="69">
        <v>4</v>
      </c>
      <c r="M159" s="69">
        <f>E159*(0.25*(VLOOKUP(I159,Покрытия!$A$2:$B$40,2,FALSE)*J159+VLOOKUP(K159,Покрытия!$A$2:$B$40,2,FALSE)*L159)+H159)</f>
        <v>28.149951999999999</v>
      </c>
      <c r="N159" s="69">
        <v>4</v>
      </c>
      <c r="O159" s="69">
        <f t="shared" si="109"/>
        <v>112.599808</v>
      </c>
      <c r="P159" s="70"/>
      <c r="Q159" s="69">
        <f t="array" ref="Q159">INDEX(Материалы!$C$2:$C$50,MATCH(G159&amp;D159,Материалы!$A$2:$A$50&amp;Материалы!$B$2:$B$50,0))</f>
        <v>277</v>
      </c>
      <c r="R159" s="69">
        <f>FLOOR(Раскройка!$D$2/B159,1)*FLOOR(Раскройка!$C$2/C159,1)</f>
        <v>408</v>
      </c>
      <c r="S159" s="69">
        <f>MAX(Раскройка!$F$2-E159*R159,0)</f>
        <v>0.30995200000000001</v>
      </c>
      <c r="T159" s="69">
        <f t="shared" si="110"/>
        <v>85.856704000000008</v>
      </c>
    </row>
    <row r="162" spans="1:20" x14ac:dyDescent="0.25">
      <c r="A162" s="69" t="s">
        <v>82</v>
      </c>
      <c r="B162" s="69">
        <v>580</v>
      </c>
      <c r="C162" s="69">
        <v>82</v>
      </c>
      <c r="D162" s="69">
        <v>19</v>
      </c>
      <c r="E162" s="69">
        <f t="shared" ref="E162:E163" si="111">B162*C162/1000000</f>
        <v>4.7559999999999998E-2</v>
      </c>
      <c r="F162" s="20"/>
      <c r="G162" s="7" t="s">
        <v>12</v>
      </c>
      <c r="H162" s="69">
        <f>ROUND(Q162+T162/Раскройка!$F$2,0)</f>
        <v>866</v>
      </c>
      <c r="I162" s="69" t="s">
        <v>75</v>
      </c>
      <c r="J162" s="69">
        <v>0</v>
      </c>
      <c r="K162" s="69" t="s">
        <v>44</v>
      </c>
      <c r="L162" s="69">
        <v>0</v>
      </c>
      <c r="M162" s="69">
        <f>E162*(0.25*(VLOOKUP(I162,Покрытия!$A$2:$B$40,2,FALSE)*J162+VLOOKUP(K162,Покрытия!$A$2:$B$40,2,FALSE)*L162)+H162)</f>
        <v>41.186959999999999</v>
      </c>
      <c r="N162" s="69">
        <v>4</v>
      </c>
      <c r="O162" s="69">
        <f t="shared" ref="O162:O163" si="112">M162*N162</f>
        <v>164.74784</v>
      </c>
      <c r="P162" s="70"/>
      <c r="Q162" s="69">
        <f t="array" ref="Q162">INDEX(Материалы!$C$2:$C$50,MATCH(G162&amp;D162,Материалы!$A$2:$A$50&amp;Материалы!$B$2:$B$50,0))</f>
        <v>734</v>
      </c>
      <c r="R162" s="69">
        <f>FLOOR(Раскройка!$D$2/B162,1)*FLOOR(Раскройка!$C$2/C162,1)</f>
        <v>100</v>
      </c>
      <c r="S162" s="69">
        <f>MAX(Раскройка!$F$2-E162*R162,0)</f>
        <v>1.0439999999999996</v>
      </c>
      <c r="T162" s="69">
        <f t="shared" ref="T162:T163" si="113">Q162*S162</f>
        <v>766.29599999999971</v>
      </c>
    </row>
    <row r="163" spans="1:20" x14ac:dyDescent="0.25">
      <c r="A163" s="69" t="s">
        <v>81</v>
      </c>
      <c r="B163" s="69">
        <v>2020</v>
      </c>
      <c r="C163" s="69">
        <v>82</v>
      </c>
      <c r="D163" s="69">
        <v>19</v>
      </c>
      <c r="E163" s="69">
        <f t="shared" si="111"/>
        <v>0.16564000000000001</v>
      </c>
      <c r="F163" s="20"/>
      <c r="G163" s="7" t="s">
        <v>12</v>
      </c>
      <c r="H163" s="69">
        <f>ROUND(Q163+T163/Раскройка!$F$2,0)</f>
        <v>944</v>
      </c>
      <c r="I163" s="69" t="s">
        <v>75</v>
      </c>
      <c r="J163" s="69">
        <v>0</v>
      </c>
      <c r="K163" s="69" t="s">
        <v>44</v>
      </c>
      <c r="L163" s="69">
        <v>0</v>
      </c>
      <c r="M163" s="69">
        <f>E163*(0.25*(VLOOKUP(I163,Покрытия!$A$2:$B$40,2,FALSE)*J163+VLOOKUP(K163,Покрытия!$A$2:$B$40,2,FALSE)*L163)+H163)</f>
        <v>156.36416</v>
      </c>
      <c r="N163" s="69">
        <v>2</v>
      </c>
      <c r="O163" s="69">
        <f t="shared" si="112"/>
        <v>312.72832</v>
      </c>
      <c r="P163" s="70"/>
      <c r="Q163" s="69">
        <f t="array" ref="Q163">INDEX(Материалы!$C$2:$C$50,MATCH(G163&amp;D163,Материалы!$A$2:$A$50&amp;Материалы!$B$2:$B$50,0))</f>
        <v>734</v>
      </c>
      <c r="R163" s="69">
        <f>FLOOR(Раскройка!$D$2/B163,1)*FLOOR(Раскройка!$C$2/C163,1)</f>
        <v>25</v>
      </c>
      <c r="S163" s="69">
        <f>MAX(Раскройка!$F$2-E163*R163,0)</f>
        <v>1.6589999999999998</v>
      </c>
      <c r="T163" s="69">
        <f t="shared" si="113"/>
        <v>1217.7059999999999</v>
      </c>
    </row>
    <row r="164" spans="1:20" x14ac:dyDescent="0.25">
      <c r="A164" s="69" t="s">
        <v>144</v>
      </c>
      <c r="B164" s="69">
        <v>580</v>
      </c>
      <c r="C164" s="69">
        <v>20</v>
      </c>
      <c r="D164" s="69">
        <v>10</v>
      </c>
      <c r="E164" s="69">
        <f>B164*C164*D164/1000000000</f>
        <v>1.16E-4</v>
      </c>
      <c r="F164" s="69">
        <f>B164*C164/1000000</f>
        <v>1.1599999999999999E-2</v>
      </c>
      <c r="G164" s="69" t="s">
        <v>16</v>
      </c>
      <c r="H164" s="69">
        <f>ROUND(Q164+T164/Раскройка!$F$11,0)</f>
        <v>73407</v>
      </c>
      <c r="I164" s="69" t="s">
        <v>75</v>
      </c>
      <c r="J164" s="69">
        <v>2</v>
      </c>
      <c r="K164" s="69" t="s">
        <v>44</v>
      </c>
      <c r="L164" s="69">
        <v>4</v>
      </c>
      <c r="M164" s="69">
        <f>E164*H164+0.25*((VLOOKUP(I164,Покрытия!$A$2:$B$50,2,FALSE)*J164+VLOOKUP(K164,Покрытия!$A$2:$B$50,2,FALSE)*L164)*F164)</f>
        <v>29.395212000000001</v>
      </c>
      <c r="N164" s="69">
        <v>2</v>
      </c>
      <c r="O164" s="69">
        <f t="shared" ref="O164:O169" si="114">M164*N164</f>
        <v>58.790424000000002</v>
      </c>
      <c r="P164" s="70"/>
      <c r="Q164" s="69">
        <f t="array" ref="Q164">INDEX(Материалы!$C$2:$C$50,MATCH(G164,Материалы!$A$2:$A$50,0))</f>
        <v>45500</v>
      </c>
      <c r="R164" s="69">
        <f>FLOOR(Раскройка!$C$11/C164,1)*FLOOR(Раскройка!$D$11/B164,1)</f>
        <v>75</v>
      </c>
      <c r="S164" s="69">
        <f>MAX(Раскройка!$F$11-E164*R164,0)</f>
        <v>1.38E-2</v>
      </c>
      <c r="T164" s="69">
        <f t="shared" ref="T164:T169" si="115">Q164*S164</f>
        <v>627.9</v>
      </c>
    </row>
    <row r="165" spans="1:20" x14ac:dyDescent="0.25">
      <c r="A165" s="69" t="s">
        <v>145</v>
      </c>
      <c r="B165" s="69">
        <v>2020</v>
      </c>
      <c r="C165" s="69">
        <v>20</v>
      </c>
      <c r="D165" s="69">
        <v>10</v>
      </c>
      <c r="E165" s="69">
        <f>B165*C165*D165/1000000000</f>
        <v>4.0400000000000001E-4</v>
      </c>
      <c r="F165" s="69">
        <f>B165*C165/1000000</f>
        <v>4.0399999999999998E-2</v>
      </c>
      <c r="G165" s="69" t="s">
        <v>16</v>
      </c>
      <c r="H165" s="69">
        <f>ROUND(Q165+T165/Раскройка!$F$11,0)</f>
        <v>78745</v>
      </c>
      <c r="I165" s="69" t="s">
        <v>75</v>
      </c>
      <c r="J165" s="69">
        <v>2</v>
      </c>
      <c r="K165" s="69" t="s">
        <v>44</v>
      </c>
      <c r="L165" s="69">
        <v>4</v>
      </c>
      <c r="M165" s="69">
        <f>E165*H165+0.25*((VLOOKUP(I165,Покрытия!$A$2:$B$50,2,FALSE)*J165+VLOOKUP(K165,Покрытия!$A$2:$B$50,2,FALSE)*L165)*F165)</f>
        <v>104.53297999999999</v>
      </c>
      <c r="N165" s="69">
        <v>6</v>
      </c>
      <c r="O165" s="69">
        <f t="shared" si="114"/>
        <v>627.19787999999994</v>
      </c>
      <c r="P165" s="70"/>
      <c r="Q165" s="69">
        <f t="array" ref="Q165">INDEX(Материалы!$C$2:$C$50,MATCH(G165,Материалы!$A$2:$A$50,0))</f>
        <v>45500</v>
      </c>
      <c r="R165" s="69">
        <f>FLOOR(Раскройка!$C$11/C165,1)*FLOOR(Раскройка!$D$11/B165,1)</f>
        <v>15</v>
      </c>
      <c r="S165" s="69">
        <f>MAX(Раскройка!$F$11-E165*R165,0)</f>
        <v>1.644E-2</v>
      </c>
      <c r="T165" s="69">
        <f t="shared" si="115"/>
        <v>748.02</v>
      </c>
    </row>
    <row r="166" spans="1:20" x14ac:dyDescent="0.25">
      <c r="A166" s="69" t="s">
        <v>57</v>
      </c>
      <c r="B166" s="69">
        <v>2020</v>
      </c>
      <c r="C166" s="69">
        <v>580</v>
      </c>
      <c r="D166" s="69">
        <v>19</v>
      </c>
      <c r="E166" s="69">
        <f>B166*C166/1000000</f>
        <v>1.1716</v>
      </c>
      <c r="F166" s="20"/>
      <c r="G166" s="7" t="s">
        <v>12</v>
      </c>
      <c r="H166" s="69">
        <f>ROUND(Q166+T166/Раскройка!$F$2,0)</f>
        <v>1023</v>
      </c>
      <c r="I166" s="69" t="s">
        <v>75</v>
      </c>
      <c r="J166" s="69">
        <v>0</v>
      </c>
      <c r="K166" s="69" t="s">
        <v>44</v>
      </c>
      <c r="L166" s="69">
        <v>0</v>
      </c>
      <c r="M166" s="69">
        <f>E166*(0.25*(VLOOKUP(I166,Покрытия!$A$2:$B$40,2,FALSE)*J166+VLOOKUP(K166,Покрытия!$A$2:$B$40,2,FALSE)*L166)+H166)</f>
        <v>1198.5468000000001</v>
      </c>
      <c r="N166" s="69">
        <v>1</v>
      </c>
      <c r="O166" s="69">
        <f t="shared" si="114"/>
        <v>1198.5468000000001</v>
      </c>
      <c r="P166" s="70"/>
      <c r="Q166" s="69">
        <f t="array" ref="Q166">INDEX(Материалы!$C$2:$C$50,MATCH(G166&amp;D166,Материалы!$A$2:$A$50&amp;Материалы!$B$2:$B$50,0))</f>
        <v>734</v>
      </c>
      <c r="R166" s="69">
        <f>FLOOR(Раскройка!$D$2/B166,1)*FLOOR(Раскройка!$C$2/C166,1)</f>
        <v>3</v>
      </c>
      <c r="S166" s="69">
        <f>MAX(Раскройка!$F$2-E166*R166,0)</f>
        <v>2.2851999999999997</v>
      </c>
      <c r="T166" s="69">
        <f t="shared" si="115"/>
        <v>1677.3367999999998</v>
      </c>
    </row>
    <row r="167" spans="1:20" x14ac:dyDescent="0.25">
      <c r="A167" s="69" t="s">
        <v>200</v>
      </c>
      <c r="B167" s="69">
        <v>580</v>
      </c>
      <c r="C167" s="69">
        <v>82</v>
      </c>
      <c r="D167" s="69">
        <v>0.6</v>
      </c>
      <c r="E167" s="69">
        <f>B167*C167/1000000</f>
        <v>4.7559999999999998E-2</v>
      </c>
      <c r="F167" s="20"/>
      <c r="G167" s="7" t="s">
        <v>7</v>
      </c>
      <c r="H167" s="69">
        <f>ROUND(Q167+T167/Раскройка!$F$2,0)</f>
        <v>327</v>
      </c>
      <c r="I167" s="69" t="s">
        <v>75</v>
      </c>
      <c r="J167" s="69">
        <v>2</v>
      </c>
      <c r="K167" s="69" t="s">
        <v>44</v>
      </c>
      <c r="L167" s="69">
        <v>4</v>
      </c>
      <c r="M167" s="69">
        <f>E167*(0.25*(VLOOKUP(I167,Покрытия!$A$2:$B$40,2,FALSE)*J167+VLOOKUP(K167,Покрытия!$A$2:$B$40,2,FALSE)*L167)+H167)</f>
        <v>101.16011999999999</v>
      </c>
      <c r="N167" s="69">
        <v>8</v>
      </c>
      <c r="O167" s="69">
        <f t="shared" si="114"/>
        <v>809.28095999999994</v>
      </c>
      <c r="P167" s="70"/>
      <c r="Q167" s="69">
        <f t="array" ref="Q167">INDEX(Материалы!$C$2:$C$50,MATCH(G167&amp;D167,Материалы!$A$2:$A$50&amp;Материалы!$B$2:$B$50,0))</f>
        <v>277</v>
      </c>
      <c r="R167" s="69">
        <f>FLOOR(Раскройка!$D$2/B167,1)*FLOOR(Раскройка!$C$2/C167,1)</f>
        <v>100</v>
      </c>
      <c r="S167" s="69">
        <f>MAX(Раскройка!$F$2-E167*R167,0)</f>
        <v>1.0439999999999996</v>
      </c>
      <c r="T167" s="69">
        <f t="shared" si="115"/>
        <v>289.18799999999987</v>
      </c>
    </row>
    <row r="168" spans="1:20" x14ac:dyDescent="0.25">
      <c r="A168" s="69" t="s">
        <v>201</v>
      </c>
      <c r="B168" s="69">
        <v>2020</v>
      </c>
      <c r="C168" s="69">
        <v>82</v>
      </c>
      <c r="D168" s="69">
        <v>0.6</v>
      </c>
      <c r="E168" s="69">
        <f>B168*C168/1000000</f>
        <v>0.16564000000000001</v>
      </c>
      <c r="F168" s="20"/>
      <c r="G168" s="7" t="s">
        <v>7</v>
      </c>
      <c r="H168" s="69">
        <f>ROUND(Q168+T168/Раскройка!$F$2,0)</f>
        <v>356</v>
      </c>
      <c r="I168" s="69" t="s">
        <v>75</v>
      </c>
      <c r="J168" s="69">
        <v>2</v>
      </c>
      <c r="K168" s="69" t="s">
        <v>44</v>
      </c>
      <c r="L168" s="69">
        <v>4</v>
      </c>
      <c r="M168" s="69">
        <f>E168*(0.25*(VLOOKUP(I168,Покрытия!$A$2:$B$40,2,FALSE)*J168+VLOOKUP(K168,Покрытия!$A$2:$B$40,2,FALSE)*L168)+H168)</f>
        <v>357.11984000000001</v>
      </c>
      <c r="N168" s="69">
        <v>4</v>
      </c>
      <c r="O168" s="69">
        <f t="shared" si="114"/>
        <v>1428.47936</v>
      </c>
      <c r="P168" s="70"/>
      <c r="Q168" s="69">
        <f t="array" ref="Q168">INDEX(Материалы!$C$2:$C$50,MATCH(G168&amp;D168,Материалы!$A$2:$A$50&amp;Материалы!$B$2:$B$50,0))</f>
        <v>277</v>
      </c>
      <c r="R168" s="69">
        <f>FLOOR(Раскройка!$D$2/B168,1)*FLOOR(Раскройка!$C$2/C168,1)</f>
        <v>25</v>
      </c>
      <c r="S168" s="69">
        <f>MAX(Раскройка!$F$2-E168*R168,0)</f>
        <v>1.6589999999999998</v>
      </c>
      <c r="T168" s="69">
        <f t="shared" si="115"/>
        <v>459.54299999999995</v>
      </c>
    </row>
    <row r="169" spans="1:20" x14ac:dyDescent="0.25">
      <c r="A169" s="69" t="s">
        <v>202</v>
      </c>
      <c r="B169" s="69">
        <v>2020</v>
      </c>
      <c r="C169" s="69">
        <v>580</v>
      </c>
      <c r="D169" s="69">
        <v>0.6</v>
      </c>
      <c r="E169" s="69">
        <f>B169*C169/1000000</f>
        <v>1.1716</v>
      </c>
      <c r="F169" s="20"/>
      <c r="G169" s="7" t="s">
        <v>7</v>
      </c>
      <c r="H169" s="69">
        <f>ROUND(Q169+T169/Раскройка!$F$2,0)</f>
        <v>386</v>
      </c>
      <c r="I169" s="69" t="s">
        <v>75</v>
      </c>
      <c r="J169" s="69">
        <v>2</v>
      </c>
      <c r="K169" s="69" t="s">
        <v>44</v>
      </c>
      <c r="L169" s="69">
        <v>4</v>
      </c>
      <c r="M169" s="69">
        <f>E169*(0.25*(VLOOKUP(I169,Покрытия!$A$2:$B$40,2,FALSE)*J169+VLOOKUP(K169,Покрытия!$A$2:$B$40,2,FALSE)*L169)+H169)</f>
        <v>2561.1176</v>
      </c>
      <c r="N169" s="69">
        <v>2</v>
      </c>
      <c r="O169" s="69">
        <f t="shared" si="114"/>
        <v>5122.2352000000001</v>
      </c>
      <c r="P169" s="70"/>
      <c r="Q169" s="69">
        <f t="array" ref="Q169">INDEX(Материалы!$C$2:$C$50,MATCH(G169&amp;D169,Материалы!$A$2:$A$50&amp;Материалы!$B$2:$B$50,0))</f>
        <v>277</v>
      </c>
      <c r="R169" s="69">
        <f>FLOOR(Раскройка!$D$2/B169,1)*FLOOR(Раскройка!$C$2/C169,1)</f>
        <v>3</v>
      </c>
      <c r="S169" s="69">
        <f>MAX(Раскройка!$F$2-E169*R169,0)</f>
        <v>2.2851999999999997</v>
      </c>
      <c r="T169" s="69">
        <f t="shared" si="115"/>
        <v>633.0003999999999</v>
      </c>
    </row>
  </sheetData>
  <mergeCells count="12">
    <mergeCell ref="C1:F1"/>
    <mergeCell ref="C2:F2"/>
    <mergeCell ref="C3:F3"/>
    <mergeCell ref="C4:F4"/>
    <mergeCell ref="C5:F5"/>
    <mergeCell ref="C10:F10"/>
    <mergeCell ref="C11:F11"/>
    <mergeCell ref="G2:G11"/>
    <mergeCell ref="C6:F6"/>
    <mergeCell ref="C7:F7"/>
    <mergeCell ref="C8:F8"/>
    <mergeCell ref="C9:F9"/>
  </mergeCells>
  <pageMargins left="0.7" right="0.7" top="0.75" bottom="0.75" header="0.3" footer="0.3"/>
  <pageSetup paperSize="8" scale="65" fitToHeight="0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8"/>
  <sheetViews>
    <sheetView topLeftCell="A7" workbookViewId="0">
      <selection activeCell="AB16" sqref="AB16"/>
    </sheetView>
  </sheetViews>
  <sheetFormatPr defaultRowHeight="15" x14ac:dyDescent="0.25"/>
  <cols>
    <col min="1" max="1" width="28.28515625" customWidth="1"/>
    <col min="3" max="3" width="12.42578125" customWidth="1"/>
    <col min="7" max="7" width="16.42578125" customWidth="1"/>
    <col min="14" max="14" width="0" hidden="1" customWidth="1"/>
    <col min="17" max="22" width="0" hidden="1" customWidth="1"/>
  </cols>
  <sheetData>
    <row r="1" spans="1:23" x14ac:dyDescent="0.25">
      <c r="A1" s="74" t="s">
        <v>92</v>
      </c>
      <c r="B1" s="75" t="s">
        <v>91</v>
      </c>
      <c r="C1" s="75" t="s">
        <v>168</v>
      </c>
      <c r="D1" s="75" t="s">
        <v>58</v>
      </c>
      <c r="F1" s="92" t="s">
        <v>96</v>
      </c>
      <c r="G1" s="92"/>
      <c r="H1" s="92"/>
    </row>
    <row r="2" spans="1:23" x14ac:dyDescent="0.25">
      <c r="A2" s="35" t="s">
        <v>222</v>
      </c>
      <c r="B2" s="73">
        <v>28</v>
      </c>
      <c r="C2" s="75">
        <f>ROUND(SUM(M11:M18),0)</f>
        <v>1734</v>
      </c>
      <c r="D2" s="75">
        <f>C2*B2</f>
        <v>48552</v>
      </c>
      <c r="F2" s="92"/>
      <c r="G2" s="92"/>
      <c r="H2" s="92"/>
    </row>
    <row r="3" spans="1:23" ht="15.75" customHeight="1" x14ac:dyDescent="0.25">
      <c r="A3" s="35" t="s">
        <v>223</v>
      </c>
      <c r="B3" s="73">
        <v>28</v>
      </c>
      <c r="C3" s="75">
        <f>ROUND(SUM(M7:M9),0)</f>
        <v>567</v>
      </c>
      <c r="D3" s="75">
        <f>C3*B3</f>
        <v>15876</v>
      </c>
    </row>
    <row r="6" spans="1:23" x14ac:dyDescent="0.25">
      <c r="A6" s="7" t="s">
        <v>162</v>
      </c>
      <c r="B6" s="7" t="s">
        <v>20</v>
      </c>
      <c r="C6" s="7" t="s">
        <v>19</v>
      </c>
      <c r="D6" s="7" t="s">
        <v>21</v>
      </c>
      <c r="E6" s="7" t="s">
        <v>22</v>
      </c>
      <c r="F6" s="7" t="s">
        <v>56</v>
      </c>
      <c r="G6" s="8" t="s">
        <v>49</v>
      </c>
      <c r="H6" s="8" t="s">
        <v>46</v>
      </c>
      <c r="I6" s="7" t="s">
        <v>35</v>
      </c>
      <c r="J6" s="8" t="s">
        <v>163</v>
      </c>
      <c r="K6" s="7" t="s">
        <v>35</v>
      </c>
      <c r="L6" s="8" t="s">
        <v>163</v>
      </c>
      <c r="M6" s="7" t="s">
        <v>61</v>
      </c>
      <c r="N6" s="7" t="s">
        <v>58</v>
      </c>
      <c r="O6" s="55"/>
      <c r="P6" s="55"/>
      <c r="Q6" s="8" t="s">
        <v>46</v>
      </c>
      <c r="R6" s="8" t="s">
        <v>53</v>
      </c>
      <c r="S6" s="8" t="s">
        <v>164</v>
      </c>
      <c r="T6" s="8" t="s">
        <v>165</v>
      </c>
      <c r="U6" s="8" t="s">
        <v>166</v>
      </c>
      <c r="V6" s="8" t="s">
        <v>167</v>
      </c>
      <c r="W6" s="76"/>
    </row>
    <row r="7" spans="1:23" x14ac:dyDescent="0.25">
      <c r="A7" s="75" t="s">
        <v>160</v>
      </c>
      <c r="B7" s="75">
        <v>1000</v>
      </c>
      <c r="C7" s="75">
        <v>35</v>
      </c>
      <c r="D7" s="75">
        <v>40</v>
      </c>
      <c r="E7" s="75">
        <f>C7*B7/1000000</f>
        <v>3.5000000000000003E-2</v>
      </c>
      <c r="F7" s="75">
        <f>B7*C7*D7/1000000000</f>
        <v>1.4E-3</v>
      </c>
      <c r="G7" s="75" t="s">
        <v>13</v>
      </c>
      <c r="H7" s="75">
        <f>ROUND(Q7+V7/$C$8,0)</f>
        <v>28000</v>
      </c>
      <c r="I7" s="75" t="s">
        <v>41</v>
      </c>
      <c r="J7" s="75">
        <v>2</v>
      </c>
      <c r="K7" s="75" t="s">
        <v>39</v>
      </c>
      <c r="L7" s="75">
        <v>4</v>
      </c>
      <c r="M7" s="75">
        <f>F7*(0.25*(VLOOKUP(I7,[3]Покрытия!$A$2:$B$8,2,FALSE)*J7+VLOOKUP(K7,[3]Покрытия!$A$2:$B$8,2,FALSE)*L7)+H7)</f>
        <v>41.51</v>
      </c>
      <c r="N7" s="75"/>
      <c r="O7" s="76"/>
      <c r="P7" s="76"/>
      <c r="Q7" s="75">
        <f t="array" ref="Q7">INDEX([3]Материалы!$C$2:$C$50,MATCH(G7,[3]Материалы!$A$2:$A$34,0))</f>
        <v>28000</v>
      </c>
      <c r="R7" s="75">
        <f>FLOOR([3]Листы!B$40/B7,1)*FLOOR([3]Листы!C$40/C7,1)</f>
        <v>118</v>
      </c>
      <c r="S7" s="75">
        <v>1</v>
      </c>
      <c r="T7" s="75">
        <f t="shared" ref="T7:T9" si="0">CEILING(S7/R7,1)</f>
        <v>1</v>
      </c>
      <c r="U7" s="75">
        <f>MAX($C$8-R7*C7,0)</f>
        <v>0</v>
      </c>
      <c r="V7" s="75">
        <f t="shared" ref="V7:V9" si="1">Q7*U7</f>
        <v>0</v>
      </c>
      <c r="W7" s="76"/>
    </row>
    <row r="8" spans="1:23" x14ac:dyDescent="0.25">
      <c r="A8" s="75" t="s">
        <v>161</v>
      </c>
      <c r="B8" s="75">
        <v>1000</v>
      </c>
      <c r="C8" s="75">
        <v>90</v>
      </c>
      <c r="D8" s="75">
        <v>25</v>
      </c>
      <c r="E8" s="75">
        <f>C8*B8/1000000</f>
        <v>0.09</v>
      </c>
      <c r="F8" s="75">
        <f>B8*C8*D8/1000000000</f>
        <v>2.2499999999999998E-3</v>
      </c>
      <c r="G8" s="75" t="s">
        <v>13</v>
      </c>
      <c r="H8" s="75">
        <f>ROUND(Q8+V8/$C$8,0)</f>
        <v>28000</v>
      </c>
      <c r="I8" s="75" t="s">
        <v>41</v>
      </c>
      <c r="J8" s="75">
        <v>2</v>
      </c>
      <c r="K8" s="75" t="s">
        <v>39</v>
      </c>
      <c r="L8" s="75">
        <v>4</v>
      </c>
      <c r="M8" s="75">
        <f>F8*(0.25*(VLOOKUP(I8,[3]Покрытия!$A$2:$B$8,2,FALSE)*J8+VLOOKUP(K8,[3]Покрытия!$A$2:$B$8,2,FALSE)*L8)+H8)</f>
        <v>66.712499999999991</v>
      </c>
      <c r="N8" s="75"/>
      <c r="O8" s="76"/>
      <c r="P8" s="76"/>
      <c r="Q8" s="75">
        <f t="array" ref="Q8">INDEX([3]Материалы!$C$2:$C$50,MATCH(G8,[3]Материалы!$A$2:$A$34,0))</f>
        <v>28000</v>
      </c>
      <c r="R8" s="75">
        <f>FLOOR([3]Листы!B$40/B8,1)*FLOOR([3]Листы!C$40/C8,1)</f>
        <v>46</v>
      </c>
      <c r="S8" s="75">
        <v>1</v>
      </c>
      <c r="T8" s="75">
        <f t="shared" si="0"/>
        <v>1</v>
      </c>
      <c r="U8" s="75">
        <f>MAX($C$8-R8*C8,0)</f>
        <v>0</v>
      </c>
      <c r="V8" s="75">
        <f t="shared" si="1"/>
        <v>0</v>
      </c>
      <c r="W8" s="76"/>
    </row>
    <row r="9" spans="1:23" x14ac:dyDescent="0.25">
      <c r="A9" s="75" t="s">
        <v>169</v>
      </c>
      <c r="B9" s="75">
        <v>1000</v>
      </c>
      <c r="C9" s="75">
        <v>200</v>
      </c>
      <c r="D9" s="75">
        <v>16</v>
      </c>
      <c r="E9" s="75">
        <f>C9*B9/1000000</f>
        <v>0.2</v>
      </c>
      <c r="F9" s="75"/>
      <c r="G9" s="75" t="s">
        <v>12</v>
      </c>
      <c r="H9" s="75">
        <f>ROUND(Q9+V9/$C$8,0)</f>
        <v>646</v>
      </c>
      <c r="I9" s="75" t="s">
        <v>41</v>
      </c>
      <c r="J9" s="75">
        <v>2</v>
      </c>
      <c r="K9" s="75" t="s">
        <v>39</v>
      </c>
      <c r="L9" s="75">
        <v>4</v>
      </c>
      <c r="M9" s="75">
        <f>E9*(0.25*(VLOOKUP(I9,[3]Покрытия!$A$2:$B$8,2,FALSE)*J9+VLOOKUP(K9,[3]Покрытия!$A$2:$B$8,2,FALSE)*L9)+H9)</f>
        <v>459.20000000000005</v>
      </c>
      <c r="N9" s="75"/>
      <c r="O9" s="76"/>
      <c r="P9" s="76"/>
      <c r="Q9" s="75">
        <f t="array" ref="Q9">INDEX([3]Материалы!$C$2:$C$50,MATCH(G9&amp;D9,[3]Материалы!$A$2:$A$50&amp;[3]Материалы!$B$2:$B$50,0))</f>
        <v>646</v>
      </c>
      <c r="R9" s="75">
        <f>FLOOR([3]Листы!B$40/B9,1)*FLOOR([3]Листы!C$40/C9,1)</f>
        <v>20</v>
      </c>
      <c r="S9" s="75">
        <v>1</v>
      </c>
      <c r="T9" s="75">
        <f t="shared" si="0"/>
        <v>1</v>
      </c>
      <c r="U9" s="75">
        <f>MAX($C$8-R9*C9,0)</f>
        <v>0</v>
      </c>
      <c r="V9" s="75">
        <f t="shared" si="1"/>
        <v>0</v>
      </c>
      <c r="W9" s="76"/>
    </row>
    <row r="10" spans="1:23" x14ac:dyDescent="0.25">
      <c r="A10" s="75"/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6"/>
      <c r="P10" s="76"/>
      <c r="Q10" s="75"/>
      <c r="R10" s="75"/>
      <c r="S10" s="75"/>
      <c r="T10" s="75"/>
      <c r="U10" s="75"/>
      <c r="V10" s="75"/>
      <c r="W10" s="76"/>
    </row>
    <row r="11" spans="1:23" x14ac:dyDescent="0.25">
      <c r="A11" s="75" t="s">
        <v>160</v>
      </c>
      <c r="B11" s="75">
        <v>1000</v>
      </c>
      <c r="C11" s="75">
        <v>35</v>
      </c>
      <c r="D11" s="75">
        <v>40</v>
      </c>
      <c r="E11" s="75">
        <f t="shared" ref="E11:E18" si="2">C11*B11/1000000</f>
        <v>3.5000000000000003E-2</v>
      </c>
      <c r="F11" s="75">
        <f>B11*C11*D11/1000000000</f>
        <v>1.4E-3</v>
      </c>
      <c r="G11" s="75" t="s">
        <v>16</v>
      </c>
      <c r="H11" s="75">
        <f t="shared" ref="H11:H18" si="3">ROUND(Q11+V11/$C$8,0)</f>
        <v>45500</v>
      </c>
      <c r="I11" s="75" t="s">
        <v>41</v>
      </c>
      <c r="J11" s="75">
        <v>2</v>
      </c>
      <c r="K11" s="75" t="s">
        <v>39</v>
      </c>
      <c r="L11" s="75">
        <v>4</v>
      </c>
      <c r="M11" s="75">
        <f>F11*(0.25*(VLOOKUP(I11,[3]Покрытия!$A$2:$B$8,2,FALSE)*J11+VLOOKUP(K11,[3]Покрытия!$A$2:$B$8,2,FALSE)*L11)+H11)</f>
        <v>66.010000000000005</v>
      </c>
      <c r="N11" s="75"/>
      <c r="O11" s="76"/>
      <c r="P11" s="76"/>
      <c r="Q11" s="75">
        <f t="array" ref="Q11">INDEX([3]Материалы!$C$2:$C$50,MATCH(G11,[3]Материалы!$A$2:$A$34,0))</f>
        <v>45500</v>
      </c>
      <c r="R11" s="75">
        <f>FLOOR([3]Листы!B$40/B11,1)*FLOOR([3]Листы!C$40/C11,1)</f>
        <v>118</v>
      </c>
      <c r="S11" s="75">
        <v>1</v>
      </c>
      <c r="T11" s="75">
        <f t="shared" ref="T11:T12" si="4">CEILING(S11/R11,1)</f>
        <v>1</v>
      </c>
      <c r="U11" s="75">
        <f t="shared" ref="U11:U18" si="5">MAX($C$8-R11*C11,0)</f>
        <v>0</v>
      </c>
      <c r="V11" s="75">
        <f t="shared" ref="V11:V12" si="6">Q11*U11</f>
        <v>0</v>
      </c>
      <c r="W11" s="76"/>
    </row>
    <row r="12" spans="1:23" x14ac:dyDescent="0.25">
      <c r="A12" s="75" t="s">
        <v>224</v>
      </c>
      <c r="B12" s="75">
        <v>1000</v>
      </c>
      <c r="C12" s="75">
        <v>20</v>
      </c>
      <c r="D12" s="75">
        <v>20</v>
      </c>
      <c r="E12" s="75">
        <f t="shared" si="2"/>
        <v>0.02</v>
      </c>
      <c r="F12" s="75">
        <f>B12*C12*D12/1000000000</f>
        <v>4.0000000000000002E-4</v>
      </c>
      <c r="G12" s="75" t="s">
        <v>16</v>
      </c>
      <c r="H12" s="75">
        <f t="shared" si="3"/>
        <v>45500</v>
      </c>
      <c r="I12" s="75" t="s">
        <v>41</v>
      </c>
      <c r="J12" s="75">
        <v>2</v>
      </c>
      <c r="K12" s="75" t="s">
        <v>39</v>
      </c>
      <c r="L12" s="75">
        <v>4</v>
      </c>
      <c r="M12" s="75">
        <f>F12*(0.25*(VLOOKUP(I12,[3]Покрытия!$A$2:$B$8,2,FALSE)*J12+VLOOKUP(K12,[3]Покрытия!$A$2:$B$8,2,FALSE)*L12)+H12)</f>
        <v>18.86</v>
      </c>
      <c r="N12" s="75"/>
      <c r="O12" s="76"/>
      <c r="P12" s="76"/>
      <c r="Q12" s="75">
        <f t="array" ref="Q12">INDEX([3]Материалы!$C$2:$C$50,MATCH(G12,[3]Материалы!$A$2:$A$34,0))</f>
        <v>45500</v>
      </c>
      <c r="R12" s="75">
        <f>FLOOR([3]Листы!B$40/B12,1)*FLOOR([3]Листы!C$40/C12,1)</f>
        <v>206</v>
      </c>
      <c r="S12" s="75">
        <v>1</v>
      </c>
      <c r="T12" s="75">
        <f t="shared" si="4"/>
        <v>1</v>
      </c>
      <c r="U12" s="75">
        <f t="shared" si="5"/>
        <v>0</v>
      </c>
      <c r="V12" s="75">
        <f t="shared" si="6"/>
        <v>0</v>
      </c>
      <c r="W12" s="76"/>
    </row>
    <row r="13" spans="1:23" x14ac:dyDescent="0.25">
      <c r="A13" s="75" t="s">
        <v>225</v>
      </c>
      <c r="B13" s="75">
        <v>1000</v>
      </c>
      <c r="C13" s="75">
        <v>25</v>
      </c>
      <c r="D13" s="75">
        <v>20</v>
      </c>
      <c r="E13" s="75">
        <f t="shared" si="2"/>
        <v>2.5000000000000001E-2</v>
      </c>
      <c r="F13" s="75">
        <f>B13*C13*D13/1000000000</f>
        <v>5.0000000000000001E-4</v>
      </c>
      <c r="G13" s="75" t="s">
        <v>16</v>
      </c>
      <c r="H13" s="75">
        <f t="shared" si="3"/>
        <v>45500</v>
      </c>
      <c r="I13" s="75" t="s">
        <v>41</v>
      </c>
      <c r="J13" s="75">
        <v>2</v>
      </c>
      <c r="K13" s="75" t="s">
        <v>39</v>
      </c>
      <c r="L13" s="75">
        <v>4</v>
      </c>
      <c r="M13" s="75">
        <f>F13*(0.25*(VLOOKUP(I13,[3]Покрытия!$A$2:$B$8,2,FALSE)*J13+VLOOKUP(K13,[3]Покрытия!$A$2:$B$8,2,FALSE)*L13)+H13)</f>
        <v>23.574999999999999</v>
      </c>
      <c r="N13" s="75"/>
      <c r="O13" s="76"/>
      <c r="P13" s="76"/>
      <c r="Q13" s="75">
        <f t="array" ref="Q13">INDEX([3]Материалы!$C$2:$C$50,MATCH(G13,[3]Материалы!$A$2:$A$34,0))</f>
        <v>45500</v>
      </c>
      <c r="R13" s="75">
        <f>FLOOR([3]Листы!B$40/B13,1)*FLOOR([3]Листы!C$40/C13,1)</f>
        <v>164</v>
      </c>
      <c r="S13" s="75">
        <v>1</v>
      </c>
      <c r="T13" s="75">
        <f t="shared" ref="T13:T14" si="7">CEILING(S13/R13,1)</f>
        <v>1</v>
      </c>
      <c r="U13" s="75">
        <f t="shared" si="5"/>
        <v>0</v>
      </c>
      <c r="V13" s="75">
        <f t="shared" ref="V13:V14" si="8">Q13*U13</f>
        <v>0</v>
      </c>
      <c r="W13" s="76"/>
    </row>
    <row r="14" spans="1:23" x14ac:dyDescent="0.25">
      <c r="A14" s="75" t="s">
        <v>161</v>
      </c>
      <c r="B14" s="75">
        <v>1000</v>
      </c>
      <c r="C14" s="75">
        <v>90</v>
      </c>
      <c r="D14" s="75">
        <v>25</v>
      </c>
      <c r="E14" s="75">
        <f t="shared" si="2"/>
        <v>0.09</v>
      </c>
      <c r="F14" s="75">
        <f>B14*C14*D14/1000000000</f>
        <v>2.2499999999999998E-3</v>
      </c>
      <c r="G14" s="75" t="s">
        <v>16</v>
      </c>
      <c r="H14" s="75">
        <f t="shared" si="3"/>
        <v>45500</v>
      </c>
      <c r="I14" s="75" t="s">
        <v>41</v>
      </c>
      <c r="J14" s="75">
        <v>2</v>
      </c>
      <c r="K14" s="75" t="s">
        <v>39</v>
      </c>
      <c r="L14" s="75">
        <v>4</v>
      </c>
      <c r="M14" s="75">
        <f>F14*(0.25*(VLOOKUP(I14,[3]Покрытия!$A$2:$B$8,2,FALSE)*J14+VLOOKUP(K14,[3]Покрытия!$A$2:$B$8,2,FALSE)*L14)+H14)</f>
        <v>106.08749999999999</v>
      </c>
      <c r="N14" s="75"/>
      <c r="O14" s="76"/>
      <c r="P14" s="76"/>
      <c r="Q14" s="75">
        <f t="array" ref="Q14">INDEX([3]Материалы!$C$2:$C$50,MATCH(G14,[3]Материалы!$A$2:$A$34,0))</f>
        <v>45500</v>
      </c>
      <c r="R14" s="75">
        <f>FLOOR([3]Листы!B$40/B14,1)*FLOOR([3]Листы!C$40/C14,1)</f>
        <v>46</v>
      </c>
      <c r="S14" s="75">
        <v>1</v>
      </c>
      <c r="T14" s="75">
        <f t="shared" si="7"/>
        <v>1</v>
      </c>
      <c r="U14" s="75">
        <f t="shared" si="5"/>
        <v>0</v>
      </c>
      <c r="V14" s="75">
        <f t="shared" si="8"/>
        <v>0</v>
      </c>
      <c r="W14" s="76"/>
    </row>
    <row r="15" spans="1:23" x14ac:dyDescent="0.25">
      <c r="A15" s="75" t="s">
        <v>228</v>
      </c>
      <c r="B15" s="75">
        <v>1000</v>
      </c>
      <c r="C15" s="75">
        <v>350</v>
      </c>
      <c r="D15" s="75">
        <v>16</v>
      </c>
      <c r="E15" s="75">
        <f t="shared" si="2"/>
        <v>0.35</v>
      </c>
      <c r="F15" s="75"/>
      <c r="G15" s="75" t="s">
        <v>12</v>
      </c>
      <c r="H15" s="75">
        <f t="shared" si="3"/>
        <v>646</v>
      </c>
      <c r="I15" s="75" t="s">
        <v>41</v>
      </c>
      <c r="J15" s="75">
        <v>2</v>
      </c>
      <c r="K15" s="75" t="s">
        <v>39</v>
      </c>
      <c r="L15" s="75">
        <v>4</v>
      </c>
      <c r="M15" s="75">
        <f>E15*(0.25*(VLOOKUP(I15,[3]Покрытия!$A$2:$B$8,2,FALSE)*J15+VLOOKUP(K15,[3]Покрытия!$A$2:$B$8,2,FALSE)*L15)+H15)</f>
        <v>803.59999999999991</v>
      </c>
      <c r="N15" s="75"/>
      <c r="O15" s="76"/>
      <c r="P15" s="76"/>
      <c r="Q15" s="75">
        <f t="array" ref="Q15">INDEX([3]Материалы!$C$2:$C$50,MATCH(G15&amp;D15,[3]Материалы!$A$2:$A$50&amp;[3]Материалы!$B$2:$B$50,0))</f>
        <v>646</v>
      </c>
      <c r="R15" s="75">
        <f>FLOOR([3]Листы!B$40/B15,1)*FLOOR([3]Листы!C$40/C15,1)</f>
        <v>10</v>
      </c>
      <c r="S15" s="75">
        <v>1</v>
      </c>
      <c r="T15" s="75">
        <f>CEILING(S15/R15,1)</f>
        <v>1</v>
      </c>
      <c r="U15" s="75">
        <f t="shared" si="5"/>
        <v>0</v>
      </c>
      <c r="V15" s="75">
        <f>Q15*U15</f>
        <v>0</v>
      </c>
      <c r="W15" s="76"/>
    </row>
    <row r="16" spans="1:23" x14ac:dyDescent="0.25">
      <c r="A16" s="75" t="s">
        <v>229</v>
      </c>
      <c r="B16" s="75">
        <v>1000</v>
      </c>
      <c r="C16" s="75">
        <v>350</v>
      </c>
      <c r="D16" s="75">
        <v>0.6</v>
      </c>
      <c r="E16" s="75">
        <f t="shared" si="2"/>
        <v>0.35</v>
      </c>
      <c r="F16" s="75"/>
      <c r="G16" s="75" t="s">
        <v>7</v>
      </c>
      <c r="H16" s="75">
        <f t="shared" si="3"/>
        <v>277</v>
      </c>
      <c r="I16" s="75" t="s">
        <v>41</v>
      </c>
      <c r="J16" s="75">
        <v>2</v>
      </c>
      <c r="K16" s="75" t="s">
        <v>39</v>
      </c>
      <c r="L16" s="75">
        <v>4</v>
      </c>
      <c r="M16" s="75">
        <f>E16*(0.25*(VLOOKUP(I16,[3]Покрытия!$A$2:$B$8,2,FALSE)*J16+VLOOKUP(K16,[3]Покрытия!$A$2:$B$8,2,FALSE)*L16)+H16)</f>
        <v>674.44999999999993</v>
      </c>
      <c r="N16" s="75"/>
      <c r="O16" s="76"/>
      <c r="P16" s="76"/>
      <c r="Q16" s="75">
        <f t="array" ref="Q16">INDEX([3]Материалы!$C$2:$C$50,MATCH(G16&amp;D16,[3]Материалы!$A$2:$A$50&amp;[3]Материалы!$B$2:$B$50,0))</f>
        <v>277</v>
      </c>
      <c r="R16" s="75">
        <f>FLOOR([3]Листы!B$40/B16,1)*FLOOR([3]Листы!C$40/C16,1)</f>
        <v>10</v>
      </c>
      <c r="S16" s="75">
        <v>1</v>
      </c>
      <c r="T16" s="75">
        <f>CEILING(S16/R16,1)</f>
        <v>1</v>
      </c>
      <c r="U16" s="75">
        <f t="shared" si="5"/>
        <v>0</v>
      </c>
      <c r="V16" s="75">
        <f>Q16*U16</f>
        <v>0</v>
      </c>
      <c r="W16" s="76"/>
    </row>
    <row r="17" spans="1:23" x14ac:dyDescent="0.25">
      <c r="A17" s="75" t="s">
        <v>226</v>
      </c>
      <c r="B17" s="75">
        <v>1000</v>
      </c>
      <c r="C17" s="75">
        <v>16</v>
      </c>
      <c r="D17" s="75">
        <v>0.6</v>
      </c>
      <c r="E17" s="75">
        <f t="shared" si="2"/>
        <v>1.6E-2</v>
      </c>
      <c r="F17" s="75"/>
      <c r="G17" s="75" t="s">
        <v>7</v>
      </c>
      <c r="H17" s="75">
        <f t="shared" si="3"/>
        <v>277</v>
      </c>
      <c r="I17" s="75" t="s">
        <v>41</v>
      </c>
      <c r="J17" s="75">
        <v>2</v>
      </c>
      <c r="K17" s="75" t="s">
        <v>39</v>
      </c>
      <c r="L17" s="75">
        <v>4</v>
      </c>
      <c r="M17" s="75">
        <f>E17*(0.25*(VLOOKUP(I17,[3]Покрытия!$A$2:$B$8,2,FALSE)*J17+VLOOKUP(K17,[3]Покрытия!$A$2:$B$8,2,FALSE)*L17)+H17)</f>
        <v>30.832000000000001</v>
      </c>
      <c r="N17" s="75"/>
      <c r="O17" s="76"/>
      <c r="P17" s="76"/>
      <c r="Q17" s="75">
        <f t="array" ref="Q17">INDEX([3]Материалы!$C$2:$C$50,MATCH(G17&amp;D17,[3]Материалы!$A$2:$A$50&amp;[3]Материалы!$B$2:$B$50,0))</f>
        <v>277</v>
      </c>
      <c r="R17" s="75">
        <f>FLOOR([3]Листы!B$40/B17,1)*FLOOR([3]Листы!C$40/C17,1)</f>
        <v>258</v>
      </c>
      <c r="S17" s="75">
        <v>1</v>
      </c>
      <c r="T17" s="75">
        <f>CEILING(S17/R17,1)</f>
        <v>1</v>
      </c>
      <c r="U17" s="75">
        <f t="shared" si="5"/>
        <v>0</v>
      </c>
      <c r="V17" s="75">
        <f>Q17*U17</f>
        <v>0</v>
      </c>
      <c r="W17" s="76"/>
    </row>
    <row r="18" spans="1:23" x14ac:dyDescent="0.25">
      <c r="A18" s="75" t="s">
        <v>227</v>
      </c>
      <c r="B18" s="75">
        <v>350</v>
      </c>
      <c r="C18" s="75">
        <v>16</v>
      </c>
      <c r="D18" s="75">
        <v>0.6</v>
      </c>
      <c r="E18" s="75">
        <f t="shared" si="2"/>
        <v>5.5999999999999999E-3</v>
      </c>
      <c r="F18" s="75"/>
      <c r="G18" s="75" t="s">
        <v>7</v>
      </c>
      <c r="H18" s="75">
        <f t="shared" si="3"/>
        <v>277</v>
      </c>
      <c r="I18" s="75" t="s">
        <v>41</v>
      </c>
      <c r="J18" s="75">
        <v>2</v>
      </c>
      <c r="K18" s="75" t="s">
        <v>39</v>
      </c>
      <c r="L18" s="75">
        <v>4</v>
      </c>
      <c r="M18" s="75">
        <f>E18*(0.25*(VLOOKUP(I18,[3]Покрытия!$A$2:$B$8,2,FALSE)*J18+VLOOKUP(K18,[3]Покрытия!$A$2:$B$8,2,FALSE)*L18)+H18)</f>
        <v>10.7912</v>
      </c>
      <c r="N18" s="75"/>
      <c r="O18" s="76"/>
      <c r="P18" s="76"/>
      <c r="Q18" s="75">
        <f t="array" ref="Q18">INDEX([3]Материалы!$C$2:$C$50,MATCH(G18&amp;D18,[3]Материалы!$A$2:$A$50&amp;[3]Материалы!$B$2:$B$50,0))</f>
        <v>277</v>
      </c>
      <c r="R18" s="75">
        <f>FLOOR([3]Листы!B$40/B18,1)*FLOOR([3]Листы!C$40/C18,1)</f>
        <v>1032</v>
      </c>
      <c r="S18" s="75">
        <v>1</v>
      </c>
      <c r="T18" s="75">
        <f>CEILING(S18/R18,1)</f>
        <v>1</v>
      </c>
      <c r="U18" s="75">
        <f t="shared" si="5"/>
        <v>0</v>
      </c>
      <c r="V18" s="75">
        <f>Q18*U18</f>
        <v>0</v>
      </c>
      <c r="W18" s="76"/>
    </row>
  </sheetData>
  <mergeCells count="1">
    <mergeCell ref="F1:H2"/>
  </mergeCells>
  <pageMargins left="0.7" right="0.7" top="0.75" bottom="0.75" header="0.3" footer="0.3"/>
  <pageSetup paperSize="9" scale="88" fitToHeight="0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"/>
  <sheetViews>
    <sheetView workbookViewId="0">
      <selection activeCell="Y11" sqref="Y11"/>
    </sheetView>
  </sheetViews>
  <sheetFormatPr defaultRowHeight="15" x14ac:dyDescent="0.25"/>
  <cols>
    <col min="1" max="1" width="24.5703125" customWidth="1"/>
    <col min="7" max="7" width="13.85546875" customWidth="1"/>
    <col min="8" max="8" width="15.85546875" customWidth="1"/>
    <col min="10" max="10" width="14" customWidth="1"/>
    <col min="12" max="12" width="15.28515625" customWidth="1"/>
    <col min="13" max="13" width="16.7109375" customWidth="1"/>
    <col min="14" max="14" width="16.28515625" customWidth="1"/>
    <col min="17" max="20" width="0" hidden="1" customWidth="1"/>
  </cols>
  <sheetData>
    <row r="1" spans="1:27" x14ac:dyDescent="0.25">
      <c r="A1" s="74" t="s">
        <v>92</v>
      </c>
      <c r="B1" s="75" t="s">
        <v>91</v>
      </c>
      <c r="C1" s="75" t="s">
        <v>61</v>
      </c>
      <c r="D1" s="75" t="s">
        <v>58</v>
      </c>
      <c r="E1" s="78"/>
      <c r="F1" s="92" t="s">
        <v>170</v>
      </c>
      <c r="G1" s="93"/>
      <c r="H1" s="93"/>
      <c r="I1" s="93"/>
      <c r="J1" s="93"/>
      <c r="K1" s="93"/>
      <c r="L1" s="93"/>
      <c r="M1" s="93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</row>
    <row r="2" spans="1:27" ht="20.25" customHeight="1" x14ac:dyDescent="0.25">
      <c r="A2" s="35" t="s">
        <v>171</v>
      </c>
      <c r="B2" s="75">
        <v>2</v>
      </c>
      <c r="C2" s="75">
        <f>ROUND(SUM(O6:O9),0)</f>
        <v>8093</v>
      </c>
      <c r="D2" s="75">
        <f>C2*B2</f>
        <v>16186</v>
      </c>
      <c r="E2" s="78"/>
      <c r="F2" s="93"/>
      <c r="G2" s="93"/>
      <c r="H2" s="93"/>
      <c r="I2" s="93"/>
      <c r="J2" s="93"/>
      <c r="K2" s="93"/>
      <c r="L2" s="93"/>
      <c r="M2" s="93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</row>
    <row r="3" spans="1:27" x14ac:dyDescent="0.25">
      <c r="A3" s="56"/>
      <c r="B3" s="16"/>
      <c r="C3" s="16"/>
      <c r="D3" s="16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</row>
    <row r="4" spans="1:27" x14ac:dyDescent="0.25">
      <c r="A4" s="78"/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</row>
    <row r="5" spans="1:27" x14ac:dyDescent="0.25">
      <c r="A5" s="75" t="s">
        <v>32</v>
      </c>
      <c r="B5" s="75" t="s">
        <v>20</v>
      </c>
      <c r="C5" s="75" t="s">
        <v>19</v>
      </c>
      <c r="D5" s="75" t="s">
        <v>21</v>
      </c>
      <c r="E5" s="75" t="s">
        <v>22</v>
      </c>
      <c r="F5" s="7" t="s">
        <v>26</v>
      </c>
      <c r="G5" s="7" t="s">
        <v>49</v>
      </c>
      <c r="H5" s="75" t="s">
        <v>46</v>
      </c>
      <c r="I5" s="75" t="s">
        <v>35</v>
      </c>
      <c r="J5" s="75" t="s">
        <v>47</v>
      </c>
      <c r="K5" s="75" t="s">
        <v>35</v>
      </c>
      <c r="L5" s="75" t="s">
        <v>47</v>
      </c>
      <c r="M5" s="7" t="s">
        <v>48</v>
      </c>
      <c r="N5" s="75" t="s">
        <v>59</v>
      </c>
      <c r="O5" s="75" t="s">
        <v>58</v>
      </c>
      <c r="P5" s="79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</row>
    <row r="6" spans="1:27" x14ac:dyDescent="0.25">
      <c r="A6" s="75" t="s">
        <v>153</v>
      </c>
      <c r="B6" s="75">
        <v>2000</v>
      </c>
      <c r="C6" s="75">
        <v>125</v>
      </c>
      <c r="D6" s="75">
        <v>45</v>
      </c>
      <c r="E6" s="75">
        <f>B6*C6*D6/1000000000</f>
        <v>1.125E-2</v>
      </c>
      <c r="F6" s="75">
        <f>B6*C6/1000000</f>
        <v>0.25</v>
      </c>
      <c r="G6" s="75" t="s">
        <v>15</v>
      </c>
      <c r="H6" s="75">
        <f>ROUND(Q6+T6/Раскройка!$F$11,0)</f>
        <v>32000</v>
      </c>
      <c r="I6" s="75" t="s">
        <v>41</v>
      </c>
      <c r="J6" s="75">
        <v>2</v>
      </c>
      <c r="K6" s="75" t="s">
        <v>39</v>
      </c>
      <c r="L6" s="75">
        <v>4</v>
      </c>
      <c r="M6" s="75">
        <f>E6*H6+0.25*((VLOOKUP(I6,Покрытия!$A$2:$B$50,2,FALSE)*J6+VLOOKUP(K6,Покрытия!$A$2:$B$50,2,FALSE)*L6)*F6)</f>
        <v>772.5</v>
      </c>
      <c r="N6" s="75">
        <v>2</v>
      </c>
      <c r="O6" s="75">
        <f>M6*N6</f>
        <v>1545</v>
      </c>
      <c r="P6" s="79"/>
      <c r="Q6" s="75">
        <f t="array" ref="Q6">INDEX(Материалы!$C$2:$C$50,MATCH(G6,Материалы!$A$2:$A$50,0))</f>
        <v>32000</v>
      </c>
      <c r="R6" s="75">
        <f>FLOOR(Раскройка!$C$11/C6,1)*FLOOR(Раскройка!$D$11/B6,1)</f>
        <v>2</v>
      </c>
      <c r="S6" s="75">
        <f>MAX(Раскройка!$F$11-E6*R6,0)</f>
        <v>0</v>
      </c>
      <c r="T6" s="75">
        <f>Q6*S6</f>
        <v>0</v>
      </c>
      <c r="U6" s="78"/>
      <c r="V6" s="78"/>
      <c r="W6" s="78"/>
      <c r="X6" s="78"/>
      <c r="Y6" s="78"/>
      <c r="Z6" s="78"/>
      <c r="AA6" s="78"/>
    </row>
    <row r="7" spans="1:27" x14ac:dyDescent="0.25">
      <c r="A7" s="75" t="s">
        <v>156</v>
      </c>
      <c r="B7" s="75">
        <v>2000</v>
      </c>
      <c r="C7" s="75">
        <v>200</v>
      </c>
      <c r="D7" s="75">
        <v>18</v>
      </c>
      <c r="E7" s="75">
        <f t="shared" ref="E7" si="0">B7*C7/1000000</f>
        <v>0.4</v>
      </c>
      <c r="F7" s="20"/>
      <c r="G7" s="7" t="s">
        <v>12</v>
      </c>
      <c r="H7" s="75">
        <f>ROUND(Q7+T7/Раскройка!$F$2,0)</f>
        <v>655</v>
      </c>
      <c r="I7" s="75" t="s">
        <v>41</v>
      </c>
      <c r="J7" s="75">
        <v>2</v>
      </c>
      <c r="K7" s="75" t="s">
        <v>39</v>
      </c>
      <c r="L7" s="75">
        <v>4</v>
      </c>
      <c r="M7" s="75">
        <f>E7*(0.25*(VLOOKUP(I7,Покрытия!$A$2:$B$40,2,FALSE)*J7+VLOOKUP(K7,Покрытия!$A$2:$B$40,2,FALSE)*L7)+H7)</f>
        <v>922</v>
      </c>
      <c r="N7" s="75">
        <v>1</v>
      </c>
      <c r="O7" s="75">
        <f t="shared" ref="O7" si="1">M7*N7</f>
        <v>922</v>
      </c>
      <c r="P7" s="79"/>
      <c r="Q7" s="75">
        <f t="array" ref="Q7">INDEX(Материалы!$C$2:$C$50,MATCH(G7&amp;D7,Материалы!$A$2:$A$50&amp;Материалы!$B$2:$B$50,0))</f>
        <v>500</v>
      </c>
      <c r="R7" s="75">
        <f>FLOOR(Раскройка!$D$2/B7,1)*FLOOR(Раскройка!$C$2/C7,1)</f>
        <v>10</v>
      </c>
      <c r="S7" s="75">
        <f>MAX(Раскройка!$F$2-E7*R7,0)</f>
        <v>1.7999999999999998</v>
      </c>
      <c r="T7" s="75">
        <f t="shared" ref="T7" si="2">Q7*S7</f>
        <v>899.99999999999989</v>
      </c>
      <c r="U7" s="78"/>
      <c r="V7" s="78"/>
      <c r="W7" s="78"/>
      <c r="X7" s="78"/>
      <c r="Y7" s="78"/>
      <c r="Z7" s="78"/>
      <c r="AA7" s="78"/>
    </row>
    <row r="8" spans="1:27" x14ac:dyDescent="0.25">
      <c r="A8" s="75" t="s">
        <v>152</v>
      </c>
      <c r="B8" s="75">
        <v>2300</v>
      </c>
      <c r="C8" s="75">
        <v>125</v>
      </c>
      <c r="D8" s="75">
        <v>45</v>
      </c>
      <c r="E8" s="75">
        <f>B8*C8*D8/1000000000</f>
        <v>1.2937499999999999E-2</v>
      </c>
      <c r="F8" s="75">
        <f>B8*C8/1000000</f>
        <v>0.28749999999999998</v>
      </c>
      <c r="G8" s="75" t="s">
        <v>15</v>
      </c>
      <c r="H8" s="75">
        <f>ROUND(Q8+T8/Раскройка!$F$11,0)</f>
        <v>32000</v>
      </c>
      <c r="I8" s="75" t="s">
        <v>41</v>
      </c>
      <c r="J8" s="75">
        <v>2</v>
      </c>
      <c r="K8" s="75" t="s">
        <v>39</v>
      </c>
      <c r="L8" s="75">
        <v>4</v>
      </c>
      <c r="M8" s="75">
        <f>E8*H8+0.25*((VLOOKUP(I8,Покрытия!$A$2:$B$50,2,FALSE)*J8+VLOOKUP(K8,Покрытия!$A$2:$B$50,2,FALSE)*L8)*F8)</f>
        <v>888.375</v>
      </c>
      <c r="N8" s="75">
        <v>4</v>
      </c>
      <c r="O8" s="75">
        <f>M8*N8</f>
        <v>3553.5</v>
      </c>
      <c r="P8" s="79"/>
      <c r="Q8" s="75">
        <f t="array" ref="Q8">INDEX(Материалы!$C$2:$C$50,MATCH(G8,Материалы!$A$2:$A$50,0))</f>
        <v>32000</v>
      </c>
      <c r="R8" s="75">
        <f>FLOOR(Раскройка!$C$11/C8,1)*FLOOR(Раскройка!$D$11/B8,1)</f>
        <v>2</v>
      </c>
      <c r="S8" s="75">
        <f>MAX(Раскройка!$F$11-E8*R8,0)</f>
        <v>0</v>
      </c>
      <c r="T8" s="75">
        <f>Q8*S8</f>
        <v>0</v>
      </c>
      <c r="U8" s="78"/>
      <c r="V8" s="78"/>
      <c r="W8" s="78"/>
      <c r="X8" s="78"/>
      <c r="Y8" s="78"/>
      <c r="Z8" s="78"/>
      <c r="AA8" s="78"/>
    </row>
    <row r="9" spans="1:27" x14ac:dyDescent="0.25">
      <c r="A9" s="75" t="s">
        <v>157</v>
      </c>
      <c r="B9" s="75">
        <v>2300</v>
      </c>
      <c r="C9" s="75">
        <v>200</v>
      </c>
      <c r="D9" s="75">
        <v>18</v>
      </c>
      <c r="E9" s="75">
        <f t="shared" ref="E9" si="3">B9*C9/1000000</f>
        <v>0.46</v>
      </c>
      <c r="F9" s="20"/>
      <c r="G9" s="7" t="s">
        <v>12</v>
      </c>
      <c r="H9" s="75">
        <f>ROUND(Q9+T9/Раскройка!$F$2,0)</f>
        <v>603</v>
      </c>
      <c r="I9" s="75" t="s">
        <v>41</v>
      </c>
      <c r="J9" s="75">
        <v>2</v>
      </c>
      <c r="K9" s="75" t="s">
        <v>39</v>
      </c>
      <c r="L9" s="75">
        <v>4</v>
      </c>
      <c r="M9" s="75">
        <f>E9*(0.25*(VLOOKUP(I9,Покрытия!$A$2:$B$40,2,FALSE)*J9+VLOOKUP(K9,Покрытия!$A$2:$B$40,2,FALSE)*L9)+H9)</f>
        <v>1036.3800000000001</v>
      </c>
      <c r="N9" s="75">
        <v>2</v>
      </c>
      <c r="O9" s="75">
        <f t="shared" ref="O9" si="4">M9*N9</f>
        <v>2072.7600000000002</v>
      </c>
      <c r="P9" s="79"/>
      <c r="Q9" s="75">
        <f t="array" ref="Q9">INDEX(Материалы!$C$2:$C$50,MATCH(G9&amp;D9,Материалы!$A$2:$A$50&amp;Материалы!$B$2:$B$50,0))</f>
        <v>500</v>
      </c>
      <c r="R9" s="75">
        <f>FLOOR(Раскройка!$D$2/B9,1)*FLOOR(Раскройка!$C$2/C9,1)</f>
        <v>10</v>
      </c>
      <c r="S9" s="75">
        <f>MAX(Раскройка!$F$2-E9*R9,0)</f>
        <v>1.1999999999999993</v>
      </c>
      <c r="T9" s="75">
        <f t="shared" ref="T9" si="5">Q9*S9</f>
        <v>599.99999999999966</v>
      </c>
      <c r="U9" s="78"/>
      <c r="V9" s="78"/>
      <c r="W9" s="78"/>
      <c r="X9" s="78"/>
      <c r="Y9" s="78"/>
      <c r="Z9" s="78"/>
      <c r="AA9" s="78"/>
    </row>
  </sheetData>
  <mergeCells count="1">
    <mergeCell ref="F1:M2"/>
  </mergeCells>
  <pageMargins left="0.7" right="0.7" top="0.75" bottom="0.75" header="0.3" footer="0.3"/>
  <pageSetup paperSize="9" scale="69" fitToHeight="0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64"/>
  <sheetViews>
    <sheetView topLeftCell="A31" workbookViewId="0">
      <selection activeCell="B2" sqref="B2:B3"/>
    </sheetView>
  </sheetViews>
  <sheetFormatPr defaultRowHeight="15" x14ac:dyDescent="0.25"/>
  <cols>
    <col min="1" max="1" width="22.140625" customWidth="1"/>
    <col min="2" max="2" width="14" customWidth="1"/>
    <col min="7" max="7" width="16.42578125" customWidth="1"/>
    <col min="8" max="8" width="16.28515625" customWidth="1"/>
    <col min="10" max="10" width="13.140625" customWidth="1"/>
    <col min="12" max="12" width="13.28515625" customWidth="1"/>
    <col min="13" max="13" width="16" customWidth="1"/>
    <col min="14" max="14" width="17.140625" customWidth="1"/>
    <col min="17" max="20" width="0" hidden="1" customWidth="1"/>
  </cols>
  <sheetData>
    <row r="1" spans="1:25" x14ac:dyDescent="0.25">
      <c r="A1" s="83" t="s">
        <v>255</v>
      </c>
      <c r="B1" s="83">
        <f>SUM(B4:L4)+P3</f>
        <v>290484</v>
      </c>
    </row>
    <row r="2" spans="1:25" x14ac:dyDescent="0.25">
      <c r="A2" s="88" t="s">
        <v>92</v>
      </c>
      <c r="B2" s="88" t="s">
        <v>143</v>
      </c>
      <c r="C2" s="88" t="s">
        <v>149</v>
      </c>
      <c r="D2" s="88" t="s">
        <v>236</v>
      </c>
      <c r="E2" s="88" t="s">
        <v>237</v>
      </c>
      <c r="F2" s="88" t="s">
        <v>238</v>
      </c>
      <c r="G2" s="88" t="s">
        <v>239</v>
      </c>
      <c r="H2" s="88" t="s">
        <v>240</v>
      </c>
      <c r="I2" s="88" t="s">
        <v>241</v>
      </c>
      <c r="J2" s="88" t="s">
        <v>242</v>
      </c>
      <c r="K2" s="88" t="s">
        <v>243</v>
      </c>
      <c r="L2" s="88" t="s">
        <v>251</v>
      </c>
      <c r="M2" s="82" t="s">
        <v>92</v>
      </c>
      <c r="N2" s="83" t="s">
        <v>249</v>
      </c>
      <c r="O2" s="83" t="s">
        <v>248</v>
      </c>
      <c r="P2" s="7" t="s">
        <v>58</v>
      </c>
    </row>
    <row r="3" spans="1:25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82" t="s">
        <v>118</v>
      </c>
      <c r="N3" s="83">
        <f>CEILING(SUM(O54:O56),1)</f>
        <v>887</v>
      </c>
      <c r="O3" s="83">
        <f>(11750+460*5+410)/1000</f>
        <v>14.46</v>
      </c>
      <c r="P3" s="27">
        <f>CEILING(N3*O3,1)</f>
        <v>12827</v>
      </c>
    </row>
    <row r="4" spans="1:25" x14ac:dyDescent="0.25">
      <c r="A4" s="80" t="s">
        <v>61</v>
      </c>
      <c r="B4" s="80">
        <f>CEILING(SUM(O7:O28),1)</f>
        <v>28934</v>
      </c>
      <c r="C4" s="80">
        <f>CEILING(SUM(O30:O51),1)</f>
        <v>27214</v>
      </c>
      <c r="D4" s="80">
        <f>C4</f>
        <v>27214</v>
      </c>
      <c r="E4" s="83">
        <f>D4</f>
        <v>27214</v>
      </c>
      <c r="F4" s="83">
        <f t="shared" ref="E4:J4" si="0">E4</f>
        <v>27214</v>
      </c>
      <c r="G4" s="83">
        <f t="shared" si="0"/>
        <v>27214</v>
      </c>
      <c r="H4" s="83">
        <f t="shared" si="0"/>
        <v>27214</v>
      </c>
      <c r="I4" s="83">
        <f t="shared" si="0"/>
        <v>27214</v>
      </c>
      <c r="J4" s="83">
        <f t="shared" si="0"/>
        <v>27214</v>
      </c>
      <c r="K4" s="80">
        <f>B4</f>
        <v>28934</v>
      </c>
      <c r="L4" s="83">
        <f>CEILING(SUM(O58:O64),1)</f>
        <v>2077</v>
      </c>
    </row>
    <row r="6" spans="1:25" x14ac:dyDescent="0.25">
      <c r="A6" s="77" t="s">
        <v>32</v>
      </c>
      <c r="B6" s="77" t="s">
        <v>20</v>
      </c>
      <c r="C6" s="77" t="s">
        <v>19</v>
      </c>
      <c r="D6" s="77" t="s">
        <v>21</v>
      </c>
      <c r="E6" s="77" t="s">
        <v>22</v>
      </c>
      <c r="F6" s="7" t="s">
        <v>26</v>
      </c>
      <c r="G6" s="7" t="s">
        <v>49</v>
      </c>
      <c r="H6" s="77" t="s">
        <v>46</v>
      </c>
      <c r="I6" s="77" t="s">
        <v>35</v>
      </c>
      <c r="J6" s="77" t="s">
        <v>47</v>
      </c>
      <c r="K6" s="77" t="s">
        <v>35</v>
      </c>
      <c r="L6" s="77" t="s">
        <v>47</v>
      </c>
      <c r="M6" s="7" t="s">
        <v>48</v>
      </c>
      <c r="N6" s="77" t="s">
        <v>59</v>
      </c>
      <c r="O6" s="77" t="s">
        <v>58</v>
      </c>
      <c r="P6" s="79"/>
      <c r="Q6" s="78"/>
      <c r="R6" s="78"/>
      <c r="S6" s="78"/>
      <c r="T6" s="78"/>
      <c r="U6" s="78"/>
      <c r="V6" s="78"/>
      <c r="W6" s="78"/>
      <c r="X6" s="78"/>
      <c r="Y6" s="78"/>
    </row>
    <row r="7" spans="1:25" x14ac:dyDescent="0.25">
      <c r="A7" s="77" t="s">
        <v>108</v>
      </c>
      <c r="B7" s="77">
        <v>2764</v>
      </c>
      <c r="C7" s="77">
        <v>640</v>
      </c>
      <c r="D7" s="77">
        <v>6</v>
      </c>
      <c r="E7" s="77">
        <f t="shared" ref="E7" si="1">B7*C7/1000000</f>
        <v>1.7689600000000001</v>
      </c>
      <c r="F7" s="20"/>
      <c r="G7" s="7" t="s">
        <v>3</v>
      </c>
      <c r="H7" s="77">
        <f>ROUND(Q7+T7/Раскройка!$F$2,0)</f>
        <v>113</v>
      </c>
      <c r="I7" s="77" t="s">
        <v>41</v>
      </c>
      <c r="J7" s="77">
        <v>2</v>
      </c>
      <c r="K7" s="77" t="s">
        <v>39</v>
      </c>
      <c r="L7" s="77">
        <v>4</v>
      </c>
      <c r="M7" s="77">
        <f>E7*(0.25*(VLOOKUP(I7,Покрытия!$A$2:$B$40,2,FALSE)*J7+VLOOKUP(K7,Покрытия!$A$2:$B$40,2,FALSE)*L7)+H7)</f>
        <v>3118.6764800000001</v>
      </c>
      <c r="N7" s="77">
        <v>1</v>
      </c>
      <c r="O7" s="77">
        <f t="shared" ref="O7" si="2">M7*N7</f>
        <v>3118.6764800000001</v>
      </c>
      <c r="P7" s="79"/>
      <c r="Q7" s="77">
        <f t="array" ref="Q7">INDEX(Материалы!$C$2:$C$50,MATCH(G7&amp;D7,Материалы!$A$2:$A$50&amp;Материалы!$B$2:$B$50,0))</f>
        <v>104</v>
      </c>
      <c r="R7" s="77">
        <f>FLOOR(Раскройка!$D$2/B7,1)*FLOOR(Раскройка!$C$2/C7,1)</f>
        <v>3</v>
      </c>
      <c r="S7" s="77">
        <f>MAX(Раскройка!$F$2-E7*R7,0)</f>
        <v>0.49311999999999934</v>
      </c>
      <c r="T7" s="77">
        <f t="shared" ref="T7" si="3">Q7*S7</f>
        <v>51.284479999999931</v>
      </c>
      <c r="U7" s="78"/>
      <c r="V7" s="78"/>
    </row>
    <row r="8" spans="1:25" x14ac:dyDescent="0.25">
      <c r="A8" s="77" t="s">
        <v>230</v>
      </c>
      <c r="B8" s="77">
        <v>2764</v>
      </c>
      <c r="C8" s="77">
        <v>310</v>
      </c>
      <c r="D8" s="77">
        <v>19</v>
      </c>
      <c r="E8" s="77">
        <f t="shared" ref="E8:E9" si="4">B8*C8/1000000</f>
        <v>0.85684000000000005</v>
      </c>
      <c r="F8" s="20"/>
      <c r="G8" s="7" t="s">
        <v>12</v>
      </c>
      <c r="H8" s="77">
        <f>ROUND(Q8+T8/Раскройка!$F$2,0)</f>
        <v>817</v>
      </c>
      <c r="I8" s="77" t="s">
        <v>41</v>
      </c>
      <c r="J8" s="77">
        <v>2</v>
      </c>
      <c r="K8" s="77" t="s">
        <v>39</v>
      </c>
      <c r="L8" s="77">
        <v>4</v>
      </c>
      <c r="M8" s="77">
        <f>E8*(0.25*(VLOOKUP(I8,Покрытия!$A$2:$B$40,2,FALSE)*J8+VLOOKUP(K8,Покрытия!$A$2:$B$40,2,FALSE)*L8)+H8)</f>
        <v>2113.8242800000003</v>
      </c>
      <c r="N8" s="77">
        <v>2</v>
      </c>
      <c r="O8" s="77">
        <f t="shared" ref="O8:O9" si="5">M8*N8</f>
        <v>4227.6485600000005</v>
      </c>
      <c r="P8" s="79"/>
      <c r="Q8" s="77">
        <f t="array" ref="Q8">INDEX(Материалы!$C$2:$C$50,MATCH(G8&amp;D8,Материалы!$A$2:$A$50&amp;Материалы!$B$2:$B$50,0))</f>
        <v>734</v>
      </c>
      <c r="R8" s="77">
        <f>FLOOR(Раскройка!$D$2/B8,1)*FLOOR(Раскройка!$C$2/C8,1)</f>
        <v>6</v>
      </c>
      <c r="S8" s="77">
        <f>MAX(Раскройка!$F$2-E8*R8,0)</f>
        <v>0.65895999999999955</v>
      </c>
      <c r="T8" s="77">
        <f t="shared" ref="T8:T9" si="6">Q8*S8</f>
        <v>483.67663999999968</v>
      </c>
      <c r="W8" s="78"/>
      <c r="X8" s="78"/>
      <c r="Y8" s="78"/>
    </row>
    <row r="9" spans="1:25" x14ac:dyDescent="0.25">
      <c r="A9" s="77" t="s">
        <v>108</v>
      </c>
      <c r="B9" s="77">
        <v>705</v>
      </c>
      <c r="C9" s="77">
        <v>640</v>
      </c>
      <c r="D9" s="77">
        <v>6</v>
      </c>
      <c r="E9" s="77">
        <f t="shared" si="4"/>
        <v>0.45119999999999999</v>
      </c>
      <c r="F9" s="20"/>
      <c r="G9" s="7" t="s">
        <v>3</v>
      </c>
      <c r="H9" s="77">
        <f>ROUND(Q9+T9/Раскройка!$F$2,0)</f>
        <v>135</v>
      </c>
      <c r="I9" s="77" t="s">
        <v>41</v>
      </c>
      <c r="J9" s="77">
        <v>2</v>
      </c>
      <c r="K9" s="77" t="s">
        <v>39</v>
      </c>
      <c r="L9" s="77">
        <v>4</v>
      </c>
      <c r="M9" s="77">
        <f>E9*(0.25*(VLOOKUP(I9,Покрытия!$A$2:$B$40,2,FALSE)*J9+VLOOKUP(K9,Покрытия!$A$2:$B$40,2,FALSE)*L9)+H9)</f>
        <v>805.39199999999994</v>
      </c>
      <c r="N9" s="77">
        <v>1</v>
      </c>
      <c r="O9" s="77">
        <f t="shared" si="5"/>
        <v>805.39199999999994</v>
      </c>
      <c r="P9" s="79"/>
      <c r="Q9" s="77">
        <f t="array" ref="Q9">INDEX(Материалы!$C$2:$C$50,MATCH(G9&amp;D9,Материалы!$A$2:$A$50&amp;Материалы!$B$2:$B$50,0))</f>
        <v>104</v>
      </c>
      <c r="R9" s="77">
        <f>FLOOR(Раскройка!$D$2/B9,1)*FLOOR(Раскройка!$C$2/C9,1)</f>
        <v>9</v>
      </c>
      <c r="S9" s="77">
        <f>MAX(Раскройка!$F$2-E9*R9,0)</f>
        <v>1.7392000000000003</v>
      </c>
      <c r="T9" s="77">
        <f t="shared" si="6"/>
        <v>180.87680000000003</v>
      </c>
      <c r="U9" s="78"/>
      <c r="V9" s="78"/>
    </row>
    <row r="10" spans="1:25" x14ac:dyDescent="0.25">
      <c r="A10" s="77" t="s">
        <v>230</v>
      </c>
      <c r="B10" s="77">
        <v>705</v>
      </c>
      <c r="C10" s="77">
        <v>310</v>
      </c>
      <c r="D10" s="77">
        <v>19</v>
      </c>
      <c r="E10" s="77">
        <f t="shared" ref="E10" si="7">B10*C10/1000000</f>
        <v>0.21854999999999999</v>
      </c>
      <c r="F10" s="20"/>
      <c r="G10" s="7" t="s">
        <v>12</v>
      </c>
      <c r="H10" s="77">
        <f>ROUND(Q10+T10/Раскройка!$F$2,0)</f>
        <v>970</v>
      </c>
      <c r="I10" s="77" t="s">
        <v>41</v>
      </c>
      <c r="J10" s="77">
        <v>2</v>
      </c>
      <c r="K10" s="77" t="s">
        <v>39</v>
      </c>
      <c r="L10" s="77">
        <v>4</v>
      </c>
      <c r="M10" s="77">
        <f>E10*(0.25*(VLOOKUP(I10,Покрытия!$A$2:$B$40,2,FALSE)*J10+VLOOKUP(K10,Покрытия!$A$2:$B$40,2,FALSE)*L10)+H10)</f>
        <v>572.601</v>
      </c>
      <c r="N10" s="77">
        <v>2</v>
      </c>
      <c r="O10" s="77">
        <f t="shared" ref="O10" si="8">M10*N10</f>
        <v>1145.202</v>
      </c>
      <c r="P10" s="79"/>
      <c r="Q10" s="77">
        <f t="array" ref="Q10">INDEX(Материалы!$C$2:$C$50,MATCH(G10&amp;D10,Материалы!$A$2:$A$50&amp;Материалы!$B$2:$B$50,0))</f>
        <v>734</v>
      </c>
      <c r="R10" s="77">
        <f>FLOOR(Раскройка!$D$2/B10,1)*FLOOR(Раскройка!$C$2/C10,1)</f>
        <v>18</v>
      </c>
      <c r="S10" s="77">
        <f>MAX(Раскройка!$F$2-E10*R10,0)</f>
        <v>1.8660999999999999</v>
      </c>
      <c r="T10" s="77">
        <f t="shared" ref="T10" si="9">Q10*S10</f>
        <v>1369.7174</v>
      </c>
      <c r="U10" s="78"/>
      <c r="V10" s="78"/>
    </row>
    <row r="11" spans="1:25" x14ac:dyDescent="0.25">
      <c r="A11" s="77" t="s">
        <v>113</v>
      </c>
      <c r="B11" s="77">
        <v>2764</v>
      </c>
      <c r="C11" s="77">
        <v>100</v>
      </c>
      <c r="D11" s="77">
        <v>19</v>
      </c>
      <c r="E11" s="77">
        <f t="shared" ref="E11" si="10">B11*C11/1000000</f>
        <v>0.27639999999999998</v>
      </c>
      <c r="F11" s="20"/>
      <c r="G11" s="7" t="s">
        <v>12</v>
      </c>
      <c r="H11" s="77">
        <f>ROUND(Q11+T11/Раскройка!$F$2,0)</f>
        <v>768</v>
      </c>
      <c r="I11" s="77" t="s">
        <v>41</v>
      </c>
      <c r="J11" s="77">
        <v>2</v>
      </c>
      <c r="K11" s="77" t="s">
        <v>39</v>
      </c>
      <c r="L11" s="77">
        <v>4</v>
      </c>
      <c r="M11" s="77">
        <f>E11*(0.25*(VLOOKUP(I11,Покрытия!$A$2:$B$40,2,FALSE)*J11+VLOOKUP(K11,Покрытия!$A$2:$B$40,2,FALSE)*L11)+H11)</f>
        <v>668.33519999999999</v>
      </c>
      <c r="N11" s="77">
        <v>2</v>
      </c>
      <c r="O11" s="77">
        <f t="shared" ref="O11" si="11">M11*N11</f>
        <v>1336.6704</v>
      </c>
      <c r="P11" s="79"/>
      <c r="Q11" s="77">
        <f t="array" ref="Q11">INDEX(Материалы!$C$2:$C$50,MATCH(G11&amp;D11,Материалы!$A$2:$A$50&amp;Материалы!$B$2:$B$50,0))</f>
        <v>734</v>
      </c>
      <c r="R11" s="77">
        <f>FLOOR(Раскройка!$D$2/B11,1)*FLOOR(Раскройка!$C$2/C11,1)</f>
        <v>20</v>
      </c>
      <c r="S11" s="77">
        <f>MAX(Раскройка!$F$2-E11*R11,0)</f>
        <v>0.27200000000000024</v>
      </c>
      <c r="T11" s="77">
        <f t="shared" ref="T11" si="12">Q11*S11</f>
        <v>199.64800000000017</v>
      </c>
      <c r="U11" s="78"/>
      <c r="V11" s="78"/>
    </row>
    <row r="12" spans="1:25" x14ac:dyDescent="0.25">
      <c r="A12" s="77" t="s">
        <v>113</v>
      </c>
      <c r="B12" s="77">
        <v>705</v>
      </c>
      <c r="C12" s="77">
        <v>100</v>
      </c>
      <c r="D12" s="77">
        <v>19</v>
      </c>
      <c r="E12" s="77">
        <f t="shared" ref="E12:E14" si="13">B12*C12/1000000</f>
        <v>7.0499999999999993E-2</v>
      </c>
      <c r="F12" s="20"/>
      <c r="G12" s="7" t="s">
        <v>12</v>
      </c>
      <c r="H12" s="77">
        <f>ROUND(Q12+T12/Раскройка!$F$2,0)</f>
        <v>933</v>
      </c>
      <c r="I12" s="77" t="s">
        <v>41</v>
      </c>
      <c r="J12" s="77">
        <v>2</v>
      </c>
      <c r="K12" s="77" t="s">
        <v>39</v>
      </c>
      <c r="L12" s="77">
        <v>4</v>
      </c>
      <c r="M12" s="77">
        <f>E12*(0.25*(VLOOKUP(I12,Покрытия!$A$2:$B$40,2,FALSE)*J12+VLOOKUP(K12,Покрытия!$A$2:$B$40,2,FALSE)*L12)+H12)</f>
        <v>182.10149999999999</v>
      </c>
      <c r="N12" s="77">
        <v>2</v>
      </c>
      <c r="O12" s="77">
        <f t="shared" ref="O12:O14" si="14">M12*N12</f>
        <v>364.20299999999997</v>
      </c>
      <c r="P12" s="79"/>
      <c r="Q12" s="77">
        <f t="array" ref="Q12">INDEX(Материалы!$C$2:$C$50,MATCH(G12&amp;D12,Материалы!$A$2:$A$50&amp;Материалы!$B$2:$B$50,0))</f>
        <v>734</v>
      </c>
      <c r="R12" s="77">
        <f>FLOOR(Раскройка!$D$2/B12,1)*FLOOR(Раскройка!$C$2/C12,1)</f>
        <v>60</v>
      </c>
      <c r="S12" s="77">
        <f>MAX(Раскройка!$F$2-E12*R12,0)</f>
        <v>1.5700000000000003</v>
      </c>
      <c r="T12" s="77">
        <f t="shared" ref="T12:T14" si="15">Q12*S12</f>
        <v>1152.3800000000001</v>
      </c>
      <c r="U12" s="78"/>
      <c r="V12" s="78"/>
    </row>
    <row r="13" spans="1:25" x14ac:dyDescent="0.25">
      <c r="A13" s="77" t="s">
        <v>231</v>
      </c>
      <c r="B13" s="77">
        <v>3674</v>
      </c>
      <c r="C13" s="77">
        <v>50</v>
      </c>
      <c r="D13" s="77">
        <v>19</v>
      </c>
      <c r="E13" s="77">
        <f t="shared" si="13"/>
        <v>0.1837</v>
      </c>
      <c r="F13" s="20"/>
      <c r="G13" s="7" t="s">
        <v>12</v>
      </c>
      <c r="H13" s="77">
        <f>ROUND(Q13+T13/Раскройка!$F$2,0)</f>
        <v>1468</v>
      </c>
      <c r="I13" s="77" t="s">
        <v>41</v>
      </c>
      <c r="J13" s="77">
        <v>2</v>
      </c>
      <c r="K13" s="77" t="s">
        <v>39</v>
      </c>
      <c r="L13" s="77">
        <v>4</v>
      </c>
      <c r="M13" s="77">
        <f>E13*(0.25*(VLOOKUP(I13,Покрытия!$A$2:$B$40,2,FALSE)*J13+VLOOKUP(K13,Покрытия!$A$2:$B$40,2,FALSE)*L13)+H13)</f>
        <v>572.77660000000003</v>
      </c>
      <c r="N13" s="77">
        <v>1</v>
      </c>
      <c r="O13" s="77">
        <f t="shared" si="14"/>
        <v>572.77660000000003</v>
      </c>
      <c r="P13" s="79"/>
      <c r="Q13" s="77">
        <f t="array" ref="Q13">INDEX(Материалы!$C$2:$C$50,MATCH(G13&amp;D13,Материалы!$A$2:$A$50&amp;Материалы!$B$2:$B$50,0))</f>
        <v>734</v>
      </c>
      <c r="R13" s="77">
        <f>FLOOR(Раскройка!$D$2/B13,1)*FLOOR(Раскройка!$C$2/C13,1)</f>
        <v>0</v>
      </c>
      <c r="S13" s="77">
        <f>MAX(Раскройка!$F$2-E13*R13,0)</f>
        <v>5.8</v>
      </c>
      <c r="T13" s="77">
        <f t="shared" si="15"/>
        <v>4257.2</v>
      </c>
      <c r="U13" s="78"/>
    </row>
    <row r="14" spans="1:25" x14ac:dyDescent="0.25">
      <c r="A14" s="77" t="s">
        <v>232</v>
      </c>
      <c r="B14" s="77">
        <v>248</v>
      </c>
      <c r="C14" s="77">
        <v>50</v>
      </c>
      <c r="D14" s="77">
        <v>19</v>
      </c>
      <c r="E14" s="77">
        <f t="shared" si="13"/>
        <v>1.24E-2</v>
      </c>
      <c r="F14" s="20"/>
      <c r="G14" s="7" t="s">
        <v>12</v>
      </c>
      <c r="H14" s="77">
        <f>ROUND(Q14+T14/Раскройка!$F$2,0)</f>
        <v>760</v>
      </c>
      <c r="I14" s="77" t="s">
        <v>41</v>
      </c>
      <c r="J14" s="77">
        <v>2</v>
      </c>
      <c r="K14" s="77" t="s">
        <v>39</v>
      </c>
      <c r="L14" s="77">
        <v>4</v>
      </c>
      <c r="M14" s="77">
        <f>E14*(0.25*(VLOOKUP(I14,Покрытия!$A$2:$B$40,2,FALSE)*J14+VLOOKUP(K14,Покрытия!$A$2:$B$40,2,FALSE)*L14)+H14)</f>
        <v>29.884</v>
      </c>
      <c r="N14" s="77">
        <v>6</v>
      </c>
      <c r="O14" s="77">
        <f t="shared" si="14"/>
        <v>179.304</v>
      </c>
      <c r="P14" s="79"/>
      <c r="Q14" s="77">
        <f t="array" ref="Q14">INDEX(Материалы!$C$2:$C$50,MATCH(G14&amp;D14,Материалы!$A$2:$A$50&amp;Материалы!$B$2:$B$50,0))</f>
        <v>734</v>
      </c>
      <c r="R14" s="77">
        <f>FLOOR(Раскройка!$D$2/B14,1)*FLOOR(Раскройка!$C$2/C14,1)</f>
        <v>451</v>
      </c>
      <c r="S14" s="77">
        <f>MAX(Раскройка!$F$2-E14*R14,0)</f>
        <v>0.20760000000000023</v>
      </c>
      <c r="T14" s="77">
        <f t="shared" si="15"/>
        <v>152.37840000000017</v>
      </c>
      <c r="U14" s="78"/>
    </row>
    <row r="15" spans="1:25" x14ac:dyDescent="0.25">
      <c r="A15" s="77" t="s">
        <v>233</v>
      </c>
      <c r="B15" s="77">
        <v>3674</v>
      </c>
      <c r="C15" s="77">
        <v>248</v>
      </c>
      <c r="D15" s="77">
        <v>19</v>
      </c>
      <c r="E15" s="77">
        <f t="shared" ref="E15:E16" si="16">B15*C15/1000000</f>
        <v>0.91115199999999996</v>
      </c>
      <c r="F15" s="20"/>
      <c r="G15" s="7" t="s">
        <v>12</v>
      </c>
      <c r="H15" s="77">
        <f>ROUND(Q15+T15/Раскройка!$F$2,0)</f>
        <v>1468</v>
      </c>
      <c r="I15" s="77" t="s">
        <v>41</v>
      </c>
      <c r="J15" s="77">
        <v>2</v>
      </c>
      <c r="K15" s="77" t="s">
        <v>39</v>
      </c>
      <c r="L15" s="77">
        <v>4</v>
      </c>
      <c r="M15" s="77">
        <f>E15*(0.25*(VLOOKUP(I15,Покрытия!$A$2:$B$40,2,FALSE)*J15+VLOOKUP(K15,Покрытия!$A$2:$B$40,2,FALSE)*L15)+H15)</f>
        <v>2840.9719359999999</v>
      </c>
      <c r="N15" s="77">
        <v>1</v>
      </c>
      <c r="O15" s="77">
        <f t="shared" ref="O15:O16" si="17">M15*N15</f>
        <v>2840.9719359999999</v>
      </c>
      <c r="P15" s="79"/>
      <c r="Q15" s="77">
        <f t="array" ref="Q15">INDEX(Материалы!$C$2:$C$50,MATCH(G15&amp;D15,Материалы!$A$2:$A$50&amp;Материалы!$B$2:$B$50,0))</f>
        <v>734</v>
      </c>
      <c r="R15" s="77">
        <f>FLOOR(Раскройка!$D$2/B15,1)*FLOOR(Раскройка!$C$2/C15,1)</f>
        <v>0</v>
      </c>
      <c r="S15" s="77">
        <f>MAX(Раскройка!$F$2-E15*R15,0)</f>
        <v>5.8</v>
      </c>
      <c r="T15" s="77">
        <f t="shared" ref="T15:T16" si="18">Q15*S15</f>
        <v>4257.2</v>
      </c>
    </row>
    <row r="16" spans="1:25" x14ac:dyDescent="0.25">
      <c r="A16" s="80" t="s">
        <v>231</v>
      </c>
      <c r="B16" s="80">
        <v>3674</v>
      </c>
      <c r="C16" s="80">
        <v>130</v>
      </c>
      <c r="D16" s="80">
        <v>19</v>
      </c>
      <c r="E16" s="80">
        <f t="shared" si="16"/>
        <v>0.47761999999999999</v>
      </c>
      <c r="F16" s="20"/>
      <c r="G16" s="7" t="s">
        <v>12</v>
      </c>
      <c r="H16" s="80">
        <f>ROUND(Q16+T16/Раскройка!$F$2,0)</f>
        <v>1468</v>
      </c>
      <c r="I16" s="80" t="s">
        <v>41</v>
      </c>
      <c r="J16" s="80">
        <v>2</v>
      </c>
      <c r="K16" s="80" t="s">
        <v>39</v>
      </c>
      <c r="L16" s="80">
        <v>4</v>
      </c>
      <c r="M16" s="80">
        <f>E16*(0.25*(VLOOKUP(I16,Покрытия!$A$2:$B$40,2,FALSE)*J16+VLOOKUP(K16,Покрытия!$A$2:$B$40,2,FALSE)*L16)+H16)</f>
        <v>1489.2191599999999</v>
      </c>
      <c r="N16" s="80">
        <v>1</v>
      </c>
      <c r="O16" s="80">
        <f t="shared" si="17"/>
        <v>1489.2191599999999</v>
      </c>
      <c r="P16" s="81"/>
      <c r="Q16" s="80">
        <f t="array" ref="Q16">INDEX(Материалы!$C$2:$C$50,MATCH(G16&amp;D16,Материалы!$A$2:$A$50&amp;Материалы!$B$2:$B$50,0))</f>
        <v>734</v>
      </c>
      <c r="R16" s="80">
        <f>FLOOR(Раскройка!$D$2/B16,1)*FLOOR(Раскройка!$C$2/C16,1)</f>
        <v>0</v>
      </c>
      <c r="S16" s="80">
        <f>MAX(Раскройка!$F$2-E16*R16,0)</f>
        <v>5.8</v>
      </c>
      <c r="T16" s="80">
        <f t="shared" si="18"/>
        <v>4257.2</v>
      </c>
      <c r="U16" s="78"/>
      <c r="V16" s="78"/>
      <c r="W16" s="78"/>
    </row>
    <row r="17" spans="1:25" x14ac:dyDescent="0.25">
      <c r="A17" s="80" t="s">
        <v>234</v>
      </c>
      <c r="B17" s="80">
        <v>3674</v>
      </c>
      <c r="C17" s="80">
        <v>85</v>
      </c>
      <c r="D17" s="80">
        <v>12</v>
      </c>
      <c r="E17" s="80">
        <f t="shared" ref="E17" si="19">B17*C17/1000000</f>
        <v>0.31229000000000001</v>
      </c>
      <c r="F17" s="20"/>
      <c r="G17" s="7" t="s">
        <v>12</v>
      </c>
      <c r="H17" s="80">
        <f>ROUND(Q17+T17/Раскройка!$F$2,0)</f>
        <v>984</v>
      </c>
      <c r="I17" s="80" t="s">
        <v>41</v>
      </c>
      <c r="J17" s="80">
        <v>2</v>
      </c>
      <c r="K17" s="80" t="s">
        <v>39</v>
      </c>
      <c r="L17" s="80">
        <v>4</v>
      </c>
      <c r="M17" s="80">
        <f>E17*(0.25*(VLOOKUP(I17,Покрытия!$A$2:$B$40,2,FALSE)*J17+VLOOKUP(K17,Покрытия!$A$2:$B$40,2,FALSE)*L17)+H17)</f>
        <v>822.57186000000002</v>
      </c>
      <c r="N17" s="80">
        <v>1</v>
      </c>
      <c r="O17" s="80">
        <f t="shared" ref="O17" si="20">M17*N17</f>
        <v>822.57186000000002</v>
      </c>
      <c r="P17" s="81"/>
      <c r="Q17" s="80">
        <f t="array" ref="Q17">INDEX(Материалы!$C$2:$C$50,MATCH(G17&amp;D17,Материалы!$A$2:$A$50&amp;Материалы!$B$2:$B$50,0))</f>
        <v>492</v>
      </c>
      <c r="R17" s="80">
        <f>FLOOR(Раскройка!$D$2/B17,1)*FLOOR(Раскройка!$C$2/C17,1)</f>
        <v>0</v>
      </c>
      <c r="S17" s="80">
        <f>MAX(Раскройка!$F$2-E17*R17,0)</f>
        <v>5.8</v>
      </c>
      <c r="T17" s="80">
        <f t="shared" ref="T17" si="21">Q17*S17</f>
        <v>2853.6</v>
      </c>
      <c r="U17" s="78"/>
      <c r="V17" s="78"/>
    </row>
    <row r="18" spans="1:25" x14ac:dyDescent="0.25">
      <c r="A18" s="80" t="s">
        <v>109</v>
      </c>
      <c r="B18" s="80">
        <v>640</v>
      </c>
      <c r="C18" s="80">
        <v>310</v>
      </c>
      <c r="D18" s="80">
        <v>19</v>
      </c>
      <c r="E18" s="80">
        <f t="shared" ref="E18" si="22">B18*C18/1000000</f>
        <v>0.19839999999999999</v>
      </c>
      <c r="F18" s="20"/>
      <c r="G18" s="7" t="s">
        <v>12</v>
      </c>
      <c r="H18" s="80">
        <f>ROUND(Q18+T18/Раскройка!$F$2,0)</f>
        <v>865</v>
      </c>
      <c r="I18" s="80" t="s">
        <v>41</v>
      </c>
      <c r="J18" s="80">
        <v>2</v>
      </c>
      <c r="K18" s="80" t="s">
        <v>39</v>
      </c>
      <c r="L18" s="80">
        <v>4</v>
      </c>
      <c r="M18" s="80">
        <f>E18*(0.25*(VLOOKUP(I18,Покрытия!$A$2:$B$40,2,FALSE)*J18+VLOOKUP(K18,Покрытия!$A$2:$B$40,2,FALSE)*L18)+H18)</f>
        <v>498.976</v>
      </c>
      <c r="N18" s="80">
        <v>4</v>
      </c>
      <c r="O18" s="80">
        <f t="shared" ref="O18" si="23">M18*N18</f>
        <v>1995.904</v>
      </c>
      <c r="P18" s="81"/>
      <c r="Q18" s="80">
        <f t="array" ref="Q18">INDEX(Материалы!$C$2:$C$50,MATCH(G18&amp;D18,Материалы!$A$2:$A$50&amp;Материалы!$B$2:$B$50,0))</f>
        <v>734</v>
      </c>
      <c r="R18" s="80">
        <f>FLOOR(Раскройка!$D$2/B18,1)*FLOOR(Раскройка!$C$2/C18,1)</f>
        <v>24</v>
      </c>
      <c r="S18" s="80">
        <f>MAX(Раскройка!$F$2-E18*R18,0)</f>
        <v>1.0384000000000002</v>
      </c>
      <c r="T18" s="80">
        <f t="shared" ref="T18" si="24">Q18*S18</f>
        <v>762.18560000000014</v>
      </c>
      <c r="U18" s="78"/>
      <c r="V18" s="78"/>
      <c r="W18" s="78"/>
    </row>
    <row r="19" spans="1:25" x14ac:dyDescent="0.25">
      <c r="A19" s="80" t="s">
        <v>109</v>
      </c>
      <c r="B19" s="80">
        <v>640</v>
      </c>
      <c r="C19" s="80">
        <v>310</v>
      </c>
      <c r="D19" s="80">
        <v>16</v>
      </c>
      <c r="E19" s="80">
        <f t="shared" ref="E19" si="25">B19*C19/1000000</f>
        <v>0.19839999999999999</v>
      </c>
      <c r="F19" s="20"/>
      <c r="G19" s="7" t="s">
        <v>12</v>
      </c>
      <c r="H19" s="80">
        <f>ROUND(Q19+T19/Раскройка!$F$2,0)</f>
        <v>762</v>
      </c>
      <c r="I19" s="80" t="s">
        <v>41</v>
      </c>
      <c r="J19" s="80">
        <v>0</v>
      </c>
      <c r="K19" s="80" t="s">
        <v>39</v>
      </c>
      <c r="L19" s="80">
        <v>0</v>
      </c>
      <c r="M19" s="80">
        <f>E19*(0.25*(VLOOKUP(I19,Покрытия!$A$2:$B$40,2,FALSE)*J19+VLOOKUP(K19,Покрытия!$A$2:$B$40,2,FALSE)*L19)+H19)</f>
        <v>151.1808</v>
      </c>
      <c r="N19" s="80">
        <v>6</v>
      </c>
      <c r="O19" s="80">
        <f t="shared" ref="O19" si="26">M19*N19</f>
        <v>907.08480000000009</v>
      </c>
      <c r="P19" s="81"/>
      <c r="Q19" s="80">
        <f t="array" ref="Q19">INDEX(Материалы!$C$2:$C$50,MATCH(G19&amp;D19,Материалы!$A$2:$A$50&amp;Материалы!$B$2:$B$50,0))</f>
        <v>646</v>
      </c>
      <c r="R19" s="80">
        <f>FLOOR(Раскройка!$D$2/B19,1)*FLOOR(Раскройка!$C$2/C19,1)</f>
        <v>24</v>
      </c>
      <c r="S19" s="80">
        <f>MAX(Раскройка!$F$2-E19*R19,0)</f>
        <v>1.0384000000000002</v>
      </c>
      <c r="T19" s="80">
        <f t="shared" ref="T19" si="27">Q19*S19</f>
        <v>670.80640000000017</v>
      </c>
      <c r="U19" s="78"/>
    </row>
    <row r="20" spans="1:25" x14ac:dyDescent="0.25">
      <c r="A20" s="80" t="s">
        <v>109</v>
      </c>
      <c r="B20" s="80">
        <v>640</v>
      </c>
      <c r="C20" s="80">
        <v>310</v>
      </c>
      <c r="D20" s="80">
        <v>6</v>
      </c>
      <c r="E20" s="80">
        <f t="shared" ref="E20:E21" si="28">B20*C20/1000000</f>
        <v>0.19839999999999999</v>
      </c>
      <c r="F20" s="20"/>
      <c r="G20" s="7" t="s">
        <v>3</v>
      </c>
      <c r="H20" s="80">
        <f>ROUND(Q20+T20/Раскройка!$F$2,0)</f>
        <v>123</v>
      </c>
      <c r="I20" s="80" t="s">
        <v>41</v>
      </c>
      <c r="J20" s="80">
        <v>2</v>
      </c>
      <c r="K20" s="80" t="s">
        <v>39</v>
      </c>
      <c r="L20" s="80">
        <v>4</v>
      </c>
      <c r="M20" s="80">
        <f>E20*(0.25*(VLOOKUP(I20,Покрытия!$A$2:$B$40,2,FALSE)*J20+VLOOKUP(K20,Покрытия!$A$2:$B$40,2,FALSE)*L20)+H20)</f>
        <v>351.76319999999998</v>
      </c>
      <c r="N20" s="80">
        <v>12</v>
      </c>
      <c r="O20" s="80">
        <f t="shared" ref="O20:O21" si="29">M20*N20</f>
        <v>4221.1584000000003</v>
      </c>
      <c r="P20" s="81"/>
      <c r="Q20" s="80">
        <f t="array" ref="Q20">INDEX(Материалы!$C$2:$C$50,MATCH(G20&amp;D20,Материалы!$A$2:$A$50&amp;Материалы!$B$2:$B$50,0))</f>
        <v>104</v>
      </c>
      <c r="R20" s="80">
        <f>FLOOR(Раскройка!$D$2/B20,1)*FLOOR(Раскройка!$C$2/C20,1)</f>
        <v>24</v>
      </c>
      <c r="S20" s="80">
        <f>MAX(Раскройка!$F$2-E20*R20,0)</f>
        <v>1.0384000000000002</v>
      </c>
      <c r="T20" s="80">
        <f t="shared" ref="T20:T21" si="30">Q20*S20</f>
        <v>107.99360000000001</v>
      </c>
      <c r="U20" s="78"/>
      <c r="V20" s="78"/>
      <c r="W20" s="78"/>
    </row>
    <row r="21" spans="1:25" x14ac:dyDescent="0.25">
      <c r="A21" s="80" t="s">
        <v>235</v>
      </c>
      <c r="B21" s="80">
        <v>640</v>
      </c>
      <c r="C21" s="80">
        <v>180</v>
      </c>
      <c r="D21" s="80">
        <v>16</v>
      </c>
      <c r="E21" s="80">
        <f t="shared" si="28"/>
        <v>0.1152</v>
      </c>
      <c r="F21" s="20"/>
      <c r="G21" s="7" t="s">
        <v>12</v>
      </c>
      <c r="H21" s="80">
        <f>ROUND(Q21+T21/Раскройка!$F$2,0)</f>
        <v>727</v>
      </c>
      <c r="I21" s="80" t="s">
        <v>41</v>
      </c>
      <c r="J21" s="80">
        <v>2</v>
      </c>
      <c r="K21" s="80" t="s">
        <v>39</v>
      </c>
      <c r="L21" s="80">
        <v>4</v>
      </c>
      <c r="M21" s="80">
        <f>E21*(0.25*(VLOOKUP(I21,Покрытия!$A$2:$B$40,2,FALSE)*J21+VLOOKUP(K21,Покрытия!$A$2:$B$40,2,FALSE)*L21)+H21)</f>
        <v>273.8304</v>
      </c>
      <c r="N21" s="80">
        <v>2</v>
      </c>
      <c r="O21" s="80">
        <f t="shared" si="29"/>
        <v>547.66079999999999</v>
      </c>
      <c r="P21" s="81"/>
      <c r="Q21" s="80">
        <f t="array" ref="Q21">INDEX(Материалы!$C$2:$C$50,MATCH(G21&amp;D21,Материалы!$A$2:$A$50&amp;Материалы!$B$2:$B$50,0))</f>
        <v>646</v>
      </c>
      <c r="R21" s="80">
        <f>FLOOR(Раскройка!$D$2/B21,1)*FLOOR(Раскройка!$C$2/C21,1)</f>
        <v>44</v>
      </c>
      <c r="S21" s="80">
        <f>MAX(Раскройка!$F$2-E21*R21,0)</f>
        <v>0.73120000000000029</v>
      </c>
      <c r="T21" s="80">
        <f t="shared" si="30"/>
        <v>472.3552000000002</v>
      </c>
      <c r="U21" s="78"/>
      <c r="V21" s="78"/>
      <c r="W21" s="78"/>
      <c r="X21" s="78"/>
      <c r="Y21" s="78"/>
    </row>
    <row r="22" spans="1:25" x14ac:dyDescent="0.25">
      <c r="A22" s="80" t="s">
        <v>128</v>
      </c>
      <c r="B22" s="80">
        <v>310</v>
      </c>
      <c r="C22" s="80">
        <v>180</v>
      </c>
      <c r="D22" s="80">
        <v>16</v>
      </c>
      <c r="E22" s="80">
        <f t="shared" ref="E22:E25" si="31">B22*C22/1000000</f>
        <v>5.5800000000000002E-2</v>
      </c>
      <c r="F22" s="20"/>
      <c r="G22" s="7" t="s">
        <v>12</v>
      </c>
      <c r="H22" s="80">
        <f>ROUND(Q22+T22/Раскройка!$F$2,0)</f>
        <v>677</v>
      </c>
      <c r="I22" s="80" t="s">
        <v>41</v>
      </c>
      <c r="J22" s="80">
        <v>2</v>
      </c>
      <c r="K22" s="80" t="s">
        <v>39</v>
      </c>
      <c r="L22" s="80">
        <v>4</v>
      </c>
      <c r="M22" s="80">
        <f>E22*(0.25*(VLOOKUP(I22,Покрытия!$A$2:$B$40,2,FALSE)*J22+VLOOKUP(K22,Покрытия!$A$2:$B$40,2,FALSE)*L22)+H22)</f>
        <v>129.8466</v>
      </c>
      <c r="N22" s="80">
        <v>2</v>
      </c>
      <c r="O22" s="80">
        <f t="shared" ref="O22:O25" si="32">M22*N22</f>
        <v>259.69319999999999</v>
      </c>
      <c r="P22" s="81"/>
      <c r="Q22" s="80">
        <f t="array" ref="Q22">INDEX(Материалы!$C$2:$C$50,MATCH(G22&amp;D22,Материалы!$A$2:$A$50&amp;Материалы!$B$2:$B$50,0))</f>
        <v>646</v>
      </c>
      <c r="R22" s="80">
        <f>FLOOR(Раскройка!$D$2/B22,1)*FLOOR(Раскройка!$C$2/C22,1)</f>
        <v>99</v>
      </c>
      <c r="S22" s="80">
        <f>MAX(Раскройка!$F$2-E22*R22,0)</f>
        <v>0.27579999999999938</v>
      </c>
      <c r="T22" s="80">
        <f t="shared" ref="T22:T25" si="33">Q22*S22</f>
        <v>178.1667999999996</v>
      </c>
      <c r="U22" s="78"/>
      <c r="V22" s="78"/>
    </row>
    <row r="23" spans="1:25" x14ac:dyDescent="0.25">
      <c r="A23" s="80" t="s">
        <v>127</v>
      </c>
      <c r="B23" s="80">
        <v>640</v>
      </c>
      <c r="C23" s="80">
        <v>310</v>
      </c>
      <c r="D23" s="80">
        <v>6</v>
      </c>
      <c r="E23" s="80">
        <f t="shared" si="31"/>
        <v>0.19839999999999999</v>
      </c>
      <c r="F23" s="20"/>
      <c r="G23" s="7" t="s">
        <v>3</v>
      </c>
      <c r="H23" s="80">
        <f>ROUND(Q23+T23/Раскройка!$F$2,0)</f>
        <v>123</v>
      </c>
      <c r="I23" s="80" t="s">
        <v>41</v>
      </c>
      <c r="J23" s="80">
        <v>2</v>
      </c>
      <c r="K23" s="80" t="s">
        <v>39</v>
      </c>
      <c r="L23" s="80">
        <v>4</v>
      </c>
      <c r="M23" s="80">
        <f>E23*(0.25*(VLOOKUP(I23,Покрытия!$A$2:$B$40,2,FALSE)*J23+VLOOKUP(K23,Покрытия!$A$2:$B$40,2,FALSE)*L23)+H23)</f>
        <v>351.76319999999998</v>
      </c>
      <c r="N23" s="80">
        <v>1</v>
      </c>
      <c r="O23" s="80">
        <f t="shared" si="32"/>
        <v>351.76319999999998</v>
      </c>
      <c r="P23" s="81"/>
      <c r="Q23" s="80">
        <f t="array" ref="Q23">INDEX(Материалы!$C$2:$C$50,MATCH(G23&amp;D23,Материалы!$A$2:$A$50&amp;Материалы!$B$2:$B$50,0))</f>
        <v>104</v>
      </c>
      <c r="R23" s="80">
        <f>FLOOR(Раскройка!$D$2/B23,1)*FLOOR(Раскройка!$C$2/C23,1)</f>
        <v>24</v>
      </c>
      <c r="S23" s="80">
        <f>MAX(Раскройка!$F$2-E23*R23,0)</f>
        <v>1.0384000000000002</v>
      </c>
      <c r="T23" s="80">
        <f t="shared" si="33"/>
        <v>107.99360000000001</v>
      </c>
      <c r="U23" s="78"/>
      <c r="V23" s="78"/>
    </row>
    <row r="24" spans="1:25" x14ac:dyDescent="0.25">
      <c r="A24" s="83" t="s">
        <v>244</v>
      </c>
      <c r="B24" s="83">
        <v>3674</v>
      </c>
      <c r="C24" s="83">
        <v>60</v>
      </c>
      <c r="D24" s="83">
        <v>25</v>
      </c>
      <c r="E24" s="83">
        <f t="shared" si="31"/>
        <v>0.22044</v>
      </c>
      <c r="F24" s="20"/>
      <c r="G24" s="7" t="s">
        <v>12</v>
      </c>
      <c r="H24" s="83">
        <f>ROUND(Q24+T24/Раскройка!$F$2,0)</f>
        <v>1932</v>
      </c>
      <c r="I24" s="83" t="s">
        <v>41</v>
      </c>
      <c r="J24" s="83">
        <v>2</v>
      </c>
      <c r="K24" s="83" t="s">
        <v>39</v>
      </c>
      <c r="L24" s="83">
        <v>4</v>
      </c>
      <c r="M24" s="83">
        <f>E24*(0.25*(VLOOKUP(I24,Покрытия!$A$2:$B$40,2,FALSE)*J24+VLOOKUP(K24,Покрытия!$A$2:$B$40,2,FALSE)*L24)+H24)</f>
        <v>789.61608000000001</v>
      </c>
      <c r="N24" s="83">
        <v>2</v>
      </c>
      <c r="O24" s="83">
        <f t="shared" si="32"/>
        <v>1579.23216</v>
      </c>
      <c r="P24" s="84"/>
      <c r="Q24" s="83">
        <f t="array" ref="Q24">INDEX(Материалы!$C$2:$C$50,MATCH(G24&amp;D24,Материалы!$A$2:$A$50&amp;Материалы!$B$2:$B$50,0))</f>
        <v>966</v>
      </c>
      <c r="R24" s="83">
        <f>FLOOR(Раскройка!$D$2/B24,1)*FLOOR(Раскройка!$C$2/C24,1)</f>
        <v>0</v>
      </c>
      <c r="S24" s="83">
        <f>MAX(Раскройка!$F$2-E24*R24,0)</f>
        <v>5.8</v>
      </c>
      <c r="T24" s="83">
        <f t="shared" si="33"/>
        <v>5602.8</v>
      </c>
      <c r="U24" s="78"/>
    </row>
    <row r="25" spans="1:25" x14ac:dyDescent="0.25">
      <c r="A25" s="83" t="s">
        <v>245</v>
      </c>
      <c r="B25" s="83">
        <v>640</v>
      </c>
      <c r="C25" s="83">
        <v>60</v>
      </c>
      <c r="D25" s="83">
        <v>25</v>
      </c>
      <c r="E25" s="83">
        <f t="shared" si="31"/>
        <v>3.8399999999999997E-2</v>
      </c>
      <c r="F25" s="20"/>
      <c r="G25" s="7" t="s">
        <v>12</v>
      </c>
      <c r="H25" s="83">
        <f>ROUND(Q25+T25/Раскройка!$F$2,0)</f>
        <v>1062</v>
      </c>
      <c r="I25" s="83" t="s">
        <v>41</v>
      </c>
      <c r="J25" s="83">
        <v>2</v>
      </c>
      <c r="K25" s="83" t="s">
        <v>39</v>
      </c>
      <c r="L25" s="83">
        <v>4</v>
      </c>
      <c r="M25" s="83">
        <f>E25*(0.25*(VLOOKUP(I25,Покрытия!$A$2:$B$40,2,FALSE)*J25+VLOOKUP(K25,Покрытия!$A$2:$B$40,2,FALSE)*L25)+H25)</f>
        <v>104.14079999999998</v>
      </c>
      <c r="N25" s="83">
        <v>8</v>
      </c>
      <c r="O25" s="83">
        <f t="shared" si="32"/>
        <v>833.12639999999988</v>
      </c>
      <c r="P25" s="84"/>
      <c r="Q25" s="83">
        <f t="array" ref="Q25">INDEX(Материалы!$C$2:$C$50,MATCH(G25&amp;D25,Материалы!$A$2:$A$50&amp;Материалы!$B$2:$B$50,0))</f>
        <v>966</v>
      </c>
      <c r="R25" s="83">
        <f>FLOOR(Раскройка!$D$2/B25,1)*FLOOR(Раскройка!$C$2/C25,1)</f>
        <v>136</v>
      </c>
      <c r="S25" s="83">
        <f>MAX(Раскройка!$F$2-E25*R25,0)</f>
        <v>0.57760000000000034</v>
      </c>
      <c r="T25" s="83">
        <f t="shared" si="33"/>
        <v>557.96160000000032</v>
      </c>
      <c r="U25" s="78"/>
    </row>
    <row r="26" spans="1:25" x14ac:dyDescent="0.25">
      <c r="A26" s="83" t="s">
        <v>246</v>
      </c>
      <c r="B26" s="83">
        <v>640</v>
      </c>
      <c r="C26" s="83">
        <v>60</v>
      </c>
      <c r="D26" s="83">
        <v>19</v>
      </c>
      <c r="E26" s="83">
        <f t="shared" ref="E26" si="34">B26*C26/1000000</f>
        <v>3.8399999999999997E-2</v>
      </c>
      <c r="F26" s="20"/>
      <c r="G26" s="7" t="s">
        <v>12</v>
      </c>
      <c r="H26" s="83">
        <f>ROUND(Q26+T26/Раскройка!$F$2,0)</f>
        <v>807</v>
      </c>
      <c r="I26" s="83" t="s">
        <v>41</v>
      </c>
      <c r="J26" s="83">
        <v>2</v>
      </c>
      <c r="K26" s="83" t="s">
        <v>39</v>
      </c>
      <c r="L26" s="83">
        <v>4</v>
      </c>
      <c r="M26" s="83">
        <f>E26*(0.25*(VLOOKUP(I26,Покрытия!$A$2:$B$40,2,FALSE)*J26+VLOOKUP(K26,Покрытия!$A$2:$B$40,2,FALSE)*L26)+H26)</f>
        <v>94.348799999999997</v>
      </c>
      <c r="N26" s="83">
        <v>9</v>
      </c>
      <c r="O26" s="83">
        <f t="shared" ref="O26" si="35">M26*N26</f>
        <v>849.13919999999996</v>
      </c>
      <c r="P26" s="84"/>
      <c r="Q26" s="83">
        <f t="array" ref="Q26">INDEX(Материалы!$C$2:$C$50,MATCH(G26&amp;D26,Материалы!$A$2:$A$50&amp;Материалы!$B$2:$B$50,0))</f>
        <v>734</v>
      </c>
      <c r="R26" s="83">
        <f>FLOOR(Раскройка!$D$2/B26,1)*FLOOR(Раскройка!$C$2/C26,1)</f>
        <v>136</v>
      </c>
      <c r="S26" s="83">
        <f>MAX(Раскройка!$F$2-E26*R26,0)</f>
        <v>0.57760000000000034</v>
      </c>
      <c r="T26" s="83">
        <f t="shared" ref="T26" si="36">Q26*S26</f>
        <v>423.95840000000027</v>
      </c>
    </row>
    <row r="27" spans="1:25" x14ac:dyDescent="0.25">
      <c r="A27" s="83" t="s">
        <v>246</v>
      </c>
      <c r="B27" s="83">
        <v>310</v>
      </c>
      <c r="C27" s="83">
        <v>60</v>
      </c>
      <c r="D27" s="83">
        <v>19</v>
      </c>
      <c r="E27" s="83">
        <f t="shared" ref="E27" si="37">B27*C27/1000000</f>
        <v>1.8599999999999998E-2</v>
      </c>
      <c r="F27" s="20"/>
      <c r="G27" s="7" t="s">
        <v>12</v>
      </c>
      <c r="H27" s="83">
        <f>ROUND(Q27+T27/Раскройка!$F$2,0)</f>
        <v>748</v>
      </c>
      <c r="I27" s="83" t="s">
        <v>41</v>
      </c>
      <c r="J27" s="83">
        <v>2</v>
      </c>
      <c r="K27" s="83" t="s">
        <v>39</v>
      </c>
      <c r="L27" s="83">
        <v>4</v>
      </c>
      <c r="M27" s="83">
        <f>E27*(0.25*(VLOOKUP(I27,Покрытия!$A$2:$B$40,2,FALSE)*J27+VLOOKUP(K27,Покрытия!$A$2:$B$40,2,FALSE)*L27)+H27)</f>
        <v>44.602799999999995</v>
      </c>
      <c r="N27" s="83">
        <v>6</v>
      </c>
      <c r="O27" s="83">
        <f t="shared" ref="O27" si="38">M27*N27</f>
        <v>267.61679999999996</v>
      </c>
      <c r="P27" s="84"/>
      <c r="Q27" s="83">
        <f t="array" ref="Q27">INDEX(Материалы!$C$2:$C$50,MATCH(G27&amp;D27,Материалы!$A$2:$A$50&amp;Материалы!$B$2:$B$50,0))</f>
        <v>734</v>
      </c>
      <c r="R27" s="83">
        <f>FLOOR(Раскройка!$D$2/B27,1)*FLOOR(Раскройка!$C$2/C27,1)</f>
        <v>306</v>
      </c>
      <c r="S27" s="83">
        <f>MAX(Раскройка!$F$2-E27*R27,0)</f>
        <v>0.1084000000000005</v>
      </c>
      <c r="T27" s="83">
        <f t="shared" ref="T27" si="39">Q27*S27</f>
        <v>79.565600000000359</v>
      </c>
      <c r="U27" s="78"/>
      <c r="V27" s="78"/>
      <c r="W27" s="78"/>
      <c r="X27" s="78"/>
      <c r="Y27" s="78"/>
    </row>
    <row r="28" spans="1:25" x14ac:dyDescent="0.25">
      <c r="A28" s="83" t="s">
        <v>247</v>
      </c>
      <c r="B28" s="83">
        <v>640</v>
      </c>
      <c r="C28" s="83">
        <v>100</v>
      </c>
      <c r="D28" s="83">
        <v>55</v>
      </c>
      <c r="E28" s="83">
        <f>B28*C28*D28/1000000000</f>
        <v>3.5200000000000001E-3</v>
      </c>
      <c r="F28" s="83">
        <f>B28*C28/1000000</f>
        <v>6.4000000000000001E-2</v>
      </c>
      <c r="G28" s="83" t="s">
        <v>15</v>
      </c>
      <c r="H28" s="83">
        <f>ROUND(Q28+T28/Раскройка!$F$11,0)</f>
        <v>32000</v>
      </c>
      <c r="I28" s="83" t="s">
        <v>41</v>
      </c>
      <c r="J28" s="83">
        <v>2</v>
      </c>
      <c r="K28" s="83" t="s">
        <v>39</v>
      </c>
      <c r="L28" s="83">
        <v>4</v>
      </c>
      <c r="M28" s="83">
        <f>E28*H28+0.25*((VLOOKUP(I28,Покрытия!$A$2:$B$50,2,FALSE)*J28+VLOOKUP(K28,Покрытия!$A$2:$B$50,2,FALSE)*L28)*F28)</f>
        <v>218.24</v>
      </c>
      <c r="N28" s="83">
        <v>1</v>
      </c>
      <c r="O28" s="83">
        <f>M28*N28</f>
        <v>218.24</v>
      </c>
      <c r="P28" s="84"/>
      <c r="Q28" s="83">
        <f t="array" ref="Q28">INDEX(Материалы!$C$2:$C$50,MATCH(G28,Материалы!$A$2:$A$50,0))</f>
        <v>32000</v>
      </c>
      <c r="R28" s="83">
        <f>FLOOR(Раскройка!$C$11/C28,1)*FLOOR(Раскройка!$D$11/B28,1)</f>
        <v>12</v>
      </c>
      <c r="S28" s="83">
        <f>MAX(Раскройка!$F$11-E28*R28,0)</f>
        <v>0</v>
      </c>
      <c r="T28" s="83">
        <f>Q28*S28</f>
        <v>0</v>
      </c>
    </row>
    <row r="29" spans="1:25" x14ac:dyDescent="0.25">
      <c r="V29" s="78"/>
    </row>
    <row r="30" spans="1:25" x14ac:dyDescent="0.25">
      <c r="A30" s="80" t="s">
        <v>108</v>
      </c>
      <c r="B30" s="80">
        <v>2764</v>
      </c>
      <c r="C30" s="80">
        <v>534</v>
      </c>
      <c r="D30" s="80">
        <v>6</v>
      </c>
      <c r="E30" s="80">
        <f t="shared" ref="E30:E46" si="40">B30*C30/1000000</f>
        <v>1.475976</v>
      </c>
      <c r="F30" s="20"/>
      <c r="G30" s="7" t="s">
        <v>3</v>
      </c>
      <c r="H30" s="80">
        <f>ROUND(Q30+T30/Раскройка!$F$2,0)</f>
        <v>129</v>
      </c>
      <c r="I30" s="80" t="s">
        <v>41</v>
      </c>
      <c r="J30" s="80">
        <v>2</v>
      </c>
      <c r="K30" s="80" t="s">
        <v>39</v>
      </c>
      <c r="L30" s="80">
        <v>4</v>
      </c>
      <c r="M30" s="80">
        <f>E30*(0.25*(VLOOKUP(I30,Покрытия!$A$2:$B$40,2,FALSE)*J30+VLOOKUP(K30,Покрытия!$A$2:$B$40,2,FALSE)*L30)+H30)</f>
        <v>2625.7613040000001</v>
      </c>
      <c r="N30" s="80">
        <v>1</v>
      </c>
      <c r="O30" s="80">
        <f t="shared" ref="O30:O46" si="41">M30*N30</f>
        <v>2625.7613040000001</v>
      </c>
      <c r="P30" s="81"/>
      <c r="Q30" s="80">
        <f t="array" ref="Q30">INDEX(Материалы!$C$2:$C$50,MATCH(G30&amp;D30,Материалы!$A$2:$A$50&amp;Материалы!$B$2:$B$50,0))</f>
        <v>104</v>
      </c>
      <c r="R30" s="80">
        <f>FLOOR(Раскройка!$D$2/B30,1)*FLOOR(Раскройка!$C$2/C30,1)</f>
        <v>3</v>
      </c>
      <c r="S30" s="80">
        <f>MAX(Раскройка!$F$2-E30*R30,0)</f>
        <v>1.3720720000000002</v>
      </c>
      <c r="T30" s="80">
        <f t="shared" ref="T30:T46" si="42">Q30*S30</f>
        <v>142.69548800000001</v>
      </c>
      <c r="U30" s="78"/>
      <c r="V30" s="78"/>
    </row>
    <row r="31" spans="1:25" x14ac:dyDescent="0.25">
      <c r="A31" s="80" t="s">
        <v>230</v>
      </c>
      <c r="B31" s="80">
        <v>2764</v>
      </c>
      <c r="C31" s="80">
        <v>330</v>
      </c>
      <c r="D31" s="80">
        <v>19</v>
      </c>
      <c r="E31" s="80">
        <f t="shared" si="40"/>
        <v>0.91212000000000004</v>
      </c>
      <c r="F31" s="20"/>
      <c r="G31" s="7" t="s">
        <v>12</v>
      </c>
      <c r="H31" s="80">
        <f>ROUND(Q31+T31/Раскройка!$F$2,0)</f>
        <v>775</v>
      </c>
      <c r="I31" s="80" t="s">
        <v>41</v>
      </c>
      <c r="J31" s="80">
        <v>2</v>
      </c>
      <c r="K31" s="80" t="s">
        <v>39</v>
      </c>
      <c r="L31" s="80">
        <v>4</v>
      </c>
      <c r="M31" s="80">
        <f>E31*(0.25*(VLOOKUP(I31,Покрытия!$A$2:$B$40,2,FALSE)*J31+VLOOKUP(K31,Покрытия!$A$2:$B$40,2,FALSE)*L31)+H31)</f>
        <v>2211.8910000000001</v>
      </c>
      <c r="N31" s="80">
        <v>2</v>
      </c>
      <c r="O31" s="80">
        <f t="shared" si="41"/>
        <v>4423.7820000000002</v>
      </c>
      <c r="P31" s="81"/>
      <c r="Q31" s="80">
        <f t="array" ref="Q31">INDEX(Материалы!$C$2:$C$50,MATCH(G31&amp;D31,Материалы!$A$2:$A$50&amp;Материалы!$B$2:$B$50,0))</f>
        <v>734</v>
      </c>
      <c r="R31" s="80">
        <f>FLOOR(Раскройка!$D$2/B31,1)*FLOOR(Раскройка!$C$2/C31,1)</f>
        <v>6</v>
      </c>
      <c r="S31" s="80">
        <f>MAX(Раскройка!$F$2-E31*R31,0)</f>
        <v>0.32727999999999913</v>
      </c>
      <c r="T31" s="80">
        <f t="shared" si="42"/>
        <v>240.22351999999935</v>
      </c>
      <c r="U31" s="78"/>
      <c r="V31" s="78"/>
    </row>
    <row r="32" spans="1:25" x14ac:dyDescent="0.25">
      <c r="A32" s="80" t="s">
        <v>108</v>
      </c>
      <c r="B32" s="80">
        <v>705</v>
      </c>
      <c r="C32" s="80">
        <v>534</v>
      </c>
      <c r="D32" s="80">
        <v>6</v>
      </c>
      <c r="E32" s="80">
        <f t="shared" si="40"/>
        <v>0.37647000000000003</v>
      </c>
      <c r="F32" s="20"/>
      <c r="G32" s="7" t="s">
        <v>3</v>
      </c>
      <c r="H32" s="80">
        <f>ROUND(Q32+T32/Раскройка!$F$2,0)</f>
        <v>147</v>
      </c>
      <c r="I32" s="80" t="s">
        <v>41</v>
      </c>
      <c r="J32" s="80">
        <v>2</v>
      </c>
      <c r="K32" s="80" t="s">
        <v>39</v>
      </c>
      <c r="L32" s="80">
        <v>4</v>
      </c>
      <c r="M32" s="80">
        <f>E32*(0.25*(VLOOKUP(I32,Покрытия!$A$2:$B$40,2,FALSE)*J32+VLOOKUP(K32,Покрытия!$A$2:$B$40,2,FALSE)*L32)+H32)</f>
        <v>676.51659000000006</v>
      </c>
      <c r="N32" s="80">
        <v>1</v>
      </c>
      <c r="O32" s="80">
        <f t="shared" si="41"/>
        <v>676.51659000000006</v>
      </c>
      <c r="P32" s="81"/>
      <c r="Q32" s="80">
        <f t="array" ref="Q32">INDEX(Материалы!$C$2:$C$50,MATCH(G32&amp;D32,Материалы!$A$2:$A$50&amp;Материалы!$B$2:$B$50,0))</f>
        <v>104</v>
      </c>
      <c r="R32" s="80">
        <f>FLOOR(Раскройка!$D$2/B32,1)*FLOOR(Раскройка!$C$2/C32,1)</f>
        <v>9</v>
      </c>
      <c r="S32" s="80">
        <f>MAX(Раскройка!$F$2-E32*R32,0)</f>
        <v>2.4117699999999997</v>
      </c>
      <c r="T32" s="80">
        <f t="shared" si="42"/>
        <v>250.82407999999998</v>
      </c>
      <c r="U32" s="78"/>
      <c r="V32" s="78"/>
    </row>
    <row r="33" spans="1:22" x14ac:dyDescent="0.25">
      <c r="A33" s="80" t="s">
        <v>230</v>
      </c>
      <c r="B33" s="80">
        <v>705</v>
      </c>
      <c r="C33" s="80">
        <v>330</v>
      </c>
      <c r="D33" s="80">
        <v>19</v>
      </c>
      <c r="E33" s="80">
        <f t="shared" si="40"/>
        <v>0.23265</v>
      </c>
      <c r="F33" s="20"/>
      <c r="G33" s="7" t="s">
        <v>12</v>
      </c>
      <c r="H33" s="80">
        <f>ROUND(Q33+T33/Раскройка!$F$2,0)</f>
        <v>938</v>
      </c>
      <c r="I33" s="80" t="s">
        <v>41</v>
      </c>
      <c r="J33" s="80">
        <v>2</v>
      </c>
      <c r="K33" s="80" t="s">
        <v>39</v>
      </c>
      <c r="L33" s="80">
        <v>4</v>
      </c>
      <c r="M33" s="80">
        <f>E33*(0.25*(VLOOKUP(I33,Покрытия!$A$2:$B$40,2,FALSE)*J33+VLOOKUP(K33,Покрытия!$A$2:$B$40,2,FALSE)*L33)+H33)</f>
        <v>602.09820000000002</v>
      </c>
      <c r="N33" s="80">
        <v>2</v>
      </c>
      <c r="O33" s="80">
        <f t="shared" si="41"/>
        <v>1204.1964</v>
      </c>
      <c r="P33" s="81"/>
      <c r="Q33" s="80">
        <f t="array" ref="Q33">INDEX(Материалы!$C$2:$C$50,MATCH(G33&amp;D33,Материалы!$A$2:$A$50&amp;Материалы!$B$2:$B$50,0))</f>
        <v>734</v>
      </c>
      <c r="R33" s="80">
        <f>FLOOR(Раскройка!$D$2/B33,1)*FLOOR(Раскройка!$C$2/C33,1)</f>
        <v>18</v>
      </c>
      <c r="S33" s="80">
        <f>MAX(Раскройка!$F$2-E33*R33,0)</f>
        <v>1.6123000000000003</v>
      </c>
      <c r="T33" s="80">
        <f t="shared" si="42"/>
        <v>1183.4282000000003</v>
      </c>
      <c r="U33" s="78"/>
      <c r="V33" s="78"/>
    </row>
    <row r="34" spans="1:22" x14ac:dyDescent="0.25">
      <c r="A34" s="80" t="s">
        <v>113</v>
      </c>
      <c r="B34" s="80">
        <v>2764</v>
      </c>
      <c r="C34" s="80">
        <v>100</v>
      </c>
      <c r="D34" s="80">
        <v>19</v>
      </c>
      <c r="E34" s="80">
        <f t="shared" si="40"/>
        <v>0.27639999999999998</v>
      </c>
      <c r="F34" s="20"/>
      <c r="G34" s="7" t="s">
        <v>12</v>
      </c>
      <c r="H34" s="80">
        <f>ROUND(Q34+T34/Раскройка!$F$2,0)</f>
        <v>768</v>
      </c>
      <c r="I34" s="80" t="s">
        <v>41</v>
      </c>
      <c r="J34" s="80">
        <v>2</v>
      </c>
      <c r="K34" s="80" t="s">
        <v>39</v>
      </c>
      <c r="L34" s="80">
        <v>4</v>
      </c>
      <c r="M34" s="80">
        <f>E34*(0.25*(VLOOKUP(I34,Покрытия!$A$2:$B$40,2,FALSE)*J34+VLOOKUP(K34,Покрытия!$A$2:$B$40,2,FALSE)*L34)+H34)</f>
        <v>668.33519999999999</v>
      </c>
      <c r="N34" s="80">
        <v>2</v>
      </c>
      <c r="O34" s="80">
        <f t="shared" si="41"/>
        <v>1336.6704</v>
      </c>
      <c r="P34" s="81"/>
      <c r="Q34" s="80">
        <f t="array" ref="Q34">INDEX(Материалы!$C$2:$C$50,MATCH(G34&amp;D34,Материалы!$A$2:$A$50&amp;Материалы!$B$2:$B$50,0))</f>
        <v>734</v>
      </c>
      <c r="R34" s="80">
        <f>FLOOR(Раскройка!$D$2/B34,1)*FLOOR(Раскройка!$C$2/C34,1)</f>
        <v>20</v>
      </c>
      <c r="S34" s="80">
        <f>MAX(Раскройка!$F$2-E34*R34,0)</f>
        <v>0.27200000000000024</v>
      </c>
      <c r="T34" s="80">
        <f t="shared" si="42"/>
        <v>199.64800000000017</v>
      </c>
      <c r="U34" s="78"/>
      <c r="V34" s="78"/>
    </row>
    <row r="35" spans="1:22" x14ac:dyDescent="0.25">
      <c r="A35" s="80" t="s">
        <v>113</v>
      </c>
      <c r="B35" s="80">
        <v>705</v>
      </c>
      <c r="C35" s="80">
        <v>100</v>
      </c>
      <c r="D35" s="80">
        <v>19</v>
      </c>
      <c r="E35" s="80">
        <f t="shared" si="40"/>
        <v>7.0499999999999993E-2</v>
      </c>
      <c r="F35" s="20"/>
      <c r="G35" s="7" t="s">
        <v>12</v>
      </c>
      <c r="H35" s="80">
        <f>ROUND(Q35+T35/Раскройка!$F$2,0)</f>
        <v>933</v>
      </c>
      <c r="I35" s="80" t="s">
        <v>41</v>
      </c>
      <c r="J35" s="80">
        <v>2</v>
      </c>
      <c r="K35" s="80" t="s">
        <v>39</v>
      </c>
      <c r="L35" s="80">
        <v>4</v>
      </c>
      <c r="M35" s="80">
        <f>E35*(0.25*(VLOOKUP(I35,Покрытия!$A$2:$B$40,2,FALSE)*J35+VLOOKUP(K35,Покрытия!$A$2:$B$40,2,FALSE)*L35)+H35)</f>
        <v>182.10149999999999</v>
      </c>
      <c r="N35" s="80">
        <v>2</v>
      </c>
      <c r="O35" s="80">
        <f t="shared" si="41"/>
        <v>364.20299999999997</v>
      </c>
      <c r="P35" s="81"/>
      <c r="Q35" s="80">
        <f t="array" ref="Q35">INDEX(Материалы!$C$2:$C$50,MATCH(G35&amp;D35,Материалы!$A$2:$A$50&amp;Материалы!$B$2:$B$50,0))</f>
        <v>734</v>
      </c>
      <c r="R35" s="80">
        <f>FLOOR(Раскройка!$D$2/B35,1)*FLOOR(Раскройка!$C$2/C35,1)</f>
        <v>60</v>
      </c>
      <c r="S35" s="80">
        <f>MAX(Раскройка!$F$2-E35*R35,0)</f>
        <v>1.5700000000000003</v>
      </c>
      <c r="T35" s="80">
        <f t="shared" si="42"/>
        <v>1152.3800000000001</v>
      </c>
      <c r="U35" s="78"/>
      <c r="V35" s="78"/>
    </row>
    <row r="36" spans="1:22" x14ac:dyDescent="0.25">
      <c r="A36" s="80" t="s">
        <v>231</v>
      </c>
      <c r="B36" s="80">
        <v>3674</v>
      </c>
      <c r="C36" s="80">
        <v>50</v>
      </c>
      <c r="D36" s="80">
        <v>19</v>
      </c>
      <c r="E36" s="80">
        <f t="shared" si="40"/>
        <v>0.1837</v>
      </c>
      <c r="F36" s="20"/>
      <c r="G36" s="7" t="s">
        <v>12</v>
      </c>
      <c r="H36" s="80">
        <f>ROUND(Q36+T36/Раскройка!$F$2,0)</f>
        <v>1468</v>
      </c>
      <c r="I36" s="80" t="s">
        <v>41</v>
      </c>
      <c r="J36" s="80">
        <v>2</v>
      </c>
      <c r="K36" s="80" t="s">
        <v>39</v>
      </c>
      <c r="L36" s="80">
        <v>4</v>
      </c>
      <c r="M36" s="80">
        <f>E36*(0.25*(VLOOKUP(I36,Покрытия!$A$2:$B$40,2,FALSE)*J36+VLOOKUP(K36,Покрытия!$A$2:$B$40,2,FALSE)*L36)+H36)</f>
        <v>572.77660000000003</v>
      </c>
      <c r="N36" s="80">
        <v>1</v>
      </c>
      <c r="O36" s="80">
        <f t="shared" si="41"/>
        <v>572.77660000000003</v>
      </c>
      <c r="P36" s="81"/>
      <c r="Q36" s="80">
        <f t="array" ref="Q36">INDEX(Материалы!$C$2:$C$50,MATCH(G36&amp;D36,Материалы!$A$2:$A$50&amp;Материалы!$B$2:$B$50,0))</f>
        <v>734</v>
      </c>
      <c r="R36" s="80">
        <f>FLOOR(Раскройка!$D$2/B36,1)*FLOOR(Раскройка!$C$2/C36,1)</f>
        <v>0</v>
      </c>
      <c r="S36" s="80">
        <f>MAX(Раскройка!$F$2-E36*R36,0)</f>
        <v>5.8</v>
      </c>
      <c r="T36" s="80">
        <f t="shared" si="42"/>
        <v>4257.2</v>
      </c>
      <c r="U36" s="78"/>
      <c r="V36" s="78"/>
    </row>
    <row r="37" spans="1:22" x14ac:dyDescent="0.25">
      <c r="A37" s="80" t="s">
        <v>232</v>
      </c>
      <c r="B37" s="80">
        <v>248</v>
      </c>
      <c r="C37" s="80">
        <v>50</v>
      </c>
      <c r="D37" s="80">
        <v>19</v>
      </c>
      <c r="E37" s="80">
        <f t="shared" si="40"/>
        <v>1.24E-2</v>
      </c>
      <c r="F37" s="20"/>
      <c r="G37" s="7" t="s">
        <v>12</v>
      </c>
      <c r="H37" s="80">
        <f>ROUND(Q37+T37/Раскройка!$F$2,0)</f>
        <v>760</v>
      </c>
      <c r="I37" s="80" t="s">
        <v>41</v>
      </c>
      <c r="J37" s="80">
        <v>2</v>
      </c>
      <c r="K37" s="80" t="s">
        <v>39</v>
      </c>
      <c r="L37" s="80">
        <v>4</v>
      </c>
      <c r="M37" s="80">
        <f>E37*(0.25*(VLOOKUP(I37,Покрытия!$A$2:$B$40,2,FALSE)*J37+VLOOKUP(K37,Покрытия!$A$2:$B$40,2,FALSE)*L37)+H37)</f>
        <v>29.884</v>
      </c>
      <c r="N37" s="80">
        <v>6</v>
      </c>
      <c r="O37" s="80">
        <f t="shared" si="41"/>
        <v>179.304</v>
      </c>
      <c r="P37" s="81"/>
      <c r="Q37" s="80">
        <f t="array" ref="Q37">INDEX(Материалы!$C$2:$C$50,MATCH(G37&amp;D37,Материалы!$A$2:$A$50&amp;Материалы!$B$2:$B$50,0))</f>
        <v>734</v>
      </c>
      <c r="R37" s="80">
        <f>FLOOR(Раскройка!$D$2/B37,1)*FLOOR(Раскройка!$C$2/C37,1)</f>
        <v>451</v>
      </c>
      <c r="S37" s="80">
        <f>MAX(Раскройка!$F$2-E37*R37,0)</f>
        <v>0.20760000000000023</v>
      </c>
      <c r="T37" s="80">
        <f t="shared" si="42"/>
        <v>152.37840000000017</v>
      </c>
      <c r="U37" s="78"/>
      <c r="V37" s="78"/>
    </row>
    <row r="38" spans="1:22" x14ac:dyDescent="0.25">
      <c r="A38" s="80" t="s">
        <v>233</v>
      </c>
      <c r="B38" s="80">
        <v>3674</v>
      </c>
      <c r="C38" s="80">
        <v>248</v>
      </c>
      <c r="D38" s="80">
        <v>19</v>
      </c>
      <c r="E38" s="80">
        <f t="shared" si="40"/>
        <v>0.91115199999999996</v>
      </c>
      <c r="F38" s="20"/>
      <c r="G38" s="7" t="s">
        <v>12</v>
      </c>
      <c r="H38" s="80">
        <f>ROUND(Q38+T38/Раскройка!$F$2,0)</f>
        <v>1468</v>
      </c>
      <c r="I38" s="80" t="s">
        <v>41</v>
      </c>
      <c r="J38" s="80">
        <v>2</v>
      </c>
      <c r="K38" s="80" t="s">
        <v>39</v>
      </c>
      <c r="L38" s="80">
        <v>4</v>
      </c>
      <c r="M38" s="80">
        <f>E38*(0.25*(VLOOKUP(I38,Покрытия!$A$2:$B$40,2,FALSE)*J38+VLOOKUP(K38,Покрытия!$A$2:$B$40,2,FALSE)*L38)+H38)</f>
        <v>2840.9719359999999</v>
      </c>
      <c r="N38" s="80">
        <v>1</v>
      </c>
      <c r="O38" s="80">
        <f t="shared" si="41"/>
        <v>2840.9719359999999</v>
      </c>
      <c r="P38" s="81"/>
      <c r="Q38" s="80">
        <f t="array" ref="Q38">INDEX(Материалы!$C$2:$C$50,MATCH(G38&amp;D38,Материалы!$A$2:$A$50&amp;Материалы!$B$2:$B$50,0))</f>
        <v>734</v>
      </c>
      <c r="R38" s="80">
        <f>FLOOR(Раскройка!$D$2/B38,1)*FLOOR(Раскройка!$C$2/C38,1)</f>
        <v>0</v>
      </c>
      <c r="S38" s="80">
        <f>MAX(Раскройка!$F$2-E38*R38,0)</f>
        <v>5.8</v>
      </c>
      <c r="T38" s="80">
        <f t="shared" si="42"/>
        <v>4257.2</v>
      </c>
      <c r="U38" s="78"/>
      <c r="V38" s="78"/>
    </row>
    <row r="39" spans="1:22" x14ac:dyDescent="0.25">
      <c r="A39" s="80" t="s">
        <v>231</v>
      </c>
      <c r="B39" s="80">
        <v>3674</v>
      </c>
      <c r="C39" s="80">
        <v>130</v>
      </c>
      <c r="D39" s="80">
        <v>19</v>
      </c>
      <c r="E39" s="80">
        <f t="shared" si="40"/>
        <v>0.47761999999999999</v>
      </c>
      <c r="F39" s="20"/>
      <c r="G39" s="7" t="s">
        <v>12</v>
      </c>
      <c r="H39" s="80">
        <f>ROUND(Q39+T39/Раскройка!$F$2,0)</f>
        <v>1468</v>
      </c>
      <c r="I39" s="80" t="s">
        <v>41</v>
      </c>
      <c r="J39" s="80">
        <v>2</v>
      </c>
      <c r="K39" s="80" t="s">
        <v>39</v>
      </c>
      <c r="L39" s="80">
        <v>4</v>
      </c>
      <c r="M39" s="80">
        <f>E39*(0.25*(VLOOKUP(I39,Покрытия!$A$2:$B$40,2,FALSE)*J39+VLOOKUP(K39,Покрытия!$A$2:$B$40,2,FALSE)*L39)+H39)</f>
        <v>1489.2191599999999</v>
      </c>
      <c r="N39" s="80">
        <v>1</v>
      </c>
      <c r="O39" s="80">
        <f t="shared" si="41"/>
        <v>1489.2191599999999</v>
      </c>
      <c r="P39" s="81"/>
      <c r="Q39" s="80">
        <f t="array" ref="Q39">INDEX(Материалы!$C$2:$C$50,MATCH(G39&amp;D39,Материалы!$A$2:$A$50&amp;Материалы!$B$2:$B$50,0))</f>
        <v>734</v>
      </c>
      <c r="R39" s="80">
        <f>FLOOR(Раскройка!$D$2/B39,1)*FLOOR(Раскройка!$C$2/C39,1)</f>
        <v>0</v>
      </c>
      <c r="S39" s="80">
        <f>MAX(Раскройка!$F$2-E39*R39,0)</f>
        <v>5.8</v>
      </c>
      <c r="T39" s="80">
        <f t="shared" si="42"/>
        <v>4257.2</v>
      </c>
      <c r="U39" s="78"/>
      <c r="V39" s="78"/>
    </row>
    <row r="40" spans="1:22" x14ac:dyDescent="0.25">
      <c r="A40" s="80" t="s">
        <v>234</v>
      </c>
      <c r="B40" s="80">
        <v>3674</v>
      </c>
      <c r="C40" s="80">
        <v>85</v>
      </c>
      <c r="D40" s="80">
        <v>12</v>
      </c>
      <c r="E40" s="80">
        <f t="shared" si="40"/>
        <v>0.31229000000000001</v>
      </c>
      <c r="F40" s="20"/>
      <c r="G40" s="7" t="s">
        <v>12</v>
      </c>
      <c r="H40" s="80">
        <f>ROUND(Q40+T40/Раскройка!$F$2,0)</f>
        <v>984</v>
      </c>
      <c r="I40" s="80" t="s">
        <v>41</v>
      </c>
      <c r="J40" s="80">
        <v>2</v>
      </c>
      <c r="K40" s="80" t="s">
        <v>39</v>
      </c>
      <c r="L40" s="80">
        <v>4</v>
      </c>
      <c r="M40" s="80">
        <f>E40*(0.25*(VLOOKUP(I40,Покрытия!$A$2:$B$40,2,FALSE)*J40+VLOOKUP(K40,Покрытия!$A$2:$B$40,2,FALSE)*L40)+H40)</f>
        <v>822.57186000000002</v>
      </c>
      <c r="N40" s="80">
        <v>1</v>
      </c>
      <c r="O40" s="80">
        <f t="shared" si="41"/>
        <v>822.57186000000002</v>
      </c>
      <c r="P40" s="81"/>
      <c r="Q40" s="80">
        <f t="array" ref="Q40">INDEX(Материалы!$C$2:$C$50,MATCH(G40&amp;D40,Материалы!$A$2:$A$50&amp;Материалы!$B$2:$B$50,0))</f>
        <v>492</v>
      </c>
      <c r="R40" s="80">
        <f>FLOOR(Раскройка!$D$2/B40,1)*FLOOR(Раскройка!$C$2/C40,1)</f>
        <v>0</v>
      </c>
      <c r="S40" s="80">
        <f>MAX(Раскройка!$F$2-E40*R40,0)</f>
        <v>5.8</v>
      </c>
      <c r="T40" s="80">
        <f t="shared" si="42"/>
        <v>2853.6</v>
      </c>
      <c r="U40" s="78"/>
      <c r="V40" s="78"/>
    </row>
    <row r="41" spans="1:22" x14ac:dyDescent="0.25">
      <c r="A41" s="80" t="s">
        <v>109</v>
      </c>
      <c r="B41" s="80">
        <v>534</v>
      </c>
      <c r="C41" s="80">
        <v>330</v>
      </c>
      <c r="D41" s="80">
        <v>19</v>
      </c>
      <c r="E41" s="80">
        <f t="shared" si="40"/>
        <v>0.17621999999999999</v>
      </c>
      <c r="F41" s="20"/>
      <c r="G41" s="7" t="s">
        <v>12</v>
      </c>
      <c r="H41" s="80">
        <f>ROUND(Q41+T41/Раскройка!$F$2,0)</f>
        <v>799</v>
      </c>
      <c r="I41" s="80" t="s">
        <v>41</v>
      </c>
      <c r="J41" s="80">
        <v>2</v>
      </c>
      <c r="K41" s="80" t="s">
        <v>39</v>
      </c>
      <c r="L41" s="80">
        <v>4</v>
      </c>
      <c r="M41" s="80">
        <f>E41*(0.25*(VLOOKUP(I41,Покрытия!$A$2:$B$40,2,FALSE)*J41+VLOOKUP(K41,Покрытия!$A$2:$B$40,2,FALSE)*L41)+H41)</f>
        <v>431.56277999999998</v>
      </c>
      <c r="N41" s="80">
        <v>4</v>
      </c>
      <c r="O41" s="80">
        <f t="shared" si="41"/>
        <v>1726.2511199999999</v>
      </c>
      <c r="P41" s="81"/>
      <c r="Q41" s="80">
        <f t="array" ref="Q41">INDEX(Материалы!$C$2:$C$50,MATCH(G41&amp;D41,Материалы!$A$2:$A$50&amp;Материалы!$B$2:$B$50,0))</f>
        <v>734</v>
      </c>
      <c r="R41" s="80">
        <f>FLOOR(Раскройка!$D$2/B41,1)*FLOOR(Раскройка!$C$2/C41,1)</f>
        <v>30</v>
      </c>
      <c r="S41" s="80">
        <f>MAX(Раскройка!$F$2-E41*R41,0)</f>
        <v>0.51339999999999986</v>
      </c>
      <c r="T41" s="80">
        <f t="shared" si="42"/>
        <v>376.83559999999989</v>
      </c>
      <c r="U41" s="78"/>
      <c r="V41" s="78"/>
    </row>
    <row r="42" spans="1:22" x14ac:dyDescent="0.25">
      <c r="A42" s="80" t="s">
        <v>109</v>
      </c>
      <c r="B42" s="80">
        <v>534</v>
      </c>
      <c r="C42" s="80">
        <v>330</v>
      </c>
      <c r="D42" s="80">
        <v>16</v>
      </c>
      <c r="E42" s="80">
        <f t="shared" si="40"/>
        <v>0.17621999999999999</v>
      </c>
      <c r="F42" s="20"/>
      <c r="G42" s="7" t="s">
        <v>12</v>
      </c>
      <c r="H42" s="80">
        <f>ROUND(Q42+T42/Раскройка!$F$2,0)</f>
        <v>703</v>
      </c>
      <c r="I42" s="80" t="s">
        <v>41</v>
      </c>
      <c r="J42" s="80">
        <v>0</v>
      </c>
      <c r="K42" s="80" t="s">
        <v>39</v>
      </c>
      <c r="L42" s="80">
        <v>0</v>
      </c>
      <c r="M42" s="80">
        <f>E42*(0.25*(VLOOKUP(I42,Покрытия!$A$2:$B$40,2,FALSE)*J42+VLOOKUP(K42,Покрытия!$A$2:$B$40,2,FALSE)*L42)+H42)</f>
        <v>123.88265999999999</v>
      </c>
      <c r="N42" s="80">
        <v>6</v>
      </c>
      <c r="O42" s="80">
        <f t="shared" si="41"/>
        <v>743.29595999999992</v>
      </c>
      <c r="P42" s="81"/>
      <c r="Q42" s="80">
        <f t="array" ref="Q42">INDEX(Материалы!$C$2:$C$50,MATCH(G42&amp;D42,Материалы!$A$2:$A$50&amp;Материалы!$B$2:$B$50,0))</f>
        <v>646</v>
      </c>
      <c r="R42" s="80">
        <f>FLOOR(Раскройка!$D$2/B42,1)*FLOOR(Раскройка!$C$2/C42,1)</f>
        <v>30</v>
      </c>
      <c r="S42" s="80">
        <f>MAX(Раскройка!$F$2-E42*R42,0)</f>
        <v>0.51339999999999986</v>
      </c>
      <c r="T42" s="80">
        <f t="shared" si="42"/>
        <v>331.65639999999991</v>
      </c>
      <c r="U42" s="78"/>
      <c r="V42" s="78"/>
    </row>
    <row r="43" spans="1:22" x14ac:dyDescent="0.25">
      <c r="A43" s="80" t="s">
        <v>109</v>
      </c>
      <c r="B43" s="80">
        <v>534</v>
      </c>
      <c r="C43" s="80">
        <v>330</v>
      </c>
      <c r="D43" s="80">
        <v>6</v>
      </c>
      <c r="E43" s="80">
        <f t="shared" si="40"/>
        <v>0.17621999999999999</v>
      </c>
      <c r="F43" s="20"/>
      <c r="G43" s="7" t="s">
        <v>3</v>
      </c>
      <c r="H43" s="80">
        <f>ROUND(Q43+T43/Раскройка!$F$2,0)</f>
        <v>113</v>
      </c>
      <c r="I43" s="80" t="s">
        <v>41</v>
      </c>
      <c r="J43" s="80">
        <v>2</v>
      </c>
      <c r="K43" s="80" t="s">
        <v>39</v>
      </c>
      <c r="L43" s="80">
        <v>4</v>
      </c>
      <c r="M43" s="80">
        <f>E43*(0.25*(VLOOKUP(I43,Покрытия!$A$2:$B$40,2,FALSE)*J43+VLOOKUP(K43,Покрытия!$A$2:$B$40,2,FALSE)*L43)+H43)</f>
        <v>310.67586</v>
      </c>
      <c r="N43" s="80">
        <v>12</v>
      </c>
      <c r="O43" s="80">
        <f t="shared" si="41"/>
        <v>3728.1103199999998</v>
      </c>
      <c r="P43" s="81"/>
      <c r="Q43" s="80">
        <f t="array" ref="Q43">INDEX(Материалы!$C$2:$C$50,MATCH(G43&amp;D43,Материалы!$A$2:$A$50&amp;Материалы!$B$2:$B$50,0))</f>
        <v>104</v>
      </c>
      <c r="R43" s="80">
        <f>FLOOR(Раскройка!$D$2/B43,1)*FLOOR(Раскройка!$C$2/C43,1)</f>
        <v>30</v>
      </c>
      <c r="S43" s="80">
        <f>MAX(Раскройка!$F$2-E43*R43,0)</f>
        <v>0.51339999999999986</v>
      </c>
      <c r="T43" s="80">
        <f t="shared" si="42"/>
        <v>53.393599999999985</v>
      </c>
      <c r="U43" s="78"/>
      <c r="V43" s="78"/>
    </row>
    <row r="44" spans="1:22" x14ac:dyDescent="0.25">
      <c r="A44" s="80" t="s">
        <v>235</v>
      </c>
      <c r="B44" s="80">
        <v>534</v>
      </c>
      <c r="C44" s="80">
        <v>180</v>
      </c>
      <c r="D44" s="80">
        <v>16</v>
      </c>
      <c r="E44" s="80">
        <f t="shared" si="40"/>
        <v>9.6119999999999997E-2</v>
      </c>
      <c r="F44" s="20"/>
      <c r="G44" s="7" t="s">
        <v>12</v>
      </c>
      <c r="H44" s="80">
        <f>ROUND(Q44+T44/Раскройка!$F$2,0)</f>
        <v>703</v>
      </c>
      <c r="I44" s="80" t="s">
        <v>41</v>
      </c>
      <c r="J44" s="80">
        <v>2</v>
      </c>
      <c r="K44" s="80" t="s">
        <v>39</v>
      </c>
      <c r="L44" s="80">
        <v>4</v>
      </c>
      <c r="M44" s="80">
        <f>E44*(0.25*(VLOOKUP(I44,Покрытия!$A$2:$B$40,2,FALSE)*J44+VLOOKUP(K44,Покрытия!$A$2:$B$40,2,FALSE)*L44)+H44)</f>
        <v>226.17035999999999</v>
      </c>
      <c r="N44" s="80">
        <v>2</v>
      </c>
      <c r="O44" s="80">
        <f t="shared" si="41"/>
        <v>452.34071999999998</v>
      </c>
      <c r="P44" s="81"/>
      <c r="Q44" s="80">
        <f t="array" ref="Q44">INDEX(Материалы!$C$2:$C$50,MATCH(G44&amp;D44,Материалы!$A$2:$A$50&amp;Материалы!$B$2:$B$50,0))</f>
        <v>646</v>
      </c>
      <c r="R44" s="80">
        <f>FLOOR(Раскройка!$D$2/B44,1)*FLOOR(Раскройка!$C$2/C44,1)</f>
        <v>55</v>
      </c>
      <c r="S44" s="80">
        <f>MAX(Раскройка!$F$2-E44*R44,0)</f>
        <v>0.51339999999999986</v>
      </c>
      <c r="T44" s="80">
        <f t="shared" si="42"/>
        <v>331.65639999999991</v>
      </c>
      <c r="U44" s="78"/>
      <c r="V44" s="78"/>
    </row>
    <row r="45" spans="1:22" x14ac:dyDescent="0.25">
      <c r="A45" s="80" t="s">
        <v>128</v>
      </c>
      <c r="B45" s="80">
        <v>330</v>
      </c>
      <c r="C45" s="80">
        <v>180</v>
      </c>
      <c r="D45" s="80">
        <v>16</v>
      </c>
      <c r="E45" s="80">
        <f t="shared" si="40"/>
        <v>5.9400000000000001E-2</v>
      </c>
      <c r="F45" s="20"/>
      <c r="G45" s="7" t="s">
        <v>12</v>
      </c>
      <c r="H45" s="80">
        <f>ROUND(Q45+T45/Раскройка!$F$2,0)</f>
        <v>710</v>
      </c>
      <c r="I45" s="80" t="s">
        <v>41</v>
      </c>
      <c r="J45" s="80">
        <v>2</v>
      </c>
      <c r="K45" s="80" t="s">
        <v>39</v>
      </c>
      <c r="L45" s="80">
        <v>4</v>
      </c>
      <c r="M45" s="80">
        <f>E45*(0.25*(VLOOKUP(I45,Покрытия!$A$2:$B$40,2,FALSE)*J45+VLOOKUP(K45,Покрытия!$A$2:$B$40,2,FALSE)*L45)+H45)</f>
        <v>140.184</v>
      </c>
      <c r="N45" s="80">
        <v>2</v>
      </c>
      <c r="O45" s="80">
        <f t="shared" si="41"/>
        <v>280.36799999999999</v>
      </c>
      <c r="P45" s="81"/>
      <c r="Q45" s="80">
        <f t="array" ref="Q45">INDEX(Материалы!$C$2:$C$50,MATCH(G45&amp;D45,Материалы!$A$2:$A$50&amp;Материалы!$B$2:$B$50,0))</f>
        <v>646</v>
      </c>
      <c r="R45" s="80">
        <f>FLOOR(Раскройка!$D$2/B45,1)*FLOOR(Раскройка!$C$2/C45,1)</f>
        <v>88</v>
      </c>
      <c r="S45" s="80">
        <f>MAX(Раскройка!$F$2-E45*R45,0)</f>
        <v>0.57279999999999998</v>
      </c>
      <c r="T45" s="80">
        <f t="shared" si="42"/>
        <v>370.02879999999999</v>
      </c>
      <c r="U45" s="78"/>
    </row>
    <row r="46" spans="1:22" x14ac:dyDescent="0.25">
      <c r="A46" s="80" t="s">
        <v>127</v>
      </c>
      <c r="B46" s="80">
        <v>534</v>
      </c>
      <c r="C46" s="80">
        <v>330</v>
      </c>
      <c r="D46" s="80">
        <v>6</v>
      </c>
      <c r="E46" s="80">
        <f t="shared" si="40"/>
        <v>0.17621999999999999</v>
      </c>
      <c r="F46" s="20"/>
      <c r="G46" s="7" t="s">
        <v>3</v>
      </c>
      <c r="H46" s="80">
        <f>ROUND(Q46+T46/Раскройка!$F$2,0)</f>
        <v>113</v>
      </c>
      <c r="I46" s="80" t="s">
        <v>41</v>
      </c>
      <c r="J46" s="80">
        <v>2</v>
      </c>
      <c r="K46" s="80" t="s">
        <v>39</v>
      </c>
      <c r="L46" s="80">
        <v>4</v>
      </c>
      <c r="M46" s="80">
        <f>E46*(0.25*(VLOOKUP(I46,Покрытия!$A$2:$B$40,2,FALSE)*J46+VLOOKUP(K46,Покрытия!$A$2:$B$40,2,FALSE)*L46)+H46)</f>
        <v>310.67586</v>
      </c>
      <c r="N46" s="80">
        <v>1</v>
      </c>
      <c r="O46" s="80">
        <f t="shared" si="41"/>
        <v>310.67586</v>
      </c>
      <c r="P46" s="81"/>
      <c r="Q46" s="80">
        <f t="array" ref="Q46">INDEX(Материалы!$C$2:$C$50,MATCH(G46&amp;D46,Материалы!$A$2:$A$50&amp;Материалы!$B$2:$B$50,0))</f>
        <v>104</v>
      </c>
      <c r="R46" s="80">
        <f>FLOOR(Раскройка!$D$2/B46,1)*FLOOR(Раскройка!$C$2/C46,1)</f>
        <v>30</v>
      </c>
      <c r="S46" s="80">
        <f>MAX(Раскройка!$F$2-E46*R46,0)</f>
        <v>0.51339999999999986</v>
      </c>
      <c r="T46" s="80">
        <f t="shared" si="42"/>
        <v>53.393599999999985</v>
      </c>
      <c r="U46" s="78"/>
    </row>
    <row r="47" spans="1:22" x14ac:dyDescent="0.25">
      <c r="A47" s="83" t="s">
        <v>244</v>
      </c>
      <c r="B47" s="83">
        <v>3674</v>
      </c>
      <c r="C47" s="83">
        <v>60</v>
      </c>
      <c r="D47" s="83">
        <v>25</v>
      </c>
      <c r="E47" s="83">
        <f t="shared" ref="E47:E48" si="43">B47*C47/1000000</f>
        <v>0.22044</v>
      </c>
      <c r="F47" s="20"/>
      <c r="G47" s="7" t="s">
        <v>12</v>
      </c>
      <c r="H47" s="83">
        <f>ROUND(Q47+T47/Раскройка!$F$2,0)</f>
        <v>1932</v>
      </c>
      <c r="I47" s="83" t="s">
        <v>41</v>
      </c>
      <c r="J47" s="83">
        <v>2</v>
      </c>
      <c r="K47" s="83" t="s">
        <v>39</v>
      </c>
      <c r="L47" s="83">
        <v>4</v>
      </c>
      <c r="M47" s="83">
        <f>E47*(0.25*(VLOOKUP(I47,Покрытия!$A$2:$B$40,2,FALSE)*J47+VLOOKUP(K47,Покрытия!$A$2:$B$40,2,FALSE)*L47)+H47)</f>
        <v>789.61608000000001</v>
      </c>
      <c r="N47" s="83">
        <v>2</v>
      </c>
      <c r="O47" s="83">
        <f t="shared" ref="O47:O48" si="44">M47*N47</f>
        <v>1579.23216</v>
      </c>
      <c r="P47" s="84"/>
      <c r="Q47" s="83">
        <f t="array" ref="Q47">INDEX(Материалы!$C$2:$C$50,MATCH(G47&amp;D47,Материалы!$A$2:$A$50&amp;Материалы!$B$2:$B$50,0))</f>
        <v>966</v>
      </c>
      <c r="R47" s="83">
        <f>FLOOR(Раскройка!$D$2/B47,1)*FLOOR(Раскройка!$C$2/C47,1)</f>
        <v>0</v>
      </c>
      <c r="S47" s="83">
        <f>MAX(Раскройка!$F$2-E47*R47,0)</f>
        <v>5.8</v>
      </c>
      <c r="T47" s="83">
        <f t="shared" ref="T47:T48" si="45">Q47*S47</f>
        <v>5602.8</v>
      </c>
    </row>
    <row r="48" spans="1:22" x14ac:dyDescent="0.25">
      <c r="A48" s="83" t="s">
        <v>245</v>
      </c>
      <c r="B48" s="83">
        <v>534</v>
      </c>
      <c r="C48" s="83">
        <v>60</v>
      </c>
      <c r="D48" s="83">
        <v>25</v>
      </c>
      <c r="E48" s="83">
        <f t="shared" si="43"/>
        <v>3.2039999999999999E-2</v>
      </c>
      <c r="F48" s="20"/>
      <c r="G48" s="7" t="s">
        <v>12</v>
      </c>
      <c r="H48" s="83">
        <f>ROUND(Q48+T48/Раскройка!$F$2,0)</f>
        <v>1025</v>
      </c>
      <c r="I48" s="83" t="s">
        <v>41</v>
      </c>
      <c r="J48" s="83">
        <v>2</v>
      </c>
      <c r="K48" s="83" t="s">
        <v>39</v>
      </c>
      <c r="L48" s="83">
        <v>4</v>
      </c>
      <c r="M48" s="83">
        <f>E48*(0.25*(VLOOKUP(I48,Покрытия!$A$2:$B$40,2,FALSE)*J48+VLOOKUP(K48,Покрытия!$A$2:$B$40,2,FALSE)*L48)+H48)</f>
        <v>85.706999999999994</v>
      </c>
      <c r="N48" s="83">
        <v>8</v>
      </c>
      <c r="O48" s="83">
        <f t="shared" si="44"/>
        <v>685.65599999999995</v>
      </c>
      <c r="P48" s="84"/>
      <c r="Q48" s="83">
        <f t="array" ref="Q48">INDEX(Материалы!$C$2:$C$50,MATCH(G48&amp;D48,Материалы!$A$2:$A$50&amp;Материалы!$B$2:$B$50,0))</f>
        <v>966</v>
      </c>
      <c r="R48" s="83">
        <f>FLOOR(Раскройка!$D$2/B48,1)*FLOOR(Раскройка!$C$2/C48,1)</f>
        <v>170</v>
      </c>
      <c r="S48" s="83">
        <f>MAX(Раскройка!$F$2-E48*R48,0)</f>
        <v>0.35320000000000018</v>
      </c>
      <c r="T48" s="83">
        <f t="shared" si="45"/>
        <v>341.19120000000015</v>
      </c>
    </row>
    <row r="49" spans="1:22" x14ac:dyDescent="0.25">
      <c r="A49" s="83" t="s">
        <v>246</v>
      </c>
      <c r="B49" s="83">
        <v>534</v>
      </c>
      <c r="C49" s="83">
        <v>60</v>
      </c>
      <c r="D49" s="83">
        <v>19</v>
      </c>
      <c r="E49" s="83">
        <f t="shared" ref="E49" si="46">B49*C49/1000000</f>
        <v>3.2039999999999999E-2</v>
      </c>
      <c r="F49" s="20"/>
      <c r="G49" s="7" t="s">
        <v>12</v>
      </c>
      <c r="H49" s="83">
        <f>ROUND(Q49+T49/Раскройка!$F$2,0)</f>
        <v>779</v>
      </c>
      <c r="I49" s="83" t="s">
        <v>41</v>
      </c>
      <c r="J49" s="83">
        <v>2</v>
      </c>
      <c r="K49" s="83" t="s">
        <v>39</v>
      </c>
      <c r="L49" s="83">
        <v>4</v>
      </c>
      <c r="M49" s="83">
        <f>E49*(0.25*(VLOOKUP(I49,Покрытия!$A$2:$B$40,2,FALSE)*J49+VLOOKUP(K49,Покрытия!$A$2:$B$40,2,FALSE)*L49)+H49)</f>
        <v>77.825159999999997</v>
      </c>
      <c r="N49" s="83">
        <v>9</v>
      </c>
      <c r="O49" s="83">
        <f t="shared" ref="O49" si="47">M49*N49</f>
        <v>700.42643999999996</v>
      </c>
      <c r="P49" s="84"/>
      <c r="Q49" s="83">
        <f t="array" ref="Q49">INDEX(Материалы!$C$2:$C$50,MATCH(G49&amp;D49,Материалы!$A$2:$A$50&amp;Материалы!$B$2:$B$50,0))</f>
        <v>734</v>
      </c>
      <c r="R49" s="83">
        <f>FLOOR(Раскройка!$D$2/B49,1)*FLOOR(Раскройка!$C$2/C49,1)</f>
        <v>170</v>
      </c>
      <c r="S49" s="83">
        <f>MAX(Раскройка!$F$2-E49*R49,0)</f>
        <v>0.35320000000000018</v>
      </c>
      <c r="T49" s="83">
        <f t="shared" ref="T49" si="48">Q49*S49</f>
        <v>259.24880000000013</v>
      </c>
    </row>
    <row r="50" spans="1:22" x14ac:dyDescent="0.25">
      <c r="A50" s="83" t="s">
        <v>246</v>
      </c>
      <c r="B50" s="83">
        <v>330</v>
      </c>
      <c r="C50" s="83">
        <v>60</v>
      </c>
      <c r="D50" s="83">
        <v>19</v>
      </c>
      <c r="E50" s="83">
        <f t="shared" ref="E50" si="49">B50*C50/1000000</f>
        <v>1.9800000000000002E-2</v>
      </c>
      <c r="F50" s="20"/>
      <c r="G50" s="7" t="s">
        <v>12</v>
      </c>
      <c r="H50" s="83">
        <f>ROUND(Q50+T50/Раскройка!$F$2,0)</f>
        <v>786</v>
      </c>
      <c r="I50" s="83" t="s">
        <v>41</v>
      </c>
      <c r="J50" s="83">
        <v>2</v>
      </c>
      <c r="K50" s="83" t="s">
        <v>39</v>
      </c>
      <c r="L50" s="83">
        <v>4</v>
      </c>
      <c r="M50" s="83">
        <f>E50*(0.25*(VLOOKUP(I50,Покрытия!$A$2:$B$40,2,FALSE)*J50+VLOOKUP(K50,Покрытия!$A$2:$B$40,2,FALSE)*L50)+H50)</f>
        <v>48.232800000000005</v>
      </c>
      <c r="N50" s="83">
        <v>6</v>
      </c>
      <c r="O50" s="83">
        <f t="shared" ref="O50" si="50">M50*N50</f>
        <v>289.39680000000004</v>
      </c>
      <c r="P50" s="84"/>
      <c r="Q50" s="83">
        <f t="array" ref="Q50">INDEX(Материалы!$C$2:$C$50,MATCH(G50&amp;D50,Материалы!$A$2:$A$50&amp;Материалы!$B$2:$B$50,0))</f>
        <v>734</v>
      </c>
      <c r="R50" s="83">
        <f>FLOOR(Раскройка!$D$2/B50,1)*FLOOR(Раскройка!$C$2/C50,1)</f>
        <v>272</v>
      </c>
      <c r="S50" s="83">
        <f>MAX(Раскройка!$F$2-E50*R50,0)</f>
        <v>0.41439999999999966</v>
      </c>
      <c r="T50" s="83">
        <f t="shared" ref="T50" si="51">Q50*S50</f>
        <v>304.16959999999978</v>
      </c>
    </row>
    <row r="51" spans="1:22" x14ac:dyDescent="0.25">
      <c r="A51" s="77" t="s">
        <v>247</v>
      </c>
      <c r="B51" s="77">
        <v>534</v>
      </c>
      <c r="C51" s="77">
        <v>100</v>
      </c>
      <c r="D51" s="77">
        <v>55</v>
      </c>
      <c r="E51" s="77">
        <f>B51*C51*D51/1000000000</f>
        <v>2.9369999999999999E-3</v>
      </c>
      <c r="F51" s="77">
        <f>B51*C51/1000000</f>
        <v>5.3400000000000003E-2</v>
      </c>
      <c r="G51" s="77" t="s">
        <v>15</v>
      </c>
      <c r="H51" s="77">
        <f>ROUND(Q51+T51/Раскройка!$F$11,0)</f>
        <v>32000</v>
      </c>
      <c r="I51" s="77" t="s">
        <v>41</v>
      </c>
      <c r="J51" s="77">
        <v>2</v>
      </c>
      <c r="K51" s="77" t="s">
        <v>39</v>
      </c>
      <c r="L51" s="77">
        <v>4</v>
      </c>
      <c r="M51" s="77">
        <f>E51*H51+0.25*((VLOOKUP(I51,Покрытия!$A$2:$B$50,2,FALSE)*J51+VLOOKUP(K51,Покрытия!$A$2:$B$50,2,FALSE)*L51)*F51)</f>
        <v>182.09399999999999</v>
      </c>
      <c r="N51" s="77">
        <v>1</v>
      </c>
      <c r="O51" s="77">
        <f>M51*N51</f>
        <v>182.09399999999999</v>
      </c>
      <c r="P51" s="79"/>
      <c r="Q51" s="77">
        <f t="array" ref="Q51">INDEX(Материалы!$C$2:$C$50,MATCH(G51,Материалы!$A$2:$A$50,0))</f>
        <v>32000</v>
      </c>
      <c r="R51" s="77">
        <f>FLOOR(Раскройка!$C$11/C51,1)*FLOOR(Раскройка!$D$11/B51,1)</f>
        <v>15</v>
      </c>
      <c r="S51" s="77">
        <f>MAX(Раскройка!$F$11-E51*R51,0)</f>
        <v>0</v>
      </c>
      <c r="T51" s="77">
        <f>Q51*S51</f>
        <v>0</v>
      </c>
      <c r="U51" s="78"/>
    </row>
    <row r="54" spans="1:22" x14ac:dyDescent="0.25">
      <c r="A54" s="83" t="s">
        <v>250</v>
      </c>
      <c r="B54" s="83">
        <v>1000</v>
      </c>
      <c r="C54" s="83">
        <v>100</v>
      </c>
      <c r="D54" s="83">
        <v>42</v>
      </c>
      <c r="E54" s="83">
        <f>B54*C54*D54/1000000000</f>
        <v>4.1999999999999997E-3</v>
      </c>
      <c r="F54" s="83">
        <f>B54*C54/1000000</f>
        <v>0.1</v>
      </c>
      <c r="G54" s="83" t="s">
        <v>15</v>
      </c>
      <c r="H54" s="83">
        <f>ROUND(Q54+T54/Раскройка!$F$11,0)</f>
        <v>32000</v>
      </c>
      <c r="I54" s="83" t="s">
        <v>41</v>
      </c>
      <c r="J54" s="83">
        <v>2</v>
      </c>
      <c r="K54" s="83" t="s">
        <v>39</v>
      </c>
      <c r="L54" s="83">
        <v>4</v>
      </c>
      <c r="M54" s="83">
        <f>E54*H54+0.25*((VLOOKUP(I54,Покрытия!$A$2:$B$50,2,FALSE)*J54+VLOOKUP(K54,Покрытия!$A$2:$B$50,2,FALSE)*L54)*F54)</f>
        <v>299.39999999999998</v>
      </c>
      <c r="N54" s="83">
        <v>1</v>
      </c>
      <c r="O54" s="83">
        <f>M54*N54</f>
        <v>299.39999999999998</v>
      </c>
      <c r="P54" s="84"/>
      <c r="Q54" s="83">
        <f t="array" ref="Q54">INDEX(Материалы!$C$2:$C$50,MATCH(G54,Материалы!$A$2:$A$50,0))</f>
        <v>32000</v>
      </c>
      <c r="R54" s="83">
        <f>FLOOR(Раскройка!$C$11/C54,1)*FLOOR(Раскройка!$D$11/B54,1)</f>
        <v>9</v>
      </c>
      <c r="S54" s="83">
        <f>MAX(Раскройка!$F$11-E54*R54,0)</f>
        <v>0</v>
      </c>
      <c r="T54" s="83">
        <f>Q54*S54</f>
        <v>0</v>
      </c>
      <c r="U54" s="78"/>
    </row>
    <row r="55" spans="1:22" x14ac:dyDescent="0.25">
      <c r="A55" s="83" t="s">
        <v>250</v>
      </c>
      <c r="B55" s="83">
        <v>1000</v>
      </c>
      <c r="C55" s="83">
        <v>100</v>
      </c>
      <c r="D55" s="83">
        <v>20</v>
      </c>
      <c r="E55" s="83">
        <f>B55*C55*D55/1000000000</f>
        <v>2E-3</v>
      </c>
      <c r="F55" s="83">
        <f>B55*C55/1000000</f>
        <v>0.1</v>
      </c>
      <c r="G55" s="83" t="s">
        <v>15</v>
      </c>
      <c r="H55" s="83">
        <f>ROUND(Q55+T55/Раскройка!$F$11,0)</f>
        <v>38400</v>
      </c>
      <c r="I55" s="83" t="s">
        <v>41</v>
      </c>
      <c r="J55" s="83">
        <v>2</v>
      </c>
      <c r="K55" s="83" t="s">
        <v>39</v>
      </c>
      <c r="L55" s="83">
        <v>4</v>
      </c>
      <c r="M55" s="83">
        <f>E55*H55+0.25*((VLOOKUP(I55,Покрытия!$A$2:$B$50,2,FALSE)*J55+VLOOKUP(K55,Покрытия!$A$2:$B$50,2,FALSE)*L55)*F55)</f>
        <v>241.8</v>
      </c>
      <c r="N55" s="83">
        <v>1</v>
      </c>
      <c r="O55" s="83">
        <f>M55*N55</f>
        <v>241.8</v>
      </c>
      <c r="P55" s="84"/>
      <c r="Q55" s="83">
        <f t="array" ref="Q55">INDEX(Материалы!$C$2:$C$50,MATCH(G55,Материалы!$A$2:$A$50,0))</f>
        <v>32000</v>
      </c>
      <c r="R55" s="83">
        <f>FLOOR(Раскройка!$C$11/C55,1)*FLOOR(Раскройка!$D$11/B55,1)</f>
        <v>9</v>
      </c>
      <c r="S55" s="83">
        <f>MAX(Раскройка!$F$11-E55*R55,0)</f>
        <v>4.4999999999999971E-3</v>
      </c>
      <c r="T55" s="83">
        <f>Q55*S55</f>
        <v>143.99999999999991</v>
      </c>
      <c r="U55" s="78"/>
    </row>
    <row r="56" spans="1:22" x14ac:dyDescent="0.25">
      <c r="A56" s="83" t="s">
        <v>181</v>
      </c>
      <c r="B56" s="83">
        <v>1000</v>
      </c>
      <c r="C56" s="83">
        <v>150</v>
      </c>
      <c r="D56" s="83">
        <v>12</v>
      </c>
      <c r="E56" s="83">
        <f t="shared" ref="E56" si="52">B56*C56/1000000</f>
        <v>0.15</v>
      </c>
      <c r="F56" s="20"/>
      <c r="G56" s="7" t="s">
        <v>12</v>
      </c>
      <c r="H56" s="83">
        <f>ROUND(Q56+T56/Раскройка!$F$2,0)</f>
        <v>653</v>
      </c>
      <c r="I56" s="83" t="s">
        <v>41</v>
      </c>
      <c r="J56" s="83">
        <v>2</v>
      </c>
      <c r="K56" s="83" t="s">
        <v>39</v>
      </c>
      <c r="L56" s="83">
        <v>4</v>
      </c>
      <c r="M56" s="83">
        <f>E56*(0.25*(VLOOKUP(I56,Покрытия!$A$2:$B$40,2,FALSE)*J56+VLOOKUP(K56,Покрытия!$A$2:$B$40,2,FALSE)*L56)+H56)</f>
        <v>345.45</v>
      </c>
      <c r="N56" s="83">
        <v>1</v>
      </c>
      <c r="O56" s="83">
        <f t="shared" ref="O56" si="53">M56*N56</f>
        <v>345.45</v>
      </c>
      <c r="P56" s="84"/>
      <c r="Q56" s="83">
        <f t="array" ref="Q56">INDEX(Материалы!$C$2:$C$50,MATCH(G56&amp;D56,Материалы!$A$2:$A$50&amp;Материалы!$B$2:$B$50,0))</f>
        <v>492</v>
      </c>
      <c r="R56" s="83">
        <f>FLOOR(Раскройка!$D$2/B56,1)*FLOOR(Раскройка!$C$2/C56,1)</f>
        <v>26</v>
      </c>
      <c r="S56" s="83">
        <f>MAX(Раскройка!$F$2-E56*R56,0)</f>
        <v>1.9</v>
      </c>
      <c r="T56" s="83">
        <f t="shared" ref="T56" si="54">Q56*S56</f>
        <v>934.8</v>
      </c>
      <c r="U56" s="78"/>
    </row>
    <row r="58" spans="1:22" x14ac:dyDescent="0.25">
      <c r="A58" s="83" t="s">
        <v>252</v>
      </c>
      <c r="B58" s="83">
        <v>365</v>
      </c>
      <c r="C58" s="83">
        <v>62</v>
      </c>
      <c r="D58" s="83">
        <v>19</v>
      </c>
      <c r="E58" s="83">
        <f t="shared" ref="E58:E59" si="55">B58*C58/1000000</f>
        <v>2.2630000000000001E-2</v>
      </c>
      <c r="F58" s="20"/>
      <c r="G58" s="7" t="s">
        <v>12</v>
      </c>
      <c r="H58" s="83">
        <f>ROUND(Q58+T58/Раскройка!$F$2,0)</f>
        <v>806</v>
      </c>
      <c r="I58" s="83" t="s">
        <v>41</v>
      </c>
      <c r="J58" s="83">
        <v>2</v>
      </c>
      <c r="K58" s="83" t="s">
        <v>39</v>
      </c>
      <c r="L58" s="83">
        <v>4</v>
      </c>
      <c r="M58" s="83">
        <f>E58*(0.25*(VLOOKUP(I58,Покрытия!$A$2:$B$40,2,FALSE)*J58+VLOOKUP(K58,Покрытия!$A$2:$B$40,2,FALSE)*L58)+H58)</f>
        <v>55.579280000000004</v>
      </c>
      <c r="N58" s="83">
        <v>4</v>
      </c>
      <c r="O58" s="83">
        <f t="shared" ref="O58:O59" si="56">M58*N58</f>
        <v>222.31712000000002</v>
      </c>
      <c r="P58" s="84"/>
      <c r="Q58" s="83">
        <f t="array" ref="Q58">INDEX(Материалы!$C$2:$C$50,MATCH(G58&amp;D58,Материалы!$A$2:$A$50&amp;Материалы!$B$2:$B$50,0))</f>
        <v>734</v>
      </c>
      <c r="R58" s="83">
        <f>FLOOR(Раскройка!$D$2/B58,1)*FLOOR(Раскройка!$C$2/C58,1)</f>
        <v>231</v>
      </c>
      <c r="S58" s="83">
        <f>MAX(Раскройка!$F$2-E58*R58,0)</f>
        <v>0.57247000000000003</v>
      </c>
      <c r="T58" s="83">
        <f t="shared" ref="T58:T59" si="57">Q58*S58</f>
        <v>420.19298000000003</v>
      </c>
      <c r="U58" s="78"/>
    </row>
    <row r="59" spans="1:22" x14ac:dyDescent="0.25">
      <c r="A59" s="83" t="s">
        <v>253</v>
      </c>
      <c r="B59" s="83">
        <v>1100</v>
      </c>
      <c r="C59" s="83">
        <v>62</v>
      </c>
      <c r="D59" s="83">
        <v>19</v>
      </c>
      <c r="E59" s="83">
        <f t="shared" si="55"/>
        <v>6.8199999999999997E-2</v>
      </c>
      <c r="F59" s="20"/>
      <c r="G59" s="7" t="s">
        <v>12</v>
      </c>
      <c r="H59" s="83">
        <f>ROUND(Q59+T59/Раскройка!$F$2,0)</f>
        <v>898</v>
      </c>
      <c r="I59" s="83" t="s">
        <v>41</v>
      </c>
      <c r="J59" s="83">
        <v>2</v>
      </c>
      <c r="K59" s="83" t="s">
        <v>39</v>
      </c>
      <c r="L59" s="83">
        <v>4</v>
      </c>
      <c r="M59" s="83">
        <f>E59*(0.25*(VLOOKUP(I59,Покрытия!$A$2:$B$40,2,FALSE)*J59+VLOOKUP(K59,Покрытия!$A$2:$B$40,2,FALSE)*L59)+H59)</f>
        <v>173.77359999999999</v>
      </c>
      <c r="N59" s="83">
        <v>4</v>
      </c>
      <c r="O59" s="83">
        <f t="shared" si="56"/>
        <v>695.09439999999995</v>
      </c>
      <c r="P59" s="84"/>
      <c r="Q59" s="83">
        <f t="array" ref="Q59">INDEX(Материалы!$C$2:$C$50,MATCH(G59&amp;D59,Материалы!$A$2:$A$50&amp;Материалы!$B$2:$B$50,0))</f>
        <v>734</v>
      </c>
      <c r="R59" s="83">
        <f>FLOOR(Раскройка!$D$2/B59,1)*FLOOR(Раскройка!$C$2/C59,1)</f>
        <v>66</v>
      </c>
      <c r="S59" s="83">
        <f>MAX(Раскройка!$F$2-E59*R59,0)</f>
        <v>1.2988</v>
      </c>
      <c r="T59" s="83">
        <f t="shared" si="57"/>
        <v>953.31919999999991</v>
      </c>
      <c r="U59" s="78"/>
    </row>
    <row r="60" spans="1:22" x14ac:dyDescent="0.25">
      <c r="A60" s="83" t="s">
        <v>254</v>
      </c>
      <c r="B60" s="83">
        <v>1100</v>
      </c>
      <c r="C60" s="83">
        <v>62</v>
      </c>
      <c r="D60" s="83">
        <v>12</v>
      </c>
      <c r="E60" s="83">
        <f t="shared" ref="E60" si="58">B60*C60/1000000</f>
        <v>6.8199999999999997E-2</v>
      </c>
      <c r="F60" s="20"/>
      <c r="G60" s="7" t="s">
        <v>12</v>
      </c>
      <c r="H60" s="83">
        <f>ROUND(Q60+T60/Раскройка!$F$2,0)</f>
        <v>602</v>
      </c>
      <c r="I60" s="83" t="s">
        <v>41</v>
      </c>
      <c r="J60" s="83">
        <v>2</v>
      </c>
      <c r="K60" s="83" t="s">
        <v>39</v>
      </c>
      <c r="L60" s="83">
        <v>4</v>
      </c>
      <c r="M60" s="83">
        <f>E60*(0.25*(VLOOKUP(I60,Покрытия!$A$2:$B$40,2,FALSE)*J60+VLOOKUP(K60,Покрытия!$A$2:$B$40,2,FALSE)*L60)+H60)</f>
        <v>153.5864</v>
      </c>
      <c r="N60" s="83">
        <v>2</v>
      </c>
      <c r="O60" s="83">
        <f t="shared" ref="O60" si="59">M60*N60</f>
        <v>307.1728</v>
      </c>
      <c r="P60" s="84"/>
      <c r="Q60" s="83">
        <f t="array" ref="Q60">INDEX(Материалы!$C$2:$C$50,MATCH(G60&amp;D60,Материалы!$A$2:$A$50&amp;Материалы!$B$2:$B$50,0))</f>
        <v>492</v>
      </c>
      <c r="R60" s="83">
        <f>FLOOR(Раскройка!$D$2/B60,1)*FLOOR(Раскройка!$C$2/C60,1)</f>
        <v>66</v>
      </c>
      <c r="S60" s="83">
        <f>MAX(Раскройка!$F$2-E60*R60,0)</f>
        <v>1.2988</v>
      </c>
      <c r="T60" s="83">
        <f t="shared" ref="T60" si="60">Q60*S60</f>
        <v>639.00959999999998</v>
      </c>
      <c r="U60" s="78"/>
      <c r="V60" s="78"/>
    </row>
    <row r="62" spans="1:22" x14ac:dyDescent="0.25">
      <c r="A62" s="83" t="s">
        <v>252</v>
      </c>
      <c r="B62" s="83">
        <v>365</v>
      </c>
      <c r="C62" s="83">
        <v>62</v>
      </c>
      <c r="D62" s="83">
        <v>19</v>
      </c>
      <c r="E62" s="83">
        <f t="shared" ref="E62:E64" si="61">B62*C62/1000000</f>
        <v>2.2630000000000001E-2</v>
      </c>
      <c r="F62" s="20"/>
      <c r="G62" s="7" t="s">
        <v>12</v>
      </c>
      <c r="H62" s="83">
        <f>ROUND(Q62+T62/Раскройка!$F$2,0)</f>
        <v>806</v>
      </c>
      <c r="I62" s="83" t="s">
        <v>41</v>
      </c>
      <c r="J62" s="83">
        <v>2</v>
      </c>
      <c r="K62" s="83" t="s">
        <v>39</v>
      </c>
      <c r="L62" s="83">
        <v>4</v>
      </c>
      <c r="M62" s="83">
        <f>E62*(0.25*(VLOOKUP(I62,Покрытия!$A$2:$B$40,2,FALSE)*J62+VLOOKUP(K62,Покрытия!$A$2:$B$40,2,FALSE)*L62)+H62)</f>
        <v>55.579280000000004</v>
      </c>
      <c r="N62" s="83">
        <v>2</v>
      </c>
      <c r="O62" s="83">
        <f t="shared" ref="O62:O64" si="62">M62*N62</f>
        <v>111.15856000000001</v>
      </c>
      <c r="P62" s="84"/>
      <c r="Q62" s="83">
        <f t="array" ref="Q62">INDEX(Материалы!$C$2:$C$50,MATCH(G62&amp;D62,Материалы!$A$2:$A$50&amp;Материалы!$B$2:$B$50,0))</f>
        <v>734</v>
      </c>
      <c r="R62" s="83">
        <f>FLOOR(Раскройка!$D$2/B62,1)*FLOOR(Раскройка!$C$2/C62,1)</f>
        <v>231</v>
      </c>
      <c r="S62" s="83">
        <f>MAX(Раскройка!$F$2-E62*R62,0)</f>
        <v>0.57247000000000003</v>
      </c>
      <c r="T62" s="83">
        <f t="shared" ref="T62:T64" si="63">Q62*S62</f>
        <v>420.19298000000003</v>
      </c>
    </row>
    <row r="63" spans="1:22" x14ac:dyDescent="0.25">
      <c r="A63" s="83" t="s">
        <v>253</v>
      </c>
      <c r="B63" s="83">
        <v>1530</v>
      </c>
      <c r="C63" s="83">
        <v>62</v>
      </c>
      <c r="D63" s="83">
        <v>19</v>
      </c>
      <c r="E63" s="83">
        <f t="shared" si="61"/>
        <v>9.486E-2</v>
      </c>
      <c r="F63" s="20"/>
      <c r="G63" s="7" t="s">
        <v>12</v>
      </c>
      <c r="H63" s="83">
        <f>ROUND(Q63+T63/Раскройка!$F$2,0)</f>
        <v>1072</v>
      </c>
      <c r="I63" s="83" t="s">
        <v>41</v>
      </c>
      <c r="J63" s="83">
        <v>2</v>
      </c>
      <c r="K63" s="83" t="s">
        <v>39</v>
      </c>
      <c r="L63" s="83">
        <v>4</v>
      </c>
      <c r="M63" s="83">
        <f>E63*(0.25*(VLOOKUP(I63,Покрытия!$A$2:$B$40,2,FALSE)*J63+VLOOKUP(K63,Покрытия!$A$2:$B$40,2,FALSE)*L63)+H63)</f>
        <v>258.20891999999998</v>
      </c>
      <c r="N63" s="83">
        <v>2</v>
      </c>
      <c r="O63" s="83">
        <f t="shared" si="62"/>
        <v>516.41783999999996</v>
      </c>
      <c r="P63" s="84"/>
      <c r="Q63" s="83">
        <f t="array" ref="Q63">INDEX(Материалы!$C$2:$C$50,MATCH(G63&amp;D63,Материалы!$A$2:$A$50&amp;Материалы!$B$2:$B$50,0))</f>
        <v>734</v>
      </c>
      <c r="R63" s="83">
        <f>FLOOR(Раскройка!$D$2/B63,1)*FLOOR(Раскройка!$C$2/C63,1)</f>
        <v>33</v>
      </c>
      <c r="S63" s="83">
        <f>MAX(Раскройка!$F$2-E63*R63,0)</f>
        <v>2.6696199999999997</v>
      </c>
      <c r="T63" s="83">
        <f t="shared" si="63"/>
        <v>1959.5010799999998</v>
      </c>
    </row>
    <row r="64" spans="1:22" x14ac:dyDescent="0.25">
      <c r="A64" s="83" t="s">
        <v>254</v>
      </c>
      <c r="B64" s="83">
        <v>1530</v>
      </c>
      <c r="C64" s="83">
        <v>62</v>
      </c>
      <c r="D64" s="83">
        <v>12</v>
      </c>
      <c r="E64" s="83">
        <f t="shared" si="61"/>
        <v>9.486E-2</v>
      </c>
      <c r="F64" s="20"/>
      <c r="G64" s="7" t="s">
        <v>12</v>
      </c>
      <c r="H64" s="83">
        <f>ROUND(Q64+T64/Раскройка!$F$2,0)</f>
        <v>718</v>
      </c>
      <c r="I64" s="83" t="s">
        <v>41</v>
      </c>
      <c r="J64" s="83">
        <v>2</v>
      </c>
      <c r="K64" s="83" t="s">
        <v>39</v>
      </c>
      <c r="L64" s="83">
        <v>4</v>
      </c>
      <c r="M64" s="83">
        <f>E64*(0.25*(VLOOKUP(I64,Покрытия!$A$2:$B$40,2,FALSE)*J64+VLOOKUP(K64,Покрытия!$A$2:$B$40,2,FALSE)*L64)+H64)</f>
        <v>224.62848</v>
      </c>
      <c r="N64" s="83">
        <v>1</v>
      </c>
      <c r="O64" s="83">
        <f t="shared" si="62"/>
        <v>224.62848</v>
      </c>
      <c r="P64" s="84"/>
      <c r="Q64" s="83">
        <f t="array" ref="Q64">INDEX(Материалы!$C$2:$C$50,MATCH(G64&amp;D64,Материалы!$A$2:$A$50&amp;Материалы!$B$2:$B$50,0))</f>
        <v>492</v>
      </c>
      <c r="R64" s="83">
        <f>FLOOR(Раскройка!$D$2/B64,1)*FLOOR(Раскройка!$C$2/C64,1)</f>
        <v>33</v>
      </c>
      <c r="S64" s="83">
        <f>MAX(Раскройка!$F$2-E64*R64,0)</f>
        <v>2.6696199999999997</v>
      </c>
      <c r="T64" s="83">
        <f t="shared" si="63"/>
        <v>1313.4530399999999</v>
      </c>
    </row>
  </sheetData>
  <mergeCells count="12">
    <mergeCell ref="F2:F3"/>
    <mergeCell ref="L2:L3"/>
    <mergeCell ref="A2:A3"/>
    <mergeCell ref="B2:B3"/>
    <mergeCell ref="C2:C3"/>
    <mergeCell ref="D2:D3"/>
    <mergeCell ref="E2:E3"/>
    <mergeCell ref="G2:G3"/>
    <mergeCell ref="H2:H3"/>
    <mergeCell ref="I2:I3"/>
    <mergeCell ref="J2:J3"/>
    <mergeCell ref="K2:K3"/>
  </mergeCells>
  <pageMargins left="0.7" right="0.7" top="0.75" bottom="0.75" header="0.3" footer="0.3"/>
  <pageSetup paperSize="8" scale="65" fitToHeight="0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25" sqref="O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Материалы</vt:lpstr>
      <vt:lpstr>Раскройка</vt:lpstr>
      <vt:lpstr>Покрытия</vt:lpstr>
      <vt:lpstr>Формулы расчета</vt:lpstr>
      <vt:lpstr>Тумба ТВ вариант 2</vt:lpstr>
      <vt:lpstr>Ванная Сына</vt:lpstr>
      <vt:lpstr>Массажная</vt:lpstr>
      <vt:lpstr>Кабинет</vt:lpstr>
      <vt:lpstr>Технический Экран</vt:lpstr>
      <vt:lpstr>Навесной потолок</vt:lpstr>
      <vt:lpstr>Спальня Дочери</vt:lpstr>
      <vt:lpstr>Гардеробная гостевая</vt:lpstr>
      <vt:lpstr>Оконные порталы 3 этаж</vt:lpstr>
      <vt:lpstr>Плинтус</vt:lpstr>
      <vt:lpstr>Дверной Портал</vt:lpstr>
      <vt:lpstr>Оконные порталы 2 Этаж</vt:lpstr>
      <vt:lpstr>Ванная Дочери</vt:lpstr>
      <vt:lpstr>Экраны Радиаторов 2 Этаж</vt:lpstr>
      <vt:lpstr>Главная Ванная 2 Этаж</vt:lpstr>
      <vt:lpstr>Плинтус 2й этаж</vt:lpstr>
      <vt:lpstr>Дверной портал 2й этаж</vt:lpstr>
      <vt:lpstr>Помещение 1.6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2017-07-18T12:23:08Z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efae7cd7-4e37-47dc-a700-dd06297ca9c9</vt:lpwstr>
  </property>
</Properties>
</file>