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ap\Documents\Statistics\"/>
    </mc:Choice>
  </mc:AlternateContent>
  <xr:revisionPtr revIDLastSave="0" documentId="13_ncr:1_{6B790C40-E52A-49A6-827C-C1FE7C3BF46A}" xr6:coauthVersionLast="47" xr6:coauthVersionMax="47" xr10:uidLastSave="{00000000-0000-0000-0000-000000000000}"/>
  <bookViews>
    <workbookView xWindow="-120" yWindow="-120" windowWidth="20730" windowHeight="11160" firstSheet="6" activeTab="8" xr2:uid="{92C04192-8A0C-4BB4-9105-9ABE56BD5EAB}"/>
  </bookViews>
  <sheets>
    <sheet name="Mean" sheetId="1" r:id="rId1"/>
    <sheet name="Median" sheetId="2" r:id="rId2"/>
    <sheet name="Mode" sheetId="3" r:id="rId3"/>
    <sheet name="Quartile" sheetId="4" r:id="rId4"/>
    <sheet name="Mean Deviation" sheetId="5" r:id="rId5"/>
    <sheet name="Standard Deviation" sheetId="7" r:id="rId6"/>
    <sheet name="correlation" sheetId="13" r:id="rId7"/>
    <sheet name="Regression" sheetId="14" r:id="rId8"/>
    <sheet name="Hypothesis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3" i="15" l="1"/>
  <c r="F256" i="15"/>
  <c r="C256" i="15"/>
  <c r="B256" i="15"/>
  <c r="F252" i="15"/>
  <c r="F253" i="15"/>
  <c r="F254" i="15"/>
  <c r="F255" i="15"/>
  <c r="F251" i="15"/>
  <c r="E252" i="15"/>
  <c r="E253" i="15"/>
  <c r="E254" i="15"/>
  <c r="E255" i="15"/>
  <c r="E251" i="15"/>
  <c r="D252" i="15"/>
  <c r="D253" i="15"/>
  <c r="D254" i="15"/>
  <c r="D255" i="15"/>
  <c r="D251" i="15"/>
  <c r="J239" i="15"/>
  <c r="F244" i="15"/>
  <c r="C244" i="15"/>
  <c r="B244" i="15"/>
  <c r="F238" i="15"/>
  <c r="F239" i="15"/>
  <c r="F240" i="15"/>
  <c r="F241" i="15"/>
  <c r="F242" i="15"/>
  <c r="F243" i="15"/>
  <c r="F237" i="15"/>
  <c r="E238" i="15"/>
  <c r="E239" i="15"/>
  <c r="E240" i="15"/>
  <c r="E241" i="15"/>
  <c r="E242" i="15"/>
  <c r="E243" i="15"/>
  <c r="E237" i="15"/>
  <c r="D238" i="15"/>
  <c r="D239" i="15"/>
  <c r="D240" i="15"/>
  <c r="D241" i="15"/>
  <c r="D242" i="15"/>
  <c r="D243" i="15"/>
  <c r="D237" i="15"/>
  <c r="F230" i="15"/>
  <c r="C230" i="15"/>
  <c r="B230" i="15"/>
  <c r="J227" i="15"/>
  <c r="F226" i="15"/>
  <c r="F227" i="15"/>
  <c r="F228" i="15"/>
  <c r="F229" i="15"/>
  <c r="F225" i="15"/>
  <c r="E226" i="15"/>
  <c r="E227" i="15"/>
  <c r="E228" i="15"/>
  <c r="E229" i="15"/>
  <c r="E225" i="15"/>
  <c r="D226" i="15"/>
  <c r="D227" i="15"/>
  <c r="D228" i="15"/>
  <c r="D229" i="15"/>
  <c r="D225" i="15"/>
  <c r="C219" i="15"/>
  <c r="B219" i="15"/>
  <c r="F219" i="15"/>
  <c r="J214" i="15"/>
  <c r="F213" i="15"/>
  <c r="F214" i="15"/>
  <c r="F215" i="15"/>
  <c r="F216" i="15"/>
  <c r="F217" i="15"/>
  <c r="F218" i="15"/>
  <c r="F212" i="15"/>
  <c r="E213" i="15"/>
  <c r="E214" i="15"/>
  <c r="E215" i="15"/>
  <c r="E216" i="15"/>
  <c r="E217" i="15"/>
  <c r="E218" i="15"/>
  <c r="E212" i="15"/>
  <c r="D213" i="15"/>
  <c r="D214" i="15"/>
  <c r="D215" i="15"/>
  <c r="D216" i="15"/>
  <c r="D217" i="15"/>
  <c r="D218" i="15"/>
  <c r="D212" i="15"/>
  <c r="J202" i="15"/>
  <c r="F206" i="15"/>
  <c r="C206" i="15"/>
  <c r="B206" i="15"/>
  <c r="F201" i="15"/>
  <c r="F202" i="15"/>
  <c r="F203" i="15"/>
  <c r="F204" i="15"/>
  <c r="F205" i="15"/>
  <c r="F200" i="15"/>
  <c r="E201" i="15"/>
  <c r="E202" i="15"/>
  <c r="E203" i="15"/>
  <c r="E204" i="15"/>
  <c r="E205" i="15"/>
  <c r="E200" i="15"/>
  <c r="D201" i="15"/>
  <c r="D202" i="15"/>
  <c r="D203" i="15"/>
  <c r="D204" i="15"/>
  <c r="D205" i="15"/>
  <c r="D200" i="15"/>
  <c r="J185" i="15"/>
  <c r="C193" i="15"/>
  <c r="B193" i="15"/>
  <c r="E184" i="15"/>
  <c r="F184" i="15" s="1"/>
  <c r="E185" i="15"/>
  <c r="F185" i="15" s="1"/>
  <c r="E188" i="15"/>
  <c r="F188" i="15" s="1"/>
  <c r="E189" i="15"/>
  <c r="F189" i="15" s="1"/>
  <c r="E192" i="15"/>
  <c r="F192" i="15" s="1"/>
  <c r="E183" i="15"/>
  <c r="F183" i="15" s="1"/>
  <c r="D184" i="15"/>
  <c r="D185" i="15"/>
  <c r="D186" i="15"/>
  <c r="E186" i="15" s="1"/>
  <c r="F186" i="15" s="1"/>
  <c r="D187" i="15"/>
  <c r="E187" i="15" s="1"/>
  <c r="F187" i="15" s="1"/>
  <c r="D188" i="15"/>
  <c r="D189" i="15"/>
  <c r="D190" i="15"/>
  <c r="E190" i="15" s="1"/>
  <c r="F190" i="15" s="1"/>
  <c r="D191" i="15"/>
  <c r="E191" i="15" s="1"/>
  <c r="F191" i="15" s="1"/>
  <c r="D192" i="15"/>
  <c r="D183" i="15"/>
  <c r="J170" i="15"/>
  <c r="F176" i="15"/>
  <c r="C176" i="15"/>
  <c r="B176" i="15"/>
  <c r="F169" i="15"/>
  <c r="F170" i="15"/>
  <c r="F171" i="15"/>
  <c r="F172" i="15"/>
  <c r="F173" i="15"/>
  <c r="F174" i="15"/>
  <c r="F175" i="15"/>
  <c r="F168" i="15"/>
  <c r="E169" i="15"/>
  <c r="E170" i="15"/>
  <c r="E171" i="15"/>
  <c r="E172" i="15"/>
  <c r="E173" i="15"/>
  <c r="E174" i="15"/>
  <c r="E175" i="15"/>
  <c r="E168" i="15"/>
  <c r="D169" i="15"/>
  <c r="D170" i="15"/>
  <c r="D171" i="15"/>
  <c r="D172" i="15"/>
  <c r="D173" i="15"/>
  <c r="D174" i="15"/>
  <c r="D175" i="15"/>
  <c r="D168" i="15"/>
  <c r="J154" i="15"/>
  <c r="F161" i="15"/>
  <c r="C161" i="15"/>
  <c r="B161" i="15"/>
  <c r="F154" i="15"/>
  <c r="F155" i="15"/>
  <c r="F156" i="15"/>
  <c r="F157" i="15"/>
  <c r="F158" i="15"/>
  <c r="F159" i="15"/>
  <c r="F160" i="15"/>
  <c r="F153" i="15"/>
  <c r="E154" i="15"/>
  <c r="E155" i="15"/>
  <c r="E156" i="15"/>
  <c r="E157" i="15"/>
  <c r="E158" i="15"/>
  <c r="E159" i="15"/>
  <c r="E160" i="15"/>
  <c r="E153" i="15"/>
  <c r="D154" i="15"/>
  <c r="D155" i="15"/>
  <c r="D156" i="15"/>
  <c r="D157" i="15"/>
  <c r="D158" i="15"/>
  <c r="D159" i="15"/>
  <c r="D160" i="15"/>
  <c r="D153" i="15"/>
  <c r="J140" i="15"/>
  <c r="F146" i="15"/>
  <c r="C146" i="15"/>
  <c r="B146" i="15"/>
  <c r="F144" i="15"/>
  <c r="F143" i="15"/>
  <c r="F142" i="15"/>
  <c r="F141" i="15"/>
  <c r="F140" i="15"/>
  <c r="F139" i="15"/>
  <c r="E144" i="15"/>
  <c r="E143" i="15"/>
  <c r="E142" i="15"/>
  <c r="E141" i="15"/>
  <c r="E140" i="15"/>
  <c r="E139" i="15"/>
  <c r="D144" i="15"/>
  <c r="D143" i="15"/>
  <c r="D142" i="15"/>
  <c r="D141" i="15"/>
  <c r="D140" i="15"/>
  <c r="D139" i="15"/>
  <c r="I122" i="15"/>
  <c r="E131" i="15"/>
  <c r="E127" i="15"/>
  <c r="D132" i="15"/>
  <c r="E132" i="15" s="1"/>
  <c r="D131" i="15"/>
  <c r="D130" i="15"/>
  <c r="E130" i="15" s="1"/>
  <c r="D129" i="15"/>
  <c r="E129" i="15" s="1"/>
  <c r="D128" i="15"/>
  <c r="E128" i="15" s="1"/>
  <c r="D127" i="15"/>
  <c r="C132" i="15"/>
  <c r="C131" i="15"/>
  <c r="C130" i="15"/>
  <c r="C129" i="15"/>
  <c r="C128" i="15"/>
  <c r="C127" i="15"/>
  <c r="E123" i="15"/>
  <c r="D123" i="15"/>
  <c r="C123" i="15"/>
  <c r="B123" i="15"/>
  <c r="I110" i="15"/>
  <c r="E115" i="15"/>
  <c r="E114" i="15"/>
  <c r="E113" i="15"/>
  <c r="E112" i="15"/>
  <c r="E111" i="15"/>
  <c r="E110" i="15"/>
  <c r="E109" i="15"/>
  <c r="D114" i="15"/>
  <c r="D113" i="15"/>
  <c r="D112" i="15"/>
  <c r="D111" i="15"/>
  <c r="D110" i="15"/>
  <c r="D109" i="15"/>
  <c r="C114" i="15"/>
  <c r="C113" i="15"/>
  <c r="C112" i="15"/>
  <c r="C111" i="15"/>
  <c r="C110" i="15"/>
  <c r="C109" i="15"/>
  <c r="C105" i="15"/>
  <c r="B105" i="15"/>
  <c r="D104" i="15"/>
  <c r="D103" i="15"/>
  <c r="D102" i="15"/>
  <c r="D105" i="15" s="1"/>
  <c r="J85" i="15"/>
  <c r="F95" i="15"/>
  <c r="C95" i="15"/>
  <c r="B95" i="15"/>
  <c r="F85" i="15"/>
  <c r="F86" i="15"/>
  <c r="F87" i="15"/>
  <c r="F88" i="15"/>
  <c r="F89" i="15"/>
  <c r="F90" i="15"/>
  <c r="F91" i="15"/>
  <c r="F92" i="15"/>
  <c r="F93" i="15"/>
  <c r="F84" i="15"/>
  <c r="E93" i="15"/>
  <c r="E92" i="15"/>
  <c r="E91" i="15"/>
  <c r="E90" i="15"/>
  <c r="E89" i="15"/>
  <c r="E88" i="15"/>
  <c r="E87" i="15"/>
  <c r="E86" i="15"/>
  <c r="E85" i="15"/>
  <c r="E84" i="15"/>
  <c r="D93" i="15"/>
  <c r="D92" i="15"/>
  <c r="D91" i="15"/>
  <c r="D90" i="15"/>
  <c r="D89" i="15"/>
  <c r="D88" i="15"/>
  <c r="D87" i="15"/>
  <c r="D86" i="15"/>
  <c r="D85" i="15"/>
  <c r="D84" i="15"/>
  <c r="I70" i="15"/>
  <c r="I69" i="15"/>
  <c r="H68" i="15"/>
  <c r="E77" i="15"/>
  <c r="E76" i="15"/>
  <c r="E75" i="15"/>
  <c r="E74" i="15"/>
  <c r="E73" i="15"/>
  <c r="E72" i="15"/>
  <c r="E71" i="15"/>
  <c r="E70" i="15"/>
  <c r="E69" i="15"/>
  <c r="D76" i="15"/>
  <c r="D75" i="15"/>
  <c r="D74" i="15"/>
  <c r="D73" i="15"/>
  <c r="D72" i="15"/>
  <c r="D71" i="15"/>
  <c r="D70" i="15"/>
  <c r="D69" i="15"/>
  <c r="C76" i="15"/>
  <c r="C75" i="15"/>
  <c r="C74" i="15"/>
  <c r="C73" i="15"/>
  <c r="C72" i="15"/>
  <c r="C71" i="15"/>
  <c r="C70" i="15"/>
  <c r="C69" i="15"/>
  <c r="F64" i="15"/>
  <c r="F63" i="15"/>
  <c r="F62" i="15"/>
  <c r="E64" i="15"/>
  <c r="D64" i="15"/>
  <c r="C64" i="15"/>
  <c r="B64" i="15"/>
  <c r="I51" i="15"/>
  <c r="I49" i="15"/>
  <c r="E54" i="15"/>
  <c r="E53" i="15"/>
  <c r="E52" i="15"/>
  <c r="E51" i="15"/>
  <c r="E50" i="15"/>
  <c r="D53" i="15"/>
  <c r="D52" i="15"/>
  <c r="D51" i="15"/>
  <c r="D50" i="15"/>
  <c r="C53" i="15"/>
  <c r="C51" i="15"/>
  <c r="C50" i="15"/>
  <c r="E45" i="15"/>
  <c r="D45" i="15"/>
  <c r="C45" i="15"/>
  <c r="E44" i="15"/>
  <c r="E43" i="15"/>
  <c r="I29" i="15"/>
  <c r="H27" i="15"/>
  <c r="E35" i="15"/>
  <c r="E34" i="15"/>
  <c r="E33" i="15"/>
  <c r="E32" i="15"/>
  <c r="E31" i="15"/>
  <c r="E30" i="15"/>
  <c r="E29" i="15"/>
  <c r="E28" i="15"/>
  <c r="D32" i="15"/>
  <c r="D29" i="15"/>
  <c r="D31" i="15"/>
  <c r="D28" i="15"/>
  <c r="B36" i="15"/>
  <c r="B35" i="15"/>
  <c r="H19" i="15"/>
  <c r="G17" i="15"/>
  <c r="D22" i="15"/>
  <c r="D21" i="15"/>
  <c r="D20" i="15"/>
  <c r="D19" i="15"/>
  <c r="D18" i="15"/>
  <c r="C21" i="15"/>
  <c r="C20" i="15"/>
  <c r="C19" i="15"/>
  <c r="C18" i="15"/>
  <c r="B21" i="15"/>
  <c r="B20" i="15"/>
  <c r="B19" i="15"/>
  <c r="B18" i="15"/>
  <c r="I9" i="15"/>
  <c r="F11" i="15"/>
  <c r="C11" i="15"/>
  <c r="F9" i="15"/>
  <c r="F8" i="15"/>
  <c r="F7" i="15"/>
  <c r="F6" i="15"/>
  <c r="F5" i="15"/>
  <c r="F4" i="15"/>
  <c r="E9" i="15"/>
  <c r="E8" i="15"/>
  <c r="E7" i="15"/>
  <c r="E6" i="15"/>
  <c r="E5" i="15"/>
  <c r="E4" i="15"/>
  <c r="D9" i="15"/>
  <c r="D8" i="15"/>
  <c r="D6" i="15"/>
  <c r="D5" i="15"/>
  <c r="D4" i="15"/>
  <c r="B11" i="15"/>
  <c r="R97" i="7"/>
  <c r="R95" i="7"/>
  <c r="R93" i="7"/>
  <c r="O102" i="7"/>
  <c r="N102" i="7"/>
  <c r="L102" i="7"/>
  <c r="O101" i="7"/>
  <c r="O100" i="7"/>
  <c r="O99" i="7"/>
  <c r="O98" i="7"/>
  <c r="O95" i="7"/>
  <c r="O96" i="7"/>
  <c r="O97" i="7"/>
  <c r="O94" i="7"/>
  <c r="O93" i="7"/>
  <c r="O92" i="7"/>
  <c r="N101" i="7"/>
  <c r="N100" i="7"/>
  <c r="N99" i="7"/>
  <c r="N98" i="7"/>
  <c r="N97" i="7"/>
  <c r="N96" i="7"/>
  <c r="N95" i="7"/>
  <c r="N94" i="7"/>
  <c r="N93" i="7"/>
  <c r="N92" i="7"/>
  <c r="M101" i="7"/>
  <c r="M100" i="7"/>
  <c r="M99" i="7"/>
  <c r="M98" i="7"/>
  <c r="M97" i="7"/>
  <c r="M96" i="7"/>
  <c r="M95" i="7"/>
  <c r="M94" i="7"/>
  <c r="M93" i="7"/>
  <c r="M92" i="7"/>
  <c r="Q84" i="3"/>
  <c r="V115" i="2"/>
  <c r="V109" i="2"/>
  <c r="S118" i="2"/>
  <c r="S117" i="2"/>
  <c r="S116" i="2"/>
  <c r="S115" i="2"/>
  <c r="S114" i="2"/>
  <c r="S113" i="2"/>
  <c r="S112" i="2"/>
  <c r="S111" i="2"/>
  <c r="S110" i="2"/>
  <c r="R135" i="1"/>
  <c r="M129" i="1"/>
  <c r="S133" i="1"/>
  <c r="Q133" i="1"/>
  <c r="S131" i="1"/>
  <c r="S130" i="1"/>
  <c r="S129" i="1"/>
  <c r="S128" i="1"/>
  <c r="S127" i="1"/>
  <c r="S126" i="1"/>
  <c r="S125" i="1"/>
  <c r="S124" i="1"/>
  <c r="S123" i="1"/>
  <c r="S122" i="1"/>
  <c r="R131" i="1"/>
  <c r="R130" i="1"/>
  <c r="R129" i="1"/>
  <c r="R128" i="1"/>
  <c r="R127" i="1"/>
  <c r="R126" i="1"/>
  <c r="R125" i="1"/>
  <c r="R124" i="1"/>
  <c r="R123" i="1"/>
  <c r="R122" i="1"/>
  <c r="H97" i="7"/>
  <c r="H95" i="7"/>
  <c r="H93" i="7"/>
  <c r="B97" i="7"/>
  <c r="D95" i="7"/>
  <c r="E95" i="7" s="1"/>
  <c r="D94" i="7"/>
  <c r="E94" i="7" s="1"/>
  <c r="D93" i="7"/>
  <c r="E93" i="7" s="1"/>
  <c r="D92" i="7"/>
  <c r="D97" i="7" s="1"/>
  <c r="C95" i="7"/>
  <c r="C94" i="7"/>
  <c r="C93" i="7"/>
  <c r="C92" i="7"/>
  <c r="K85" i="3"/>
  <c r="N115" i="2"/>
  <c r="N109" i="2"/>
  <c r="J113" i="2"/>
  <c r="K112" i="2"/>
  <c r="K111" i="2"/>
  <c r="K110" i="2"/>
  <c r="N127" i="1"/>
  <c r="L127" i="1"/>
  <c r="N125" i="1"/>
  <c r="N124" i="1"/>
  <c r="N123" i="1"/>
  <c r="N122" i="1"/>
  <c r="M125" i="1"/>
  <c r="M124" i="1"/>
  <c r="M123" i="1"/>
  <c r="M122" i="1"/>
  <c r="I93" i="14"/>
  <c r="I92" i="14"/>
  <c r="I91" i="14"/>
  <c r="I90" i="14"/>
  <c r="I89" i="14"/>
  <c r="I87" i="14"/>
  <c r="I88" i="14"/>
  <c r="I72" i="14"/>
  <c r="I73" i="14"/>
  <c r="I74" i="14"/>
  <c r="I71" i="14"/>
  <c r="I70" i="14"/>
  <c r="I60" i="14"/>
  <c r="I59" i="14"/>
  <c r="I58" i="14"/>
  <c r="I57" i="14"/>
  <c r="I56" i="14"/>
  <c r="I55" i="14"/>
  <c r="I54" i="14"/>
  <c r="I108" i="14"/>
  <c r="I106" i="14"/>
  <c r="I105" i="14"/>
  <c r="I104" i="14"/>
  <c r="I103" i="14"/>
  <c r="I102" i="14"/>
  <c r="I20" i="14"/>
  <c r="H106" i="14"/>
  <c r="H105" i="14"/>
  <c r="H104" i="14"/>
  <c r="H103" i="14"/>
  <c r="H102" i="14"/>
  <c r="L102" i="14"/>
  <c r="L101" i="14"/>
  <c r="F108" i="14"/>
  <c r="G108" i="14"/>
  <c r="G106" i="14"/>
  <c r="G105" i="14"/>
  <c r="G104" i="14"/>
  <c r="G103" i="14"/>
  <c r="G102" i="14"/>
  <c r="F106" i="14"/>
  <c r="F105" i="14"/>
  <c r="F104" i="14"/>
  <c r="F103" i="14"/>
  <c r="F102" i="14"/>
  <c r="E106" i="14"/>
  <c r="E105" i="14"/>
  <c r="E104" i="14"/>
  <c r="E103" i="14"/>
  <c r="E102" i="14"/>
  <c r="D106" i="14"/>
  <c r="D105" i="14"/>
  <c r="D104" i="14"/>
  <c r="D103" i="14"/>
  <c r="D102" i="14"/>
  <c r="C109" i="14"/>
  <c r="B109" i="14"/>
  <c r="C108" i="14"/>
  <c r="B108" i="14"/>
  <c r="H93" i="14"/>
  <c r="H92" i="14"/>
  <c r="H91" i="14"/>
  <c r="H90" i="14"/>
  <c r="H89" i="14"/>
  <c r="H88" i="14"/>
  <c r="H87" i="14"/>
  <c r="L87" i="14"/>
  <c r="L86" i="14"/>
  <c r="F95" i="14"/>
  <c r="G95" i="14"/>
  <c r="G93" i="14"/>
  <c r="G92" i="14"/>
  <c r="G91" i="14"/>
  <c r="G90" i="14"/>
  <c r="G89" i="14"/>
  <c r="G88" i="14"/>
  <c r="G87" i="14"/>
  <c r="F93" i="14"/>
  <c r="F92" i="14"/>
  <c r="F91" i="14"/>
  <c r="F90" i="14"/>
  <c r="F89" i="14"/>
  <c r="F88" i="14"/>
  <c r="F87" i="14"/>
  <c r="E93" i="14"/>
  <c r="E92" i="14"/>
  <c r="E91" i="14"/>
  <c r="E90" i="14"/>
  <c r="E89" i="14"/>
  <c r="E88" i="14"/>
  <c r="E87" i="14"/>
  <c r="D93" i="14"/>
  <c r="D92" i="14"/>
  <c r="D91" i="14"/>
  <c r="D90" i="14"/>
  <c r="D89" i="14"/>
  <c r="D88" i="14"/>
  <c r="D87" i="14"/>
  <c r="C96" i="14"/>
  <c r="B96" i="14"/>
  <c r="C95" i="14"/>
  <c r="B95" i="14"/>
  <c r="C81" i="14"/>
  <c r="H74" i="14"/>
  <c r="H73" i="14"/>
  <c r="H72" i="14"/>
  <c r="H71" i="14"/>
  <c r="H70" i="14"/>
  <c r="L70" i="14"/>
  <c r="L69" i="14"/>
  <c r="F76" i="14"/>
  <c r="G76" i="14"/>
  <c r="G74" i="14"/>
  <c r="G73" i="14"/>
  <c r="G72" i="14"/>
  <c r="G71" i="14"/>
  <c r="G70" i="14"/>
  <c r="F74" i="14"/>
  <c r="F73" i="14"/>
  <c r="F72" i="14"/>
  <c r="F71" i="14"/>
  <c r="F70" i="14"/>
  <c r="E74" i="14"/>
  <c r="E73" i="14"/>
  <c r="E72" i="14"/>
  <c r="E70" i="14"/>
  <c r="E71" i="14"/>
  <c r="D74" i="14"/>
  <c r="D73" i="14"/>
  <c r="D72" i="14"/>
  <c r="D71" i="14"/>
  <c r="D70" i="14"/>
  <c r="C77" i="14"/>
  <c r="B77" i="14"/>
  <c r="C76" i="14"/>
  <c r="B76" i="14"/>
  <c r="H60" i="14"/>
  <c r="H59" i="14"/>
  <c r="H58" i="14"/>
  <c r="H57" i="14"/>
  <c r="H56" i="14"/>
  <c r="H55" i="14"/>
  <c r="H54" i="14"/>
  <c r="L54" i="14"/>
  <c r="L53" i="14"/>
  <c r="F62" i="14"/>
  <c r="G62" i="14"/>
  <c r="G60" i="14"/>
  <c r="G59" i="14"/>
  <c r="G58" i="14"/>
  <c r="G57" i="14"/>
  <c r="G56" i="14"/>
  <c r="G55" i="14"/>
  <c r="G54" i="14"/>
  <c r="F60" i="14"/>
  <c r="F59" i="14"/>
  <c r="F58" i="14"/>
  <c r="F57" i="14"/>
  <c r="F56" i="14"/>
  <c r="F55" i="14"/>
  <c r="F54" i="14"/>
  <c r="E60" i="14"/>
  <c r="E59" i="14"/>
  <c r="E58" i="14"/>
  <c r="E57" i="14"/>
  <c r="E56" i="14"/>
  <c r="E55" i="14"/>
  <c r="E54" i="14"/>
  <c r="D60" i="14"/>
  <c r="D59" i="14"/>
  <c r="D58" i="14"/>
  <c r="D57" i="14"/>
  <c r="D56" i="14"/>
  <c r="D55" i="14"/>
  <c r="D54" i="14"/>
  <c r="C63" i="14"/>
  <c r="B63" i="14"/>
  <c r="C62" i="14"/>
  <c r="B62" i="14"/>
  <c r="G42" i="14"/>
  <c r="F42" i="14"/>
  <c r="E44" i="14"/>
  <c r="E43" i="14"/>
  <c r="E42" i="14"/>
  <c r="E41" i="14"/>
  <c r="E40" i="14"/>
  <c r="E39" i="14"/>
  <c r="G39" i="14" s="1"/>
  <c r="D44" i="14"/>
  <c r="G44" i="14" s="1"/>
  <c r="D43" i="14"/>
  <c r="G43" i="14" s="1"/>
  <c r="D42" i="14"/>
  <c r="D41" i="14"/>
  <c r="F41" i="14" s="1"/>
  <c r="D40" i="14"/>
  <c r="G40" i="14" s="1"/>
  <c r="D39" i="14"/>
  <c r="F39" i="14" s="1"/>
  <c r="C47" i="14"/>
  <c r="B47" i="14"/>
  <c r="C46" i="14"/>
  <c r="B46" i="14"/>
  <c r="F24" i="14"/>
  <c r="F28" i="14"/>
  <c r="E23" i="14"/>
  <c r="E22" i="14"/>
  <c r="E21" i="14"/>
  <c r="E20" i="14"/>
  <c r="D29" i="14"/>
  <c r="D28" i="14"/>
  <c r="D27" i="14"/>
  <c r="F27" i="14" s="1"/>
  <c r="D26" i="14"/>
  <c r="D25" i="14"/>
  <c r="D24" i="14"/>
  <c r="D23" i="14"/>
  <c r="F23" i="14" s="1"/>
  <c r="D22" i="14"/>
  <c r="G22" i="14" s="1"/>
  <c r="D21" i="14"/>
  <c r="G21" i="14" s="1"/>
  <c r="C32" i="14"/>
  <c r="E28" i="14" s="1"/>
  <c r="G28" i="14" s="1"/>
  <c r="C31" i="14"/>
  <c r="B31" i="14"/>
  <c r="B32" i="14" s="1"/>
  <c r="D20" i="14" s="1"/>
  <c r="H7" i="14"/>
  <c r="I7" i="14" s="1"/>
  <c r="H3" i="14"/>
  <c r="I3" i="14" s="1"/>
  <c r="L6" i="14"/>
  <c r="H6" i="14" s="1"/>
  <c r="I6" i="14" s="1"/>
  <c r="L5" i="14"/>
  <c r="G7" i="14"/>
  <c r="G6" i="14"/>
  <c r="G5" i="14"/>
  <c r="G9" i="14" s="1"/>
  <c r="G4" i="14"/>
  <c r="G3" i="14"/>
  <c r="G2" i="14"/>
  <c r="F7" i="14"/>
  <c r="F6" i="14"/>
  <c r="F5" i="14"/>
  <c r="F4" i="14"/>
  <c r="F3" i="14"/>
  <c r="F2" i="14"/>
  <c r="F9" i="14" s="1"/>
  <c r="E7" i="14"/>
  <c r="E6" i="14"/>
  <c r="E5" i="14"/>
  <c r="E4" i="14"/>
  <c r="E3" i="14"/>
  <c r="E2" i="14"/>
  <c r="C10" i="14"/>
  <c r="D7" i="14"/>
  <c r="D6" i="14"/>
  <c r="D5" i="14"/>
  <c r="D4" i="14"/>
  <c r="D3" i="14"/>
  <c r="D2" i="14"/>
  <c r="B10" i="14"/>
  <c r="C9" i="14"/>
  <c r="B9" i="14"/>
  <c r="P70" i="3"/>
  <c r="P25" i="3"/>
  <c r="I108" i="13"/>
  <c r="I106" i="13"/>
  <c r="I103" i="13"/>
  <c r="I102" i="13"/>
  <c r="I101" i="13"/>
  <c r="I100" i="13"/>
  <c r="I99" i="13"/>
  <c r="F109" i="13"/>
  <c r="F100" i="13"/>
  <c r="F101" i="13"/>
  <c r="F102" i="13"/>
  <c r="F103" i="13"/>
  <c r="F104" i="13"/>
  <c r="F105" i="13"/>
  <c r="F106" i="13"/>
  <c r="F107" i="13"/>
  <c r="F108" i="13"/>
  <c r="F99" i="13"/>
  <c r="E100" i="13"/>
  <c r="E101" i="13"/>
  <c r="E102" i="13"/>
  <c r="E103" i="13"/>
  <c r="E104" i="13"/>
  <c r="E105" i="13"/>
  <c r="E106" i="13"/>
  <c r="E107" i="13"/>
  <c r="E108" i="13"/>
  <c r="E99" i="13"/>
  <c r="S84" i="13"/>
  <c r="S82" i="13"/>
  <c r="S80" i="13"/>
  <c r="S78" i="13"/>
  <c r="S77" i="13"/>
  <c r="P83" i="13"/>
  <c r="P78" i="13"/>
  <c r="P79" i="13"/>
  <c r="P80" i="13"/>
  <c r="P81" i="13"/>
  <c r="P82" i="13"/>
  <c r="P77" i="13"/>
  <c r="O78" i="13"/>
  <c r="O79" i="13"/>
  <c r="O80" i="13"/>
  <c r="O81" i="13"/>
  <c r="O82" i="13"/>
  <c r="O77" i="13"/>
  <c r="H87" i="13"/>
  <c r="H90" i="13" s="1"/>
  <c r="H91" i="13" s="1"/>
  <c r="H86" i="13"/>
  <c r="H85" i="13"/>
  <c r="H84" i="13"/>
  <c r="H83" i="13"/>
  <c r="H82" i="13"/>
  <c r="H81" i="13"/>
  <c r="H89" i="13"/>
  <c r="H80" i="13"/>
  <c r="H77" i="13"/>
  <c r="E83" i="13"/>
  <c r="D83" i="13"/>
  <c r="C83" i="13"/>
  <c r="B83" i="13"/>
  <c r="A83" i="13"/>
  <c r="E78" i="13"/>
  <c r="E79" i="13"/>
  <c r="E80" i="13"/>
  <c r="E81" i="13"/>
  <c r="E82" i="13"/>
  <c r="E77" i="13"/>
  <c r="D78" i="13"/>
  <c r="D79" i="13"/>
  <c r="D80" i="13"/>
  <c r="D81" i="13"/>
  <c r="D82" i="13"/>
  <c r="D77" i="13"/>
  <c r="C78" i="13"/>
  <c r="C79" i="13"/>
  <c r="C80" i="13"/>
  <c r="C81" i="13"/>
  <c r="C82" i="13"/>
  <c r="C77" i="13"/>
  <c r="S62" i="13"/>
  <c r="S60" i="13"/>
  <c r="S58" i="13"/>
  <c r="P59" i="13"/>
  <c r="P60" i="13"/>
  <c r="P61" i="13"/>
  <c r="P62" i="13"/>
  <c r="P63" i="13"/>
  <c r="P64" i="13"/>
  <c r="P65" i="13"/>
  <c r="P66" i="13"/>
  <c r="P67" i="13"/>
  <c r="P68" i="13"/>
  <c r="P69" i="13"/>
  <c r="P58" i="13"/>
  <c r="P56" i="13"/>
  <c r="P55" i="13"/>
  <c r="P70" i="13" s="1"/>
  <c r="O69" i="13"/>
  <c r="O65" i="13"/>
  <c r="O64" i="13"/>
  <c r="O63" i="13"/>
  <c r="O61" i="13"/>
  <c r="O60" i="13"/>
  <c r="O59" i="13"/>
  <c r="O57" i="13"/>
  <c r="O56" i="13"/>
  <c r="O55" i="13"/>
  <c r="H68" i="13"/>
  <c r="H64" i="13"/>
  <c r="H63" i="13"/>
  <c r="H65" i="13" s="1"/>
  <c r="H61" i="13"/>
  <c r="H62" i="13" s="1"/>
  <c r="H60" i="13"/>
  <c r="H66" i="13"/>
  <c r="H58" i="13"/>
  <c r="H55" i="13"/>
  <c r="B70" i="13"/>
  <c r="A70" i="13"/>
  <c r="E69" i="13"/>
  <c r="E67" i="13"/>
  <c r="E66" i="13"/>
  <c r="E65" i="13"/>
  <c r="E64" i="13"/>
  <c r="E63" i="13"/>
  <c r="E62" i="13"/>
  <c r="E60" i="13"/>
  <c r="E59" i="13"/>
  <c r="E58" i="13"/>
  <c r="E57" i="13"/>
  <c r="E56" i="13"/>
  <c r="E55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T46" i="13"/>
  <c r="T42" i="13"/>
  <c r="T41" i="13"/>
  <c r="T40" i="13"/>
  <c r="T39" i="13"/>
  <c r="T38" i="13"/>
  <c r="Q48" i="13"/>
  <c r="Q47" i="13"/>
  <c r="Q46" i="13"/>
  <c r="Q45" i="13"/>
  <c r="Q44" i="13"/>
  <c r="Q43" i="13"/>
  <c r="Q42" i="13"/>
  <c r="Q41" i="13"/>
  <c r="Q40" i="13"/>
  <c r="Q38" i="13"/>
  <c r="P48" i="13"/>
  <c r="P47" i="13"/>
  <c r="P46" i="13"/>
  <c r="P45" i="13"/>
  <c r="P44" i="13"/>
  <c r="P43" i="13"/>
  <c r="P42" i="13"/>
  <c r="P41" i="13"/>
  <c r="P40" i="13"/>
  <c r="P39" i="13"/>
  <c r="P38" i="13"/>
  <c r="I48" i="13"/>
  <c r="I45" i="13"/>
  <c r="I44" i="13"/>
  <c r="I41" i="13"/>
  <c r="I40" i="13"/>
  <c r="I39" i="13"/>
  <c r="I38" i="13"/>
  <c r="F47" i="13"/>
  <c r="F46" i="13"/>
  <c r="F45" i="13"/>
  <c r="F44" i="13"/>
  <c r="F39" i="13"/>
  <c r="F38" i="13"/>
  <c r="E47" i="13"/>
  <c r="E45" i="13"/>
  <c r="E44" i="13"/>
  <c r="E39" i="13"/>
  <c r="E38" i="13"/>
  <c r="P27" i="13"/>
  <c r="P24" i="13"/>
  <c r="P23" i="13"/>
  <c r="P20" i="13"/>
  <c r="J31" i="13"/>
  <c r="I31" i="13"/>
  <c r="M30" i="13"/>
  <c r="M29" i="13"/>
  <c r="M28" i="13"/>
  <c r="M26" i="13"/>
  <c r="M25" i="13"/>
  <c r="M24" i="13"/>
  <c r="M23" i="13"/>
  <c r="M22" i="13"/>
  <c r="M21" i="13"/>
  <c r="L30" i="13"/>
  <c r="L29" i="13"/>
  <c r="L28" i="13"/>
  <c r="L27" i="13"/>
  <c r="L26" i="13"/>
  <c r="L25" i="13"/>
  <c r="L24" i="13"/>
  <c r="L23" i="13"/>
  <c r="L22" i="13"/>
  <c r="L21" i="13"/>
  <c r="K30" i="13"/>
  <c r="K28" i="13"/>
  <c r="K23" i="13"/>
  <c r="K21" i="13"/>
  <c r="F25" i="13"/>
  <c r="F26" i="13"/>
  <c r="F22" i="13"/>
  <c r="F21" i="13"/>
  <c r="E21" i="13"/>
  <c r="E26" i="13"/>
  <c r="E25" i="13"/>
  <c r="E22" i="13"/>
  <c r="T6" i="13"/>
  <c r="T5" i="13"/>
  <c r="T4" i="13"/>
  <c r="Q7" i="13"/>
  <c r="Q13" i="13" s="1"/>
  <c r="P12" i="13"/>
  <c r="P10" i="13"/>
  <c r="P9" i="13"/>
  <c r="P8" i="13"/>
  <c r="P7" i="13"/>
  <c r="P5" i="13"/>
  <c r="H14" i="13"/>
  <c r="H12" i="13"/>
  <c r="H10" i="13"/>
  <c r="H9" i="13"/>
  <c r="H8" i="13"/>
  <c r="H7" i="13"/>
  <c r="H4" i="13"/>
  <c r="E14" i="13"/>
  <c r="E13" i="13"/>
  <c r="E12" i="13"/>
  <c r="E9" i="13"/>
  <c r="E8" i="13"/>
  <c r="E6" i="13"/>
  <c r="E5" i="13"/>
  <c r="B15" i="13"/>
  <c r="A15" i="13"/>
  <c r="D14" i="13"/>
  <c r="D13" i="13"/>
  <c r="D12" i="13"/>
  <c r="D11" i="13"/>
  <c r="D10" i="13"/>
  <c r="D9" i="13"/>
  <c r="D8" i="13"/>
  <c r="D7" i="13"/>
  <c r="D6" i="13"/>
  <c r="D5" i="13"/>
  <c r="C14" i="13"/>
  <c r="C13" i="13"/>
  <c r="C12" i="13"/>
  <c r="C11" i="13"/>
  <c r="C10" i="13"/>
  <c r="C9" i="13"/>
  <c r="C8" i="13"/>
  <c r="C7" i="13"/>
  <c r="C6" i="13"/>
  <c r="C5" i="13"/>
  <c r="R86" i="7"/>
  <c r="R84" i="7"/>
  <c r="R82" i="7"/>
  <c r="O86" i="7"/>
  <c r="O85" i="7"/>
  <c r="O84" i="7"/>
  <c r="O83" i="7"/>
  <c r="O82" i="7"/>
  <c r="O81" i="7"/>
  <c r="O87" i="7" s="1"/>
  <c r="L87" i="7"/>
  <c r="N86" i="7"/>
  <c r="N85" i="7"/>
  <c r="N84" i="7"/>
  <c r="N83" i="7"/>
  <c r="N82" i="7"/>
  <c r="N87" i="7" s="1"/>
  <c r="E85" i="3"/>
  <c r="G116" i="2"/>
  <c r="G110" i="2"/>
  <c r="C115" i="2"/>
  <c r="D113" i="2"/>
  <c r="D112" i="2"/>
  <c r="D110" i="2"/>
  <c r="H130" i="1"/>
  <c r="G128" i="1"/>
  <c r="I127" i="1"/>
  <c r="I126" i="1"/>
  <c r="I125" i="1"/>
  <c r="I128" i="1" s="1"/>
  <c r="I124" i="1"/>
  <c r="I123" i="1"/>
  <c r="H127" i="1"/>
  <c r="H126" i="1"/>
  <c r="H125" i="1"/>
  <c r="H124" i="1"/>
  <c r="H123" i="1"/>
  <c r="H122" i="1"/>
  <c r="H87" i="7"/>
  <c r="H85" i="7"/>
  <c r="H83" i="7"/>
  <c r="E85" i="7"/>
  <c r="E84" i="7"/>
  <c r="E83" i="7"/>
  <c r="E82" i="7"/>
  <c r="E81" i="7"/>
  <c r="E86" i="7" s="1"/>
  <c r="B86" i="7"/>
  <c r="D85" i="7"/>
  <c r="D84" i="7"/>
  <c r="D86" i="7" s="1"/>
  <c r="D83" i="7"/>
  <c r="D82" i="7"/>
  <c r="D81" i="7"/>
  <c r="C85" i="7"/>
  <c r="C84" i="7"/>
  <c r="C83" i="7"/>
  <c r="C82" i="7"/>
  <c r="C81" i="7"/>
  <c r="R72" i="3"/>
  <c r="S101" i="2"/>
  <c r="U94" i="2"/>
  <c r="Q99" i="2"/>
  <c r="R97" i="2"/>
  <c r="R96" i="2"/>
  <c r="C130" i="1"/>
  <c r="B127" i="1"/>
  <c r="D126" i="1"/>
  <c r="D125" i="1"/>
  <c r="D124" i="1"/>
  <c r="D123" i="1"/>
  <c r="D122" i="1"/>
  <c r="D127" i="1" s="1"/>
  <c r="C126" i="1"/>
  <c r="C125" i="1"/>
  <c r="C124" i="1"/>
  <c r="C123" i="1"/>
  <c r="C122" i="1"/>
  <c r="R73" i="7"/>
  <c r="R71" i="7"/>
  <c r="L75" i="7"/>
  <c r="O74" i="7"/>
  <c r="O73" i="7"/>
  <c r="O72" i="7"/>
  <c r="O71" i="7"/>
  <c r="O70" i="7"/>
  <c r="O75" i="7" s="1"/>
  <c r="N74" i="7"/>
  <c r="N73" i="7"/>
  <c r="N72" i="7"/>
  <c r="N71" i="7"/>
  <c r="N70" i="7"/>
  <c r="N75" i="7" s="1"/>
  <c r="L69" i="3"/>
  <c r="I69" i="3"/>
  <c r="M100" i="2"/>
  <c r="N94" i="2"/>
  <c r="J99" i="2"/>
  <c r="K95" i="2"/>
  <c r="R111" i="1"/>
  <c r="T110" i="1"/>
  <c r="T109" i="1"/>
  <c r="T108" i="1"/>
  <c r="T107" i="1"/>
  <c r="T111" i="1" s="1"/>
  <c r="T106" i="1"/>
  <c r="S110" i="1"/>
  <c r="S109" i="1"/>
  <c r="S108" i="1"/>
  <c r="S107" i="1"/>
  <c r="S106" i="1"/>
  <c r="H75" i="7"/>
  <c r="H72" i="7"/>
  <c r="H70" i="7"/>
  <c r="B75" i="7"/>
  <c r="E74" i="7"/>
  <c r="E73" i="7"/>
  <c r="E72" i="7"/>
  <c r="E71" i="7"/>
  <c r="E70" i="7"/>
  <c r="E69" i="7"/>
  <c r="E75" i="7" s="1"/>
  <c r="D74" i="7"/>
  <c r="D73" i="7"/>
  <c r="D72" i="7"/>
  <c r="D71" i="7"/>
  <c r="D70" i="7"/>
  <c r="D69" i="7"/>
  <c r="D75" i="7" s="1"/>
  <c r="C74" i="7"/>
  <c r="C73" i="7"/>
  <c r="C72" i="7"/>
  <c r="C71" i="7"/>
  <c r="C70" i="7"/>
  <c r="C69" i="7"/>
  <c r="E71" i="3"/>
  <c r="B70" i="3"/>
  <c r="C101" i="2"/>
  <c r="F94" i="2"/>
  <c r="B99" i="2"/>
  <c r="C98" i="2"/>
  <c r="C97" i="2"/>
  <c r="C96" i="2"/>
  <c r="C95" i="2"/>
  <c r="N114" i="1"/>
  <c r="M112" i="1"/>
  <c r="O111" i="1"/>
  <c r="O110" i="1"/>
  <c r="O109" i="1"/>
  <c r="O108" i="1"/>
  <c r="O107" i="1"/>
  <c r="O106" i="1"/>
  <c r="O112" i="1" s="1"/>
  <c r="N111" i="1"/>
  <c r="N110" i="1"/>
  <c r="N109" i="1"/>
  <c r="N108" i="1"/>
  <c r="N107" i="1"/>
  <c r="N106" i="1"/>
  <c r="O60" i="7"/>
  <c r="O58" i="7"/>
  <c r="O56" i="7"/>
  <c r="N50" i="7"/>
  <c r="Q49" i="7"/>
  <c r="Q48" i="7"/>
  <c r="Q47" i="7"/>
  <c r="Q46" i="7"/>
  <c r="Q45" i="7"/>
  <c r="Q50" i="7" s="1"/>
  <c r="P49" i="7"/>
  <c r="P48" i="7"/>
  <c r="P47" i="7"/>
  <c r="P46" i="7"/>
  <c r="P45" i="7"/>
  <c r="P50" i="7" s="1"/>
  <c r="O49" i="7"/>
  <c r="O48" i="7"/>
  <c r="O47" i="7"/>
  <c r="O46" i="7"/>
  <c r="O45" i="7"/>
  <c r="R58" i="3"/>
  <c r="P56" i="3"/>
  <c r="Q86" i="2"/>
  <c r="U79" i="2"/>
  <c r="Q84" i="2"/>
  <c r="R82" i="2"/>
  <c r="R81" i="2"/>
  <c r="R80" i="2"/>
  <c r="I113" i="1"/>
  <c r="H111" i="1"/>
  <c r="J110" i="1"/>
  <c r="J109" i="1"/>
  <c r="J108" i="1"/>
  <c r="J107" i="1"/>
  <c r="J106" i="1"/>
  <c r="J111" i="1" s="1"/>
  <c r="I110" i="1"/>
  <c r="I109" i="1"/>
  <c r="I108" i="1"/>
  <c r="I107" i="1"/>
  <c r="I106" i="1"/>
  <c r="I61" i="7"/>
  <c r="I59" i="7"/>
  <c r="I57" i="7"/>
  <c r="G52" i="7"/>
  <c r="J51" i="7"/>
  <c r="J50" i="7"/>
  <c r="J49" i="7"/>
  <c r="J48" i="7"/>
  <c r="J47" i="7"/>
  <c r="J46" i="7"/>
  <c r="J45" i="7"/>
  <c r="J52" i="7" s="1"/>
  <c r="I51" i="7"/>
  <c r="I50" i="7"/>
  <c r="I49" i="7"/>
  <c r="I48" i="7"/>
  <c r="I47" i="7"/>
  <c r="I46" i="7"/>
  <c r="I45" i="7"/>
  <c r="I52" i="7" s="1"/>
  <c r="H51" i="7"/>
  <c r="H50" i="7"/>
  <c r="H49" i="7"/>
  <c r="H48" i="7"/>
  <c r="H47" i="7"/>
  <c r="H46" i="7"/>
  <c r="H45" i="7"/>
  <c r="I57" i="3"/>
  <c r="L55" i="3"/>
  <c r="B55" i="3"/>
  <c r="N86" i="2"/>
  <c r="N79" i="2"/>
  <c r="J86" i="2"/>
  <c r="K84" i="2"/>
  <c r="K83" i="2"/>
  <c r="K82" i="2"/>
  <c r="K81" i="2"/>
  <c r="C115" i="1"/>
  <c r="B113" i="1"/>
  <c r="D112" i="1"/>
  <c r="D111" i="1"/>
  <c r="D110" i="1"/>
  <c r="D109" i="1"/>
  <c r="D108" i="1"/>
  <c r="D107" i="1"/>
  <c r="D106" i="1"/>
  <c r="D113" i="1" s="1"/>
  <c r="C112" i="1"/>
  <c r="C111" i="1"/>
  <c r="C110" i="1"/>
  <c r="C109" i="1"/>
  <c r="C108" i="1"/>
  <c r="C107" i="1"/>
  <c r="C106" i="1"/>
  <c r="L31" i="5"/>
  <c r="L30" i="5"/>
  <c r="L29" i="5"/>
  <c r="L28" i="5"/>
  <c r="L27" i="5"/>
  <c r="L26" i="5"/>
  <c r="J35" i="5"/>
  <c r="K31" i="5"/>
  <c r="K30" i="5"/>
  <c r="K29" i="5"/>
  <c r="K28" i="5"/>
  <c r="K27" i="5"/>
  <c r="K26" i="5"/>
  <c r="J34" i="5"/>
  <c r="J31" i="5"/>
  <c r="I31" i="5"/>
  <c r="J30" i="5"/>
  <c r="J29" i="5"/>
  <c r="J28" i="5"/>
  <c r="J27" i="5"/>
  <c r="J26" i="5"/>
  <c r="N97" i="1"/>
  <c r="M96" i="1"/>
  <c r="N95" i="1"/>
  <c r="N93" i="1"/>
  <c r="N92" i="1"/>
  <c r="N91" i="1"/>
  <c r="N96" i="1" s="1"/>
  <c r="R37" i="7"/>
  <c r="R35" i="7"/>
  <c r="R34" i="7"/>
  <c r="Q31" i="7"/>
  <c r="S30" i="7"/>
  <c r="S29" i="7"/>
  <c r="S28" i="7"/>
  <c r="S27" i="7"/>
  <c r="S26" i="7"/>
  <c r="S31" i="7" s="1"/>
  <c r="R30" i="7"/>
  <c r="R29" i="7"/>
  <c r="R28" i="7"/>
  <c r="R31" i="7" s="1"/>
  <c r="E31" i="5"/>
  <c r="E30" i="5"/>
  <c r="E29" i="5"/>
  <c r="E28" i="5"/>
  <c r="E27" i="5"/>
  <c r="E26" i="5"/>
  <c r="C35" i="5"/>
  <c r="D31" i="5"/>
  <c r="D30" i="5"/>
  <c r="D29" i="5"/>
  <c r="D28" i="5"/>
  <c r="D27" i="5"/>
  <c r="D26" i="5"/>
  <c r="C34" i="5"/>
  <c r="B31" i="5"/>
  <c r="C31" i="5"/>
  <c r="C30" i="5"/>
  <c r="C29" i="5"/>
  <c r="C28" i="5"/>
  <c r="I98" i="1"/>
  <c r="H96" i="1"/>
  <c r="I95" i="1"/>
  <c r="I94" i="1"/>
  <c r="I96" i="1" s="1"/>
  <c r="I93" i="1"/>
  <c r="N34" i="7"/>
  <c r="K38" i="7"/>
  <c r="K36" i="7"/>
  <c r="J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B43" i="7"/>
  <c r="B42" i="7"/>
  <c r="B41" i="7"/>
  <c r="B38" i="7"/>
  <c r="D37" i="7"/>
  <c r="D36" i="7"/>
  <c r="C36" i="7"/>
  <c r="D35" i="7"/>
  <c r="C35" i="7"/>
  <c r="D34" i="7"/>
  <c r="C34" i="7"/>
  <c r="D33" i="7"/>
  <c r="D32" i="7"/>
  <c r="D31" i="7"/>
  <c r="D30" i="7"/>
  <c r="D29" i="7"/>
  <c r="D28" i="7"/>
  <c r="D27" i="7"/>
  <c r="M16" i="7"/>
  <c r="M14" i="7"/>
  <c r="M10" i="7"/>
  <c r="P9" i="7"/>
  <c r="O9" i="7"/>
  <c r="N9" i="7"/>
  <c r="P8" i="7"/>
  <c r="O8" i="7"/>
  <c r="N8" i="7"/>
  <c r="P7" i="7"/>
  <c r="O7" i="7"/>
  <c r="N7" i="7"/>
  <c r="P6" i="7"/>
  <c r="O6" i="7"/>
  <c r="N6" i="7"/>
  <c r="P5" i="7"/>
  <c r="O5" i="7"/>
  <c r="N5" i="7"/>
  <c r="P4" i="7"/>
  <c r="P10" i="7" s="1"/>
  <c r="N4" i="7"/>
  <c r="G12" i="7"/>
  <c r="I11" i="7"/>
  <c r="H11" i="7"/>
  <c r="I10" i="7"/>
  <c r="H10" i="7"/>
  <c r="I9" i="7"/>
  <c r="H9" i="7"/>
  <c r="H12" i="7" s="1"/>
  <c r="I8" i="7"/>
  <c r="I7" i="7"/>
  <c r="I6" i="7"/>
  <c r="I5" i="7"/>
  <c r="I4" i="7"/>
  <c r="B12" i="7"/>
  <c r="C11" i="7"/>
  <c r="C10" i="7"/>
  <c r="C9" i="7"/>
  <c r="C8" i="7"/>
  <c r="C7" i="7"/>
  <c r="C5" i="7"/>
  <c r="C4" i="7"/>
  <c r="E55" i="3"/>
  <c r="F85" i="2"/>
  <c r="F80" i="2"/>
  <c r="B85" i="2"/>
  <c r="C83" i="2"/>
  <c r="D95" i="1"/>
  <c r="B94" i="1"/>
  <c r="D93" i="1"/>
  <c r="D92" i="1"/>
  <c r="D91" i="1"/>
  <c r="D90" i="1"/>
  <c r="D89" i="1"/>
  <c r="D94" i="1" s="1"/>
  <c r="C93" i="1"/>
  <c r="C92" i="1"/>
  <c r="C91" i="1"/>
  <c r="C90" i="1"/>
  <c r="C89" i="1"/>
  <c r="P14" i="5"/>
  <c r="P15" i="5"/>
  <c r="S11" i="5"/>
  <c r="J18" i="5"/>
  <c r="S10" i="5"/>
  <c r="S9" i="5"/>
  <c r="S8" i="5"/>
  <c r="S7" i="5"/>
  <c r="S6" i="5"/>
  <c r="S5" i="5"/>
  <c r="S4" i="5"/>
  <c r="L4" i="5"/>
  <c r="R10" i="5"/>
  <c r="R9" i="5"/>
  <c r="R8" i="5"/>
  <c r="R7" i="5"/>
  <c r="R6" i="5"/>
  <c r="R5" i="5"/>
  <c r="R4" i="5"/>
  <c r="Q11" i="5"/>
  <c r="P11" i="5"/>
  <c r="J17" i="5"/>
  <c r="S80" i="1"/>
  <c r="R78" i="1"/>
  <c r="S78" i="1"/>
  <c r="L15" i="5"/>
  <c r="L14" i="5"/>
  <c r="L13" i="5"/>
  <c r="L12" i="5"/>
  <c r="L11" i="5"/>
  <c r="L10" i="5"/>
  <c r="L9" i="5"/>
  <c r="L8" i="5"/>
  <c r="L7" i="5"/>
  <c r="L6" i="5"/>
  <c r="L5" i="5"/>
  <c r="K14" i="5"/>
  <c r="K13" i="5"/>
  <c r="K12" i="5"/>
  <c r="K11" i="5"/>
  <c r="K10" i="5"/>
  <c r="K9" i="5"/>
  <c r="K8" i="5"/>
  <c r="K7" i="5"/>
  <c r="K6" i="5"/>
  <c r="K5" i="5"/>
  <c r="K4" i="5"/>
  <c r="D2" i="5"/>
  <c r="J15" i="5"/>
  <c r="J13" i="5"/>
  <c r="J12" i="5"/>
  <c r="J11" i="5"/>
  <c r="I15" i="5"/>
  <c r="O84" i="1"/>
  <c r="O82" i="1"/>
  <c r="N82" i="1"/>
  <c r="O80" i="1"/>
  <c r="O79" i="1"/>
  <c r="O78" i="1"/>
  <c r="O71" i="1"/>
  <c r="P45" i="3"/>
  <c r="N43" i="3"/>
  <c r="N61" i="2"/>
  <c r="M58" i="2"/>
  <c r="N56" i="2"/>
  <c r="N55" i="2"/>
  <c r="J77" i="1"/>
  <c r="D71" i="1"/>
  <c r="H76" i="1"/>
  <c r="J75" i="1"/>
  <c r="J74" i="1"/>
  <c r="J73" i="1"/>
  <c r="J72" i="1"/>
  <c r="J71" i="1"/>
  <c r="J76" i="1" s="1"/>
  <c r="I75" i="1"/>
  <c r="I74" i="1"/>
  <c r="I73" i="1"/>
  <c r="I72" i="1"/>
  <c r="I71" i="1"/>
  <c r="C12" i="5"/>
  <c r="E7" i="5"/>
  <c r="E6" i="5"/>
  <c r="E5" i="5"/>
  <c r="E4" i="5"/>
  <c r="E3" i="5"/>
  <c r="E2" i="5"/>
  <c r="D6" i="5"/>
  <c r="D5" i="5"/>
  <c r="D4" i="5"/>
  <c r="D3" i="5"/>
  <c r="C11" i="5"/>
  <c r="C7" i="5"/>
  <c r="B7" i="5"/>
  <c r="C6" i="5"/>
  <c r="C5" i="5"/>
  <c r="C4" i="5"/>
  <c r="C3" i="5"/>
  <c r="C2" i="5"/>
  <c r="E26" i="4"/>
  <c r="E25" i="4"/>
  <c r="E21" i="4"/>
  <c r="D21" i="4"/>
  <c r="C21" i="4"/>
  <c r="N6" i="4"/>
  <c r="N5" i="4"/>
  <c r="N2" i="4"/>
  <c r="M2" i="4"/>
  <c r="L2" i="4"/>
  <c r="G6" i="4"/>
  <c r="G5" i="4"/>
  <c r="G2" i="4"/>
  <c r="F2" i="4"/>
  <c r="E2" i="4"/>
  <c r="K43" i="3"/>
  <c r="H42" i="3"/>
  <c r="B43" i="3"/>
  <c r="E43" i="3"/>
  <c r="S26" i="3"/>
  <c r="L27" i="3"/>
  <c r="B29" i="3"/>
  <c r="I30" i="3"/>
  <c r="E27" i="3"/>
  <c r="S14" i="3"/>
  <c r="P14" i="3"/>
  <c r="L10" i="3"/>
  <c r="I9" i="3"/>
  <c r="E11" i="3"/>
  <c r="B13" i="3"/>
  <c r="J38" i="2"/>
  <c r="P44" i="1"/>
  <c r="D37" i="2"/>
  <c r="N27" i="2"/>
  <c r="K24" i="2"/>
  <c r="K23" i="2"/>
  <c r="K22" i="2"/>
  <c r="J26" i="2"/>
  <c r="F27" i="2"/>
  <c r="B27" i="2"/>
  <c r="N10" i="2"/>
  <c r="J8" i="2"/>
  <c r="F11" i="2"/>
  <c r="B13" i="2"/>
  <c r="C7" i="2"/>
  <c r="C6" i="2"/>
  <c r="C5" i="2"/>
  <c r="D42" i="1"/>
  <c r="D40" i="1"/>
  <c r="D39" i="1"/>
  <c r="D38" i="1"/>
  <c r="D37" i="1"/>
  <c r="D36" i="1"/>
  <c r="C40" i="1"/>
  <c r="C39" i="1"/>
  <c r="C38" i="1"/>
  <c r="C37" i="1"/>
  <c r="C36" i="1"/>
  <c r="A55" i="1"/>
  <c r="D82" i="1"/>
  <c r="B81" i="1"/>
  <c r="D78" i="1"/>
  <c r="D77" i="1"/>
  <c r="D76" i="1"/>
  <c r="D75" i="1"/>
  <c r="D74" i="1"/>
  <c r="D73" i="1"/>
  <c r="D72" i="1"/>
  <c r="D81" i="1" s="1"/>
  <c r="C80" i="1"/>
  <c r="C79" i="1"/>
  <c r="C78" i="1"/>
  <c r="C77" i="1"/>
  <c r="C76" i="1"/>
  <c r="C75" i="1"/>
  <c r="C74" i="1"/>
  <c r="C73" i="1"/>
  <c r="C72" i="1"/>
  <c r="C71" i="1"/>
  <c r="O64" i="1"/>
  <c r="M63" i="1"/>
  <c r="O62" i="1"/>
  <c r="N62" i="1"/>
  <c r="O61" i="1"/>
  <c r="N61" i="1"/>
  <c r="N60" i="1"/>
  <c r="O59" i="1"/>
  <c r="N59" i="1"/>
  <c r="O58" i="1"/>
  <c r="N58" i="1"/>
  <c r="O57" i="1"/>
  <c r="N57" i="1"/>
  <c r="O56" i="1"/>
  <c r="N56" i="1"/>
  <c r="O55" i="1"/>
  <c r="O63" i="1" s="1"/>
  <c r="N55" i="1"/>
  <c r="B41" i="1"/>
  <c r="D28" i="1"/>
  <c r="B27" i="1"/>
  <c r="D26" i="1"/>
  <c r="C26" i="1"/>
  <c r="D25" i="1"/>
  <c r="C25" i="1"/>
  <c r="D24" i="1"/>
  <c r="C24" i="1"/>
  <c r="D23" i="1"/>
  <c r="C23" i="1"/>
  <c r="D22" i="1"/>
  <c r="D27" i="1" s="1"/>
  <c r="C22" i="1"/>
  <c r="Q46" i="1"/>
  <c r="N35" i="1"/>
  <c r="M34" i="1"/>
  <c r="J9" i="1"/>
  <c r="H8" i="1"/>
  <c r="J7" i="1"/>
  <c r="I7" i="1"/>
  <c r="J6" i="1"/>
  <c r="I6" i="1"/>
  <c r="J5" i="1"/>
  <c r="I5" i="1"/>
  <c r="J4" i="1"/>
  <c r="I4" i="1"/>
  <c r="D14" i="1"/>
  <c r="B13" i="1"/>
  <c r="C12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D13" i="1" s="1"/>
  <c r="C4" i="1"/>
  <c r="F193" i="15" l="1"/>
  <c r="E133" i="15"/>
  <c r="O10" i="7"/>
  <c r="C38" i="7"/>
  <c r="L31" i="7"/>
  <c r="E92" i="7"/>
  <c r="E97" i="7" s="1"/>
  <c r="C12" i="7"/>
  <c r="I12" i="7"/>
  <c r="D38" i="7"/>
  <c r="M31" i="7"/>
  <c r="I95" i="14"/>
  <c r="I76" i="14"/>
  <c r="I62" i="14"/>
  <c r="G20" i="14"/>
  <c r="F20" i="14"/>
  <c r="E25" i="14"/>
  <c r="G25" i="14" s="1"/>
  <c r="H4" i="14"/>
  <c r="I4" i="14" s="1"/>
  <c r="C13" i="14"/>
  <c r="E26" i="14"/>
  <c r="G26" i="14" s="1"/>
  <c r="F26" i="14"/>
  <c r="F22" i="14"/>
  <c r="G27" i="14"/>
  <c r="G23" i="14"/>
  <c r="F44" i="14"/>
  <c r="F46" i="14" s="1"/>
  <c r="F40" i="14"/>
  <c r="G41" i="14"/>
  <c r="G46" i="14" s="1"/>
  <c r="E29" i="14"/>
  <c r="G29" i="14" s="1"/>
  <c r="H5" i="14"/>
  <c r="I5" i="14" s="1"/>
  <c r="E27" i="14"/>
  <c r="F29" i="14"/>
  <c r="F25" i="14"/>
  <c r="F21" i="14"/>
  <c r="F43" i="14"/>
  <c r="H2" i="14"/>
  <c r="I2" i="14" s="1"/>
  <c r="E24" i="14"/>
  <c r="G24" i="14" s="1"/>
  <c r="I9" i="14"/>
  <c r="F28" i="13"/>
  <c r="K31" i="13"/>
  <c r="L31" i="13"/>
  <c r="Q49" i="13"/>
  <c r="T44" i="13"/>
  <c r="E70" i="13"/>
  <c r="D70" i="13"/>
  <c r="M31" i="13"/>
  <c r="F48" i="13"/>
  <c r="C70" i="13"/>
  <c r="D15" i="13"/>
  <c r="E15" i="13"/>
  <c r="C15" i="13"/>
  <c r="J8" i="1"/>
  <c r="D41" i="1"/>
  <c r="L38" i="14" l="1"/>
  <c r="L39" i="14" s="1"/>
  <c r="F31" i="14"/>
  <c r="G31" i="14"/>
  <c r="L19" i="14" s="1"/>
  <c r="L20" i="14" s="1"/>
  <c r="H29" i="14" l="1"/>
  <c r="I29" i="14" s="1"/>
  <c r="H20" i="14"/>
  <c r="H26" i="14"/>
  <c r="I26" i="14" s="1"/>
  <c r="H28" i="14"/>
  <c r="I28" i="14" s="1"/>
  <c r="H23" i="14"/>
  <c r="I23" i="14" s="1"/>
  <c r="H21" i="14"/>
  <c r="I21" i="14" s="1"/>
  <c r="H22" i="14"/>
  <c r="I22" i="14" s="1"/>
  <c r="H27" i="14"/>
  <c r="I27" i="14" s="1"/>
  <c r="H25" i="14"/>
  <c r="I25" i="14" s="1"/>
  <c r="H24" i="14"/>
  <c r="I24" i="14" s="1"/>
  <c r="H42" i="14"/>
  <c r="I42" i="14" s="1"/>
  <c r="H40" i="14"/>
  <c r="I40" i="14" s="1"/>
  <c r="H39" i="14"/>
  <c r="I39" i="14" s="1"/>
  <c r="H44" i="14"/>
  <c r="I44" i="14" s="1"/>
  <c r="H41" i="14"/>
  <c r="I41" i="14" s="1"/>
  <c r="H43" i="14"/>
  <c r="I43" i="14" s="1"/>
  <c r="I31" i="14" l="1"/>
  <c r="I46" i="14"/>
  <c r="R119" i="2"/>
</calcChain>
</file>

<file path=xl/sharedStrings.xml><?xml version="1.0" encoding="utf-8"?>
<sst xmlns="http://schemas.openxmlformats.org/spreadsheetml/2006/main" count="1531" uniqueCount="342">
  <si>
    <t>Task 1</t>
  </si>
  <si>
    <t>x</t>
  </si>
  <si>
    <t>f</t>
  </si>
  <si>
    <t>xm</t>
  </si>
  <si>
    <t>fxm</t>
  </si>
  <si>
    <t>31--35</t>
  </si>
  <si>
    <t>36--40</t>
  </si>
  <si>
    <t>41--45</t>
  </si>
  <si>
    <t>46--50</t>
  </si>
  <si>
    <t>51--55</t>
  </si>
  <si>
    <t>56--60</t>
  </si>
  <si>
    <t>61--65</t>
  </si>
  <si>
    <t>66--70</t>
  </si>
  <si>
    <t>71--75</t>
  </si>
  <si>
    <t>n</t>
  </si>
  <si>
    <t>Mean</t>
  </si>
  <si>
    <t>Task 2</t>
  </si>
  <si>
    <t>Pets</t>
  </si>
  <si>
    <t>freq</t>
  </si>
  <si>
    <t>1--2</t>
  </si>
  <si>
    <t>3--4</t>
  </si>
  <si>
    <t>5--6</t>
  </si>
  <si>
    <t>7--8</t>
  </si>
  <si>
    <t>Task 3</t>
  </si>
  <si>
    <t>Task 4</t>
  </si>
  <si>
    <t>Height</t>
  </si>
  <si>
    <t>Task 5</t>
  </si>
  <si>
    <t>Score</t>
  </si>
  <si>
    <t>5--10</t>
  </si>
  <si>
    <t>10--15</t>
  </si>
  <si>
    <t>20--25</t>
  </si>
  <si>
    <t>25--30</t>
  </si>
  <si>
    <t>30--35</t>
  </si>
  <si>
    <t>Task 6</t>
  </si>
  <si>
    <t>Earnings</t>
  </si>
  <si>
    <t>20--30</t>
  </si>
  <si>
    <t>30--40</t>
  </si>
  <si>
    <t>Task 7</t>
  </si>
  <si>
    <t>Credit</t>
  </si>
  <si>
    <t>Task 8</t>
  </si>
  <si>
    <t>Range</t>
  </si>
  <si>
    <t>Freq</t>
  </si>
  <si>
    <t>1--10</t>
  </si>
  <si>
    <t>11--20</t>
  </si>
  <si>
    <t>21--30</t>
  </si>
  <si>
    <t>31--40</t>
  </si>
  <si>
    <t>41--50</t>
  </si>
  <si>
    <t>Task 9</t>
  </si>
  <si>
    <t>Class</t>
  </si>
  <si>
    <t>13--19</t>
  </si>
  <si>
    <t>20--26</t>
  </si>
  <si>
    <t>27--33</t>
  </si>
  <si>
    <t>34--40</t>
  </si>
  <si>
    <t>41--47</t>
  </si>
  <si>
    <t>48--54</t>
  </si>
  <si>
    <t>55--61</t>
  </si>
  <si>
    <t>62--68</t>
  </si>
  <si>
    <t>Task 10</t>
  </si>
  <si>
    <t>class</t>
  </si>
  <si>
    <t>70--72</t>
  </si>
  <si>
    <t>67--69</t>
  </si>
  <si>
    <t>64--66</t>
  </si>
  <si>
    <t>61--63</t>
  </si>
  <si>
    <t>58--60</t>
  </si>
  <si>
    <t>55--57</t>
  </si>
  <si>
    <t>52--54</t>
  </si>
  <si>
    <t>49--51</t>
  </si>
  <si>
    <t>46--48</t>
  </si>
  <si>
    <t>43--45</t>
  </si>
  <si>
    <t>cf</t>
  </si>
  <si>
    <t>0--10</t>
  </si>
  <si>
    <t>10--20</t>
  </si>
  <si>
    <t>40--50</t>
  </si>
  <si>
    <t>l</t>
  </si>
  <si>
    <t>n/2</t>
  </si>
  <si>
    <t>h</t>
  </si>
  <si>
    <t>cfp</t>
  </si>
  <si>
    <t>L</t>
  </si>
  <si>
    <t>median</t>
  </si>
  <si>
    <t>pets</t>
  </si>
  <si>
    <t>score</t>
  </si>
  <si>
    <t>15--20</t>
  </si>
  <si>
    <t>earning</t>
  </si>
  <si>
    <t>0--20</t>
  </si>
  <si>
    <t>40--60</t>
  </si>
  <si>
    <t>60--80</t>
  </si>
  <si>
    <t>Median</t>
  </si>
  <si>
    <t>10--14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</si>
  <si>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</si>
  <si>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</si>
  <si>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</si>
  <si>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</si>
  <si>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</si>
  <si>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</si>
  <si>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</si>
  <si>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</si>
  <si>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>f1</t>
  </si>
  <si>
    <t>f0</t>
  </si>
  <si>
    <t>f2</t>
  </si>
  <si>
    <t>Mode</t>
  </si>
  <si>
    <t>70-72</t>
  </si>
  <si>
    <t>67-69</t>
  </si>
  <si>
    <t>mode</t>
  </si>
  <si>
    <t>q1</t>
  </si>
  <si>
    <t>Q1=25</t>
  </si>
  <si>
    <t>q2</t>
  </si>
  <si>
    <t>Q2=47</t>
  </si>
  <si>
    <t>q3</t>
  </si>
  <si>
    <t>interquartile range</t>
  </si>
  <si>
    <t>Q3=64</t>
  </si>
  <si>
    <t>quartile deviation</t>
  </si>
  <si>
    <t>n=6</t>
  </si>
  <si>
    <t>Q1=9</t>
  </si>
  <si>
    <t>Q2=13</t>
  </si>
  <si>
    <t>Q3=15</t>
  </si>
  <si>
    <t>n=30</t>
  </si>
  <si>
    <t>Q1=24</t>
  </si>
  <si>
    <t>Q2=27.5</t>
  </si>
  <si>
    <t>Q3=31</t>
  </si>
  <si>
    <t>xi</t>
  </si>
  <si>
    <t>x.f=Total</t>
  </si>
  <si>
    <t>|xi-x|</t>
  </si>
  <si>
    <t>f|xi-x|</t>
  </si>
  <si>
    <t>Total</t>
  </si>
  <si>
    <t>X(mean)</t>
  </si>
  <si>
    <t>MAD</t>
  </si>
  <si>
    <t>individual series</t>
  </si>
  <si>
    <t>N</t>
  </si>
  <si>
    <t>x^2</t>
  </si>
  <si>
    <t>SD</t>
  </si>
  <si>
    <t>Discrete Series</t>
  </si>
  <si>
    <t>x.f</t>
  </si>
  <si>
    <t>f(x^2)</t>
  </si>
  <si>
    <t>Continuous Series</t>
  </si>
  <si>
    <t>50--60</t>
  </si>
  <si>
    <t>f.xi</t>
  </si>
  <si>
    <t>f.(xi^2)</t>
  </si>
  <si>
    <t>Task 11</t>
  </si>
  <si>
    <t>0--3</t>
  </si>
  <si>
    <t>4--7</t>
  </si>
  <si>
    <t>8--11</t>
  </si>
  <si>
    <t>12--15</t>
  </si>
  <si>
    <t>16--19</t>
  </si>
  <si>
    <t>fd^2</t>
  </si>
  <si>
    <t>fd^2/n</t>
  </si>
  <si>
    <t>fd</t>
  </si>
  <si>
    <t>(fd/n)^2</t>
  </si>
  <si>
    <t>Task 12</t>
  </si>
  <si>
    <t>fx</t>
  </si>
  <si>
    <t>f(xi-x)</t>
  </si>
  <si>
    <t>x(Mean)</t>
  </si>
  <si>
    <t>fd/n</t>
  </si>
  <si>
    <t>Task 13</t>
  </si>
  <si>
    <t>Task 14</t>
  </si>
  <si>
    <t>Task 15</t>
  </si>
  <si>
    <t>xf</t>
  </si>
  <si>
    <t>Task 16</t>
  </si>
  <si>
    <t>Task 17</t>
  </si>
  <si>
    <t>25-29</t>
  </si>
  <si>
    <t>30-34</t>
  </si>
  <si>
    <t>35-39</t>
  </si>
  <si>
    <t>40-44</t>
  </si>
  <si>
    <t>45-49</t>
  </si>
  <si>
    <t>50-54</t>
  </si>
  <si>
    <t>55-59</t>
  </si>
  <si>
    <t>Task 18</t>
  </si>
  <si>
    <t>0-10</t>
  </si>
  <si>
    <t>I</t>
  </si>
  <si>
    <t>Task 19</t>
  </si>
  <si>
    <t>84-90</t>
  </si>
  <si>
    <t>90-96</t>
  </si>
  <si>
    <t>96-102</t>
  </si>
  <si>
    <t>102-108</t>
  </si>
  <si>
    <t>108-114</t>
  </si>
  <si>
    <t>114-120</t>
  </si>
  <si>
    <t>Task 20</t>
  </si>
  <si>
    <t>0--100</t>
  </si>
  <si>
    <t>100--200</t>
  </si>
  <si>
    <t>200--300</t>
  </si>
  <si>
    <t>300--400</t>
  </si>
  <si>
    <t>400--500</t>
  </si>
  <si>
    <t>Task 21</t>
  </si>
  <si>
    <t>25--35</t>
  </si>
  <si>
    <t>35--45</t>
  </si>
  <si>
    <t>45--55</t>
  </si>
  <si>
    <t>55--65</t>
  </si>
  <si>
    <t>65--75</t>
  </si>
  <si>
    <t>Task 22</t>
  </si>
  <si>
    <t>Price,X</t>
  </si>
  <si>
    <t>Demand,Y</t>
  </si>
  <si>
    <t>xy</t>
  </si>
  <si>
    <t>y^2</t>
  </si>
  <si>
    <r>
      <t>n(</t>
    </r>
    <r>
      <rPr>
        <sz val="11"/>
        <color theme="1"/>
        <rFont val="Calibri"/>
        <family val="2"/>
      </rPr>
      <t>∑xy)</t>
    </r>
  </si>
  <si>
    <t>∑x</t>
  </si>
  <si>
    <t>∑y</t>
  </si>
  <si>
    <t>n∑x^2</t>
  </si>
  <si>
    <r>
      <t>(</t>
    </r>
    <r>
      <rPr>
        <sz val="11"/>
        <color theme="1"/>
        <rFont val="Calibri"/>
        <family val="2"/>
      </rPr>
      <t>∑x)^2</t>
    </r>
  </si>
  <si>
    <r>
      <t>n</t>
    </r>
    <r>
      <rPr>
        <sz val="11"/>
        <color theme="1"/>
        <rFont val="Calibri"/>
        <family val="2"/>
      </rPr>
      <t>∑y^2</t>
    </r>
  </si>
  <si>
    <t>(∑y)^2</t>
  </si>
  <si>
    <t>Nominator</t>
  </si>
  <si>
    <t>Denominator</t>
  </si>
  <si>
    <t>Divison</t>
  </si>
  <si>
    <t>y</t>
  </si>
  <si>
    <t>Rx</t>
  </si>
  <si>
    <t>Ry</t>
  </si>
  <si>
    <t>d=Rx-Ry</t>
  </si>
  <si>
    <t>d^2</t>
  </si>
  <si>
    <t>Three</t>
  </si>
  <si>
    <t>n(n^2-1)</t>
  </si>
  <si>
    <t>r</t>
  </si>
  <si>
    <t>6(∑d^2)</t>
  </si>
  <si>
    <t>n(xy)</t>
  </si>
  <si>
    <t>sum(x)</t>
  </si>
  <si>
    <t>sum(y)</t>
  </si>
  <si>
    <t>n*x^2</t>
  </si>
  <si>
    <t>(x)^2</t>
  </si>
  <si>
    <t>denominator</t>
  </si>
  <si>
    <t>division</t>
  </si>
  <si>
    <t>Karl pearsons coefficient of correlation</t>
  </si>
  <si>
    <t>m1</t>
  </si>
  <si>
    <t>m2</t>
  </si>
  <si>
    <t>m3</t>
  </si>
  <si>
    <t>1-6d^2</t>
  </si>
  <si>
    <t>Above</t>
  </si>
  <si>
    <t>n^2</t>
  </si>
  <si>
    <t>n^2-1</t>
  </si>
  <si>
    <t>Cr</t>
  </si>
  <si>
    <t>m4</t>
  </si>
  <si>
    <t>nominator</t>
  </si>
  <si>
    <t>Division</t>
  </si>
  <si>
    <t>(x)(y)</t>
  </si>
  <si>
    <t>n(x^2)</t>
  </si>
  <si>
    <t>n(y^2)</t>
  </si>
  <si>
    <t>(y)^2</t>
  </si>
  <si>
    <t>denomi</t>
  </si>
  <si>
    <t>Task 1.1</t>
  </si>
  <si>
    <t>Task 3.1</t>
  </si>
  <si>
    <t>1-(6*d^2)</t>
  </si>
  <si>
    <t>deno</t>
  </si>
  <si>
    <t>Nomina</t>
  </si>
  <si>
    <t>Task 4.1</t>
  </si>
  <si>
    <t>1-6(d^2)</t>
  </si>
  <si>
    <t>Nomi</t>
  </si>
  <si>
    <t>divisom</t>
  </si>
  <si>
    <t>1--3</t>
  </si>
  <si>
    <t>1--4</t>
  </si>
  <si>
    <t>1--5</t>
  </si>
  <si>
    <t>Meal</t>
  </si>
  <si>
    <t>yi</t>
  </si>
  <si>
    <t>Sum</t>
  </si>
  <si>
    <t>xi-x</t>
  </si>
  <si>
    <t>Mean(x)</t>
  </si>
  <si>
    <t>yi-y</t>
  </si>
  <si>
    <t>(xi-x)^2</t>
  </si>
  <si>
    <t>(xi-x)(yi-y)</t>
  </si>
  <si>
    <t>Ῡi</t>
  </si>
  <si>
    <t>b0</t>
  </si>
  <si>
    <t>b1</t>
  </si>
  <si>
    <t>(yi-Ῡi)^2</t>
  </si>
  <si>
    <t xml:space="preserve">House </t>
  </si>
  <si>
    <r>
      <t>(</t>
    </r>
    <r>
      <rPr>
        <sz val="10"/>
        <color theme="1"/>
        <rFont val="Calibri"/>
        <family val="2"/>
        <scheme val="minor"/>
      </rPr>
      <t>xi-x)(yi-y)</t>
    </r>
  </si>
  <si>
    <t>Likes</t>
  </si>
  <si>
    <t>Weight</t>
  </si>
  <si>
    <t>Ad</t>
  </si>
  <si>
    <t>amount</t>
  </si>
  <si>
    <t>Price</t>
  </si>
  <si>
    <t>Task 23</t>
  </si>
  <si>
    <t>3--5</t>
  </si>
  <si>
    <t>5--7</t>
  </si>
  <si>
    <t>7--9</t>
  </si>
  <si>
    <t>i</t>
  </si>
  <si>
    <t>Task 24</t>
  </si>
  <si>
    <t>0--9</t>
  </si>
  <si>
    <t>11--19</t>
  </si>
  <si>
    <t>21--29</t>
  </si>
  <si>
    <t>31--39</t>
  </si>
  <si>
    <t>41--49</t>
  </si>
  <si>
    <t>51--59</t>
  </si>
  <si>
    <t>61--69</t>
  </si>
  <si>
    <t>71--79</t>
  </si>
  <si>
    <t>81--89</t>
  </si>
  <si>
    <t>91--99</t>
  </si>
  <si>
    <t>Number</t>
  </si>
  <si>
    <t>E</t>
  </si>
  <si>
    <t>O</t>
  </si>
  <si>
    <t>O-E</t>
  </si>
  <si>
    <t>(O-E)^2</t>
  </si>
  <si>
    <t>(O-E)^2/E</t>
  </si>
  <si>
    <t>chi square critical value</t>
  </si>
  <si>
    <t>confidence level=95%</t>
  </si>
  <si>
    <t>Error Probability=P-value&lt;=.05</t>
  </si>
  <si>
    <t>Degrees of freedom(df)=(6-1)=5</t>
  </si>
  <si>
    <t>Goodness of fit</t>
  </si>
  <si>
    <t>observed</t>
  </si>
  <si>
    <t>expected</t>
  </si>
  <si>
    <t>df=n-1</t>
  </si>
  <si>
    <t>level of significance=0.05</t>
  </si>
  <si>
    <t>critical value</t>
  </si>
  <si>
    <t>Homogeneity</t>
  </si>
  <si>
    <t>Average</t>
  </si>
  <si>
    <t>Independence</t>
  </si>
  <si>
    <t>inculated</t>
  </si>
  <si>
    <t>Non-inculated</t>
  </si>
  <si>
    <t>Attacked</t>
  </si>
  <si>
    <t>not attacked</t>
  </si>
  <si>
    <t>(O-E^2/E</t>
  </si>
  <si>
    <t>df=(r-1)(c-1)</t>
  </si>
  <si>
    <t>Population variance</t>
  </si>
  <si>
    <t>Married</t>
  </si>
  <si>
    <t>Single</t>
  </si>
  <si>
    <t>A</t>
  </si>
  <si>
    <t>B</t>
  </si>
  <si>
    <t>C</t>
  </si>
  <si>
    <t>D</t>
  </si>
  <si>
    <t>(O-E)^/E</t>
  </si>
  <si>
    <t>df</t>
  </si>
  <si>
    <t>level of significance</t>
  </si>
  <si>
    <t>Critical value</t>
  </si>
  <si>
    <t>degree of freedom</t>
  </si>
  <si>
    <t>(10-1)=9</t>
  </si>
  <si>
    <t>Agree</t>
  </si>
  <si>
    <t>Neutral</t>
  </si>
  <si>
    <t>Disagree</t>
  </si>
  <si>
    <t>Men</t>
  </si>
  <si>
    <t>Women</t>
  </si>
  <si>
    <t>df=(6-1)=5</t>
  </si>
  <si>
    <t>Female</t>
  </si>
  <si>
    <t>Male</t>
  </si>
  <si>
    <t>pop</t>
  </si>
  <si>
    <t>Rock</t>
  </si>
  <si>
    <t>Classical</t>
  </si>
  <si>
    <t>Rap</t>
  </si>
  <si>
    <t>level of significnce=0.05</t>
  </si>
  <si>
    <t>crtical value</t>
  </si>
  <si>
    <t>Dice</t>
  </si>
  <si>
    <t>df=(8-1)=7</t>
  </si>
  <si>
    <t>df=(10-1)=9</t>
  </si>
  <si>
    <t>df=6-1=5</t>
  </si>
  <si>
    <t>df=(7-1)=6</t>
  </si>
  <si>
    <t>df=(5-1)=4</t>
  </si>
  <si>
    <t>level of significace=0.05</t>
  </si>
  <si>
    <t>crtical valiue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</si>
</sst>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17" fontId="0" fillId="0" borderId="1" xfId="0" applyNumberFormat="1" applyFill="1" applyBorder="1"/>
    <xf numFmtId="0" fontId="0" fillId="2" borderId="2" xfId="0" applyFill="1" applyBorder="1"/>
    <xf numFmtId="0" fontId="2" fillId="2" borderId="1" xfId="0" applyFont="1" applyFill="1" applyBorder="1"/>
    <xf numFmtId="0" fontId="0" fillId="0" borderId="0" xfId="0" applyBorder="1"/>
    <xf numFmtId="16" fontId="0" fillId="0" borderId="1" xfId="0" applyNumberFormat="1" applyBorder="1"/>
    <xf numFmtId="0" fontId="0" fillId="0" borderId="1" xfId="0" applyFont="1" applyFill="1" applyBorder="1"/>
    <xf numFmtId="0" fontId="4" fillId="2" borderId="1" xfId="0" applyFont="1" applyFill="1" applyBorder="1"/>
    <xf numFmtId="0" fontId="0" fillId="0" borderId="3" xfId="0" applyFill="1" applyBorder="1"/>
    <xf numFmtId="0" fontId="0" fillId="2" borderId="3" xfId="0" applyFill="1" applyBorder="1"/>
    <xf numFmtId="0" fontId="5" fillId="2" borderId="1" xfId="0" applyFont="1" applyFill="1" applyBorder="1"/>
    <xf numFmtId="0" fontId="0" fillId="0" borderId="4" xfId="0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0" borderId="0" xfId="0" applyFont="1"/>
    <xf numFmtId="0" fontId="8" fillId="2" borderId="1" xfId="0" applyFont="1" applyFill="1" applyBorder="1"/>
    <xf numFmtId="0" fontId="0" fillId="0" borderId="3" xfId="0" applyBorder="1"/>
    <xf numFmtId="0" fontId="0" fillId="0" borderId="2" xfId="0" applyFill="1" applyBorder="1"/>
    <xf numFmtId="0" fontId="5" fillId="2" borderId="2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Border="1"/>
    <xf numFmtId="0" fontId="2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5" fillId="2" borderId="5" xfId="0" applyFont="1" applyFill="1" applyBorder="1"/>
    <xf numFmtId="0" fontId="0" fillId="0" borderId="6" xfId="0" applyFill="1" applyBorder="1"/>
    <xf numFmtId="0" fontId="5" fillId="3" borderId="0" xfId="0" applyFont="1" applyFill="1"/>
    <xf numFmtId="0" fontId="0" fillId="4" borderId="0" xfId="0" applyFill="1"/>
    <xf numFmtId="0" fontId="0" fillId="3" borderId="1" xfId="0" applyFill="1" applyBorder="1"/>
    <xf numFmtId="0" fontId="0" fillId="0" borderId="7" xfId="0" applyBorder="1"/>
    <xf numFmtId="0" fontId="5" fillId="3" borderId="1" xfId="0" applyFont="1" applyFill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D60093"/>
      <color rgb="FF99FF66"/>
      <color rgb="FF00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171450</xdr:rowOff>
    </xdr:from>
    <xdr:ext cx="245971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87F707-62A0-8AA7-731B-4DB6B339B825}"/>
            </a:ext>
          </a:extLst>
        </xdr:cNvPr>
        <xdr:cNvSpPr txBox="1"/>
      </xdr:nvSpPr>
      <xdr:spPr>
        <a:xfrm>
          <a:off x="0" y="171450"/>
          <a:ext cx="2459712" cy="26456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Karl</a:t>
          </a:r>
          <a:r>
            <a:rPr lang="en-IN" sz="1100" b="1" baseline="0"/>
            <a:t> pearsons coefficient of correlation</a:t>
          </a:r>
          <a:endParaRPr lang="en-IN" sz="1100" b="1"/>
        </a:p>
      </xdr:txBody>
    </xdr:sp>
    <xdr:clientData/>
  </xdr:oneCellAnchor>
  <xdr:twoCellAnchor>
    <xdr:from>
      <xdr:col>11</xdr:col>
      <xdr:colOff>95250</xdr:colOff>
      <xdr:row>0</xdr:row>
      <xdr:rowOff>180975</xdr:rowOff>
    </xdr:from>
    <xdr:to>
      <xdr:col>15</xdr:col>
      <xdr:colOff>514350</xdr:colOff>
      <xdr:row>2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92FC37-5AD3-6DE5-71ED-0EBDAFF10420}"/>
            </a:ext>
          </a:extLst>
        </xdr:cNvPr>
        <xdr:cNvSpPr txBox="1"/>
      </xdr:nvSpPr>
      <xdr:spPr>
        <a:xfrm>
          <a:off x="6991350" y="180975"/>
          <a:ext cx="2857500" cy="247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Spearsman's</a:t>
          </a:r>
          <a:r>
            <a:rPr lang="en-IN" sz="1100" b="1" baseline="0"/>
            <a:t> Rank correlation coefficient</a:t>
          </a:r>
        </a:p>
        <a:p>
          <a:endParaRPr lang="en-IN" sz="1100"/>
        </a:p>
      </xdr:txBody>
    </xdr:sp>
    <xdr:clientData/>
  </xdr:twoCellAnchor>
  <xdr:oneCellAnchor>
    <xdr:from>
      <xdr:col>0</xdr:col>
      <xdr:colOff>47625</xdr:colOff>
      <xdr:row>16</xdr:row>
      <xdr:rowOff>180974</xdr:rowOff>
    </xdr:from>
    <xdr:ext cx="3028950" cy="2762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4386F2-1893-4965-09F2-8E9A16EF6124}"/>
            </a:ext>
          </a:extLst>
        </xdr:cNvPr>
        <xdr:cNvSpPr txBox="1"/>
      </xdr:nvSpPr>
      <xdr:spPr>
        <a:xfrm>
          <a:off x="47625" y="3228974"/>
          <a:ext cx="3028950" cy="27622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With repeated ranks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3076575" cy="2381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88456-60C3-34ED-A311-4D722FEF7FBA}"/>
            </a:ext>
          </a:extLst>
        </xdr:cNvPr>
        <xdr:cNvSpPr txBox="1"/>
      </xdr:nvSpPr>
      <xdr:spPr>
        <a:xfrm>
          <a:off x="9525" y="0"/>
          <a:ext cx="3076575" cy="23812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Chi square test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755C-CF7D-482E-8B48-AC0F1D286069}">
  <dimension ref="A1:T135"/>
  <sheetViews>
    <sheetView topLeftCell="A121" workbookViewId="0">
      <selection activeCell="P121" sqref="P121:Q131"/>
    </sheetView>
  </sheetViews>
  <sheetFormatPr defaultRowHeight="15" x14ac:dyDescent="0.25"/>
  <sheetData>
    <row r="1" spans="1:17" x14ac:dyDescent="0.25">
      <c r="A1" s="2" t="s">
        <v>0</v>
      </c>
      <c r="G1" s="2" t="s">
        <v>16</v>
      </c>
      <c r="M1" s="2" t="s">
        <v>23</v>
      </c>
      <c r="P1" s="2" t="s">
        <v>24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G3" s="2" t="s">
        <v>17</v>
      </c>
      <c r="H3" s="2" t="s">
        <v>18</v>
      </c>
      <c r="I3" s="2" t="s">
        <v>3</v>
      </c>
      <c r="J3" s="2" t="s">
        <v>4</v>
      </c>
      <c r="M3" s="2" t="s">
        <v>2</v>
      </c>
      <c r="N3" s="2" t="s">
        <v>4</v>
      </c>
      <c r="P3" s="2" t="s">
        <v>25</v>
      </c>
      <c r="Q3" s="2" t="s">
        <v>4</v>
      </c>
    </row>
    <row r="4" spans="1:17" x14ac:dyDescent="0.25">
      <c r="A4" s="4" t="s">
        <v>5</v>
      </c>
      <c r="B4" s="4">
        <v>9</v>
      </c>
      <c r="C4" s="4">
        <f>(31+35)/2</f>
        <v>33</v>
      </c>
      <c r="D4" s="4">
        <f>(33*9)</f>
        <v>297</v>
      </c>
      <c r="G4" s="4" t="s">
        <v>19</v>
      </c>
      <c r="H4" s="4">
        <v>7</v>
      </c>
      <c r="I4" s="4">
        <f>(1+2)/2</f>
        <v>1.5</v>
      </c>
      <c r="J4" s="4">
        <f>(1.5*7)</f>
        <v>10.5</v>
      </c>
      <c r="M4" s="4">
        <v>24</v>
      </c>
      <c r="N4" s="3"/>
      <c r="P4" s="4">
        <v>171</v>
      </c>
      <c r="Q4" s="4"/>
    </row>
    <row r="5" spans="1:17" x14ac:dyDescent="0.25">
      <c r="A5" s="4" t="s">
        <v>6</v>
      </c>
      <c r="B5" s="4">
        <v>5</v>
      </c>
      <c r="C5" s="4">
        <f>(36+40)/2</f>
        <v>38</v>
      </c>
      <c r="D5" s="4">
        <f>(38*5)</f>
        <v>190</v>
      </c>
      <c r="G5" s="4" t="s">
        <v>20</v>
      </c>
      <c r="H5" s="4">
        <v>3</v>
      </c>
      <c r="I5" s="4">
        <f>(3+4/2)</f>
        <v>5</v>
      </c>
      <c r="J5" s="4">
        <f>(5*3)</f>
        <v>15</v>
      </c>
      <c r="M5" s="4">
        <v>32</v>
      </c>
      <c r="N5" s="3"/>
      <c r="P5" s="4">
        <v>161</v>
      </c>
      <c r="Q5" s="4"/>
    </row>
    <row r="6" spans="1:17" x14ac:dyDescent="0.25">
      <c r="A6" s="4" t="s">
        <v>7</v>
      </c>
      <c r="B6" s="4">
        <v>14</v>
      </c>
      <c r="C6" s="4">
        <f>(41+45)/2</f>
        <v>43</v>
      </c>
      <c r="D6" s="4">
        <f>(43*14)</f>
        <v>602</v>
      </c>
      <c r="G6" s="4" t="s">
        <v>21</v>
      </c>
      <c r="H6" s="4">
        <v>3</v>
      </c>
      <c r="I6" s="4">
        <f>(5+6)/2</f>
        <v>5.5</v>
      </c>
      <c r="J6" s="4">
        <f>(5.5*3)</f>
        <v>16.5</v>
      </c>
      <c r="M6" s="4">
        <v>27</v>
      </c>
      <c r="N6" s="3"/>
      <c r="P6" s="4">
        <v>155</v>
      </c>
      <c r="Q6" s="4"/>
    </row>
    <row r="7" spans="1:17" x14ac:dyDescent="0.25">
      <c r="A7" s="4" t="s">
        <v>8</v>
      </c>
      <c r="B7" s="4">
        <v>3</v>
      </c>
      <c r="C7" s="4">
        <f>(46+50)/2</f>
        <v>48</v>
      </c>
      <c r="D7" s="4">
        <f>(48*3)</f>
        <v>144</v>
      </c>
      <c r="G7" s="4" t="s">
        <v>22</v>
      </c>
      <c r="H7" s="4">
        <v>2</v>
      </c>
      <c r="I7" s="4">
        <f>(7+8)/2</f>
        <v>7.5</v>
      </c>
      <c r="J7" s="4">
        <f>(7.5*2)</f>
        <v>15</v>
      </c>
      <c r="M7" s="4">
        <v>23</v>
      </c>
      <c r="N7" s="3"/>
      <c r="P7" s="4">
        <v>155</v>
      </c>
      <c r="Q7" s="4"/>
    </row>
    <row r="8" spans="1:17" x14ac:dyDescent="0.25">
      <c r="A8" s="4" t="s">
        <v>9</v>
      </c>
      <c r="B8" s="4">
        <v>1</v>
      </c>
      <c r="C8" s="4">
        <f>(51+55)/2</f>
        <v>53</v>
      </c>
      <c r="D8" s="4">
        <f>(53*1)</f>
        <v>53</v>
      </c>
      <c r="G8" s="2" t="s">
        <v>14</v>
      </c>
      <c r="H8" s="2">
        <f>SUM(H4:H7)</f>
        <v>15</v>
      </c>
      <c r="I8" s="2"/>
      <c r="J8" s="2">
        <f>SUM(J4:J7)</f>
        <v>57</v>
      </c>
      <c r="M8" s="4">
        <v>33</v>
      </c>
      <c r="N8" s="3"/>
      <c r="P8" s="4">
        <v>183</v>
      </c>
      <c r="Q8" s="4"/>
    </row>
    <row r="9" spans="1:17" x14ac:dyDescent="0.25">
      <c r="A9" s="4" t="s">
        <v>10</v>
      </c>
      <c r="B9" s="4">
        <v>2</v>
      </c>
      <c r="C9" s="4">
        <f>(56+60)/2</f>
        <v>58</v>
      </c>
      <c r="D9" s="4">
        <f>(58*2)</f>
        <v>116</v>
      </c>
      <c r="G9" s="2" t="s">
        <v>15</v>
      </c>
      <c r="H9" s="2"/>
      <c r="I9" s="2"/>
      <c r="J9" s="2">
        <f>(57/15)</f>
        <v>3.8</v>
      </c>
      <c r="M9" s="4">
        <v>33</v>
      </c>
      <c r="N9" s="3"/>
      <c r="P9" s="4">
        <v>191</v>
      </c>
      <c r="Q9" s="4"/>
    </row>
    <row r="10" spans="1:17" x14ac:dyDescent="0.25">
      <c r="A10" s="4" t="s">
        <v>11</v>
      </c>
      <c r="B10" s="4">
        <v>2</v>
      </c>
      <c r="C10" s="4">
        <f>(61+65)/2</f>
        <v>63</v>
      </c>
      <c r="D10" s="4">
        <f>(63*2)</f>
        <v>126</v>
      </c>
      <c r="M10" s="4">
        <v>29</v>
      </c>
      <c r="N10" s="3"/>
      <c r="P10" s="4">
        <v>185</v>
      </c>
      <c r="Q10" s="4"/>
    </row>
    <row r="11" spans="1:17" x14ac:dyDescent="0.25">
      <c r="A11" s="4" t="s">
        <v>12</v>
      </c>
      <c r="B11" s="4">
        <v>1</v>
      </c>
      <c r="C11" s="4">
        <f>(66+70)/2</f>
        <v>68</v>
      </c>
      <c r="D11" s="4">
        <v>68</v>
      </c>
      <c r="M11" s="4">
        <v>25</v>
      </c>
      <c r="N11" s="3"/>
      <c r="P11" s="4">
        <v>170</v>
      </c>
      <c r="Q11" s="4"/>
    </row>
    <row r="12" spans="1:17" x14ac:dyDescent="0.25">
      <c r="A12" s="4" t="s">
        <v>13</v>
      </c>
      <c r="B12" s="4">
        <v>1</v>
      </c>
      <c r="C12" s="4">
        <f>(71+75)/2</f>
        <v>73</v>
      </c>
      <c r="D12" s="4">
        <v>73</v>
      </c>
      <c r="M12" s="4">
        <v>23</v>
      </c>
      <c r="N12" s="3"/>
      <c r="P12" s="4">
        <v>172</v>
      </c>
      <c r="Q12" s="4"/>
    </row>
    <row r="13" spans="1:17" x14ac:dyDescent="0.25">
      <c r="A13" s="2" t="s">
        <v>14</v>
      </c>
      <c r="B13" s="2">
        <f>SUM(B4:B12)</f>
        <v>38</v>
      </c>
      <c r="C13" s="2"/>
      <c r="D13" s="2">
        <f>SUM(D4:D12)</f>
        <v>1669</v>
      </c>
      <c r="M13" s="4">
        <v>28</v>
      </c>
      <c r="N13" s="3"/>
      <c r="P13" s="4">
        <v>177</v>
      </c>
      <c r="Q13" s="4"/>
    </row>
    <row r="14" spans="1:17" x14ac:dyDescent="0.25">
      <c r="A14" s="2" t="s">
        <v>15</v>
      </c>
      <c r="B14" s="2"/>
      <c r="C14" s="2"/>
      <c r="D14" s="2">
        <f>(1669/38)</f>
        <v>43.921052631578945</v>
      </c>
      <c r="M14" s="4">
        <v>21</v>
      </c>
      <c r="N14" s="3"/>
      <c r="P14" s="4">
        <v>183</v>
      </c>
      <c r="Q14" s="4"/>
    </row>
    <row r="15" spans="1:17" x14ac:dyDescent="0.25">
      <c r="M15" s="4">
        <v>26</v>
      </c>
      <c r="N15" s="3"/>
      <c r="P15" s="4">
        <v>190</v>
      </c>
      <c r="Q15" s="4"/>
    </row>
    <row r="16" spans="1:17" x14ac:dyDescent="0.25">
      <c r="M16" s="4">
        <v>31</v>
      </c>
      <c r="N16" s="3"/>
      <c r="P16" s="4">
        <v>139</v>
      </c>
      <c r="Q16" s="4"/>
    </row>
    <row r="17" spans="1:17" x14ac:dyDescent="0.25">
      <c r="M17" s="4">
        <v>20</v>
      </c>
      <c r="N17" s="3"/>
      <c r="P17" s="4">
        <v>149</v>
      </c>
      <c r="Q17" s="4"/>
    </row>
    <row r="18" spans="1:17" x14ac:dyDescent="0.25">
      <c r="M18" s="4">
        <v>27</v>
      </c>
      <c r="N18" s="3"/>
      <c r="P18" s="4">
        <v>150</v>
      </c>
      <c r="Q18" s="4"/>
    </row>
    <row r="19" spans="1:17" x14ac:dyDescent="0.25">
      <c r="A19" s="2" t="s">
        <v>26</v>
      </c>
      <c r="M19" s="4">
        <v>33</v>
      </c>
      <c r="N19" s="3"/>
      <c r="P19" s="4">
        <v>150</v>
      </c>
      <c r="Q19" s="4"/>
    </row>
    <row r="20" spans="1:17" x14ac:dyDescent="0.25">
      <c r="M20" s="4">
        <v>27</v>
      </c>
      <c r="N20" s="3"/>
      <c r="P20" s="4">
        <v>152</v>
      </c>
      <c r="Q20" s="4"/>
    </row>
    <row r="21" spans="1:17" x14ac:dyDescent="0.25">
      <c r="A21" s="2" t="s">
        <v>27</v>
      </c>
      <c r="B21" s="2" t="s">
        <v>2</v>
      </c>
      <c r="C21" s="2" t="s">
        <v>3</v>
      </c>
      <c r="D21" s="2" t="s">
        <v>4</v>
      </c>
      <c r="M21" s="4">
        <v>23</v>
      </c>
      <c r="N21" s="3"/>
      <c r="P21" s="4">
        <v>158</v>
      </c>
      <c r="Q21" s="4"/>
    </row>
    <row r="22" spans="1:17" x14ac:dyDescent="0.25">
      <c r="A22" s="4" t="s">
        <v>28</v>
      </c>
      <c r="B22" s="4">
        <v>1</v>
      </c>
      <c r="C22" s="4">
        <f>(5+10)/2</f>
        <v>7.5</v>
      </c>
      <c r="D22" s="4">
        <f>(7.5*1)</f>
        <v>7.5</v>
      </c>
      <c r="M22" s="4">
        <v>28</v>
      </c>
      <c r="N22" s="3"/>
      <c r="P22" s="4">
        <v>159</v>
      </c>
      <c r="Q22" s="4"/>
    </row>
    <row r="23" spans="1:17" x14ac:dyDescent="0.25">
      <c r="A23" s="4" t="s">
        <v>29</v>
      </c>
      <c r="B23" s="4">
        <v>4</v>
      </c>
      <c r="C23" s="4">
        <f>(10+15)/2</f>
        <v>12.5</v>
      </c>
      <c r="D23" s="4">
        <f>(12.5*4)</f>
        <v>50</v>
      </c>
      <c r="M23" s="4">
        <v>29</v>
      </c>
      <c r="N23" s="3"/>
      <c r="P23" s="4">
        <v>174</v>
      </c>
      <c r="Q23" s="4"/>
    </row>
    <row r="24" spans="1:17" x14ac:dyDescent="0.25">
      <c r="A24" s="4" t="s">
        <v>30</v>
      </c>
      <c r="B24" s="4">
        <v>6</v>
      </c>
      <c r="C24" s="4">
        <f>(20+25)/2</f>
        <v>22.5</v>
      </c>
      <c r="D24" s="4">
        <f>(22.5*4)</f>
        <v>90</v>
      </c>
      <c r="M24" s="4">
        <v>31</v>
      </c>
      <c r="N24" s="3"/>
      <c r="P24" s="4">
        <v>178</v>
      </c>
      <c r="Q24" s="4"/>
    </row>
    <row r="25" spans="1:17" x14ac:dyDescent="0.25">
      <c r="A25" s="4" t="s">
        <v>31</v>
      </c>
      <c r="B25" s="4">
        <v>2</v>
      </c>
      <c r="C25" s="4">
        <f>(25+30)/2</f>
        <v>27.5</v>
      </c>
      <c r="D25" s="4">
        <f>(27.5*2)</f>
        <v>55</v>
      </c>
      <c r="M25" s="4">
        <v>35</v>
      </c>
      <c r="N25" s="3"/>
      <c r="P25" s="4">
        <v>179</v>
      </c>
      <c r="Q25" s="4"/>
    </row>
    <row r="26" spans="1:17" x14ac:dyDescent="0.25">
      <c r="A26" s="4" t="s">
        <v>32</v>
      </c>
      <c r="B26" s="4">
        <v>3</v>
      </c>
      <c r="C26" s="4">
        <f>(30+35)/2</f>
        <v>32.5</v>
      </c>
      <c r="D26" s="4">
        <f>(32.5*3)</f>
        <v>97.5</v>
      </c>
      <c r="M26" s="4">
        <v>34</v>
      </c>
      <c r="N26" s="3"/>
      <c r="P26" s="4">
        <v>190</v>
      </c>
      <c r="Q26" s="4"/>
    </row>
    <row r="27" spans="1:17" x14ac:dyDescent="0.25">
      <c r="A27" s="2" t="s">
        <v>14</v>
      </c>
      <c r="B27" s="2">
        <f>SUM(B22:B26)</f>
        <v>16</v>
      </c>
      <c r="C27" s="2"/>
      <c r="D27" s="2">
        <f>SUM(D22:D26)</f>
        <v>300</v>
      </c>
      <c r="M27" s="4">
        <v>22</v>
      </c>
      <c r="N27" s="3"/>
      <c r="P27" s="4">
        <v>170</v>
      </c>
      <c r="Q27" s="4"/>
    </row>
    <row r="28" spans="1:17" x14ac:dyDescent="0.25">
      <c r="A28" s="2" t="s">
        <v>15</v>
      </c>
      <c r="B28" s="2"/>
      <c r="C28" s="2"/>
      <c r="D28" s="2">
        <f>(300/14)</f>
        <v>21.428571428571427</v>
      </c>
      <c r="M28" s="4">
        <v>26</v>
      </c>
      <c r="N28" s="3"/>
      <c r="P28" s="4">
        <v>143</v>
      </c>
      <c r="Q28" s="4"/>
    </row>
    <row r="29" spans="1:17" x14ac:dyDescent="0.25">
      <c r="M29" s="4">
        <v>28</v>
      </c>
      <c r="N29" s="3"/>
      <c r="P29" s="4">
        <v>165</v>
      </c>
      <c r="Q29" s="4"/>
    </row>
    <row r="30" spans="1:17" x14ac:dyDescent="0.25">
      <c r="M30" s="4">
        <v>23</v>
      </c>
      <c r="N30" s="3"/>
      <c r="P30" s="4">
        <v>167</v>
      </c>
      <c r="Q30" s="4"/>
    </row>
    <row r="31" spans="1:17" x14ac:dyDescent="0.25">
      <c r="M31" s="4">
        <v>35</v>
      </c>
      <c r="N31" s="3"/>
      <c r="P31" s="4">
        <v>187</v>
      </c>
      <c r="Q31" s="4"/>
    </row>
    <row r="32" spans="1:17" x14ac:dyDescent="0.25">
      <c r="M32" s="4">
        <v>31</v>
      </c>
      <c r="N32" s="3"/>
      <c r="P32" s="4">
        <v>169</v>
      </c>
      <c r="Q32" s="4"/>
    </row>
    <row r="33" spans="1:17" x14ac:dyDescent="0.25">
      <c r="A33" s="2" t="s">
        <v>33</v>
      </c>
      <c r="M33" s="4">
        <v>27</v>
      </c>
      <c r="N33" s="3"/>
      <c r="P33" s="4">
        <v>182</v>
      </c>
      <c r="Q33" s="4"/>
    </row>
    <row r="34" spans="1:17" x14ac:dyDescent="0.25">
      <c r="M34" s="2">
        <f>SUM(M4:M33)</f>
        <v>834</v>
      </c>
      <c r="N34" s="2"/>
      <c r="P34" s="4">
        <v>163</v>
      </c>
      <c r="Q34" s="4"/>
    </row>
    <row r="35" spans="1:17" x14ac:dyDescent="0.25">
      <c r="A35" s="2" t="s">
        <v>34</v>
      </c>
      <c r="B35" s="2" t="s">
        <v>18</v>
      </c>
      <c r="C35" s="2" t="s">
        <v>3</v>
      </c>
      <c r="D35" s="2" t="s">
        <v>4</v>
      </c>
      <c r="M35" s="6" t="s">
        <v>15</v>
      </c>
      <c r="N35" s="6">
        <f>(834/30)</f>
        <v>27.8</v>
      </c>
      <c r="P35" s="4">
        <v>149</v>
      </c>
      <c r="Q35" s="4"/>
    </row>
    <row r="36" spans="1:17" x14ac:dyDescent="0.25">
      <c r="A36" s="4" t="s">
        <v>70</v>
      </c>
      <c r="B36" s="4">
        <v>30</v>
      </c>
      <c r="C36" s="4">
        <f>(0+10)/2</f>
        <v>5</v>
      </c>
      <c r="D36" s="4">
        <f>(30*5)</f>
        <v>150</v>
      </c>
      <c r="M36" s="3"/>
      <c r="N36" s="3"/>
      <c r="P36" s="4">
        <v>174</v>
      </c>
      <c r="Q36" s="4"/>
    </row>
    <row r="37" spans="1:17" x14ac:dyDescent="0.25">
      <c r="A37" s="4" t="s">
        <v>71</v>
      </c>
      <c r="B37" s="4">
        <v>27</v>
      </c>
      <c r="C37" s="4">
        <f>(10+20)/2</f>
        <v>15</v>
      </c>
      <c r="D37" s="4">
        <f>(15*27)</f>
        <v>405</v>
      </c>
      <c r="P37" s="4">
        <v>174</v>
      </c>
      <c r="Q37" s="4"/>
    </row>
    <row r="38" spans="1:17" x14ac:dyDescent="0.25">
      <c r="A38" s="4" t="s">
        <v>35</v>
      </c>
      <c r="B38" s="4">
        <v>14</v>
      </c>
      <c r="C38" s="4">
        <f>(20+30)/2</f>
        <v>25</v>
      </c>
      <c r="D38" s="4">
        <f>(25*14)</f>
        <v>350</v>
      </c>
      <c r="P38" s="4">
        <v>177</v>
      </c>
      <c r="Q38" s="4"/>
    </row>
    <row r="39" spans="1:17" x14ac:dyDescent="0.25">
      <c r="A39" s="4" t="s">
        <v>36</v>
      </c>
      <c r="B39" s="4">
        <v>19</v>
      </c>
      <c r="C39" s="4">
        <f>(30+40)/2</f>
        <v>35</v>
      </c>
      <c r="D39" s="4">
        <f>(35*19)</f>
        <v>665</v>
      </c>
      <c r="P39" s="4">
        <v>181</v>
      </c>
      <c r="Q39" s="4"/>
    </row>
    <row r="40" spans="1:17" x14ac:dyDescent="0.25">
      <c r="A40" s="4" t="s">
        <v>72</v>
      </c>
      <c r="B40" s="4">
        <v>2</v>
      </c>
      <c r="C40" s="4">
        <f>(40+50)/2</f>
        <v>45</v>
      </c>
      <c r="D40" s="4">
        <f>(45*2)</f>
        <v>90</v>
      </c>
      <c r="P40" s="4">
        <v>170</v>
      </c>
      <c r="Q40" s="4"/>
    </row>
    <row r="41" spans="1:17" x14ac:dyDescent="0.25">
      <c r="A41" s="2" t="s">
        <v>14</v>
      </c>
      <c r="B41" s="2">
        <f>SUM(B36:B40)</f>
        <v>92</v>
      </c>
      <c r="C41" s="2"/>
      <c r="D41" s="2">
        <f>SUM(D36:D40)</f>
        <v>1660</v>
      </c>
      <c r="P41" s="4">
        <v>145</v>
      </c>
      <c r="Q41" s="4"/>
    </row>
    <row r="42" spans="1:17" x14ac:dyDescent="0.25">
      <c r="A42" s="2" t="s">
        <v>15</v>
      </c>
      <c r="B42" s="2"/>
      <c r="C42" s="2"/>
      <c r="D42" s="2">
        <f>(1660/92)</f>
        <v>18.043478260869566</v>
      </c>
      <c r="P42" s="4">
        <v>143</v>
      </c>
      <c r="Q42" s="4"/>
    </row>
    <row r="43" spans="1:17" x14ac:dyDescent="0.25">
      <c r="P43" s="3"/>
      <c r="Q43" s="4"/>
    </row>
    <row r="44" spans="1:17" x14ac:dyDescent="0.25">
      <c r="P44" s="2">
        <f>SUM(P4:P43)</f>
        <v>6530</v>
      </c>
      <c r="Q44" s="2"/>
    </row>
    <row r="45" spans="1:17" x14ac:dyDescent="0.25">
      <c r="P45" s="2"/>
      <c r="Q45" s="2"/>
    </row>
    <row r="46" spans="1:17" x14ac:dyDescent="0.25">
      <c r="A46" s="2" t="s">
        <v>37</v>
      </c>
      <c r="P46" s="2" t="s">
        <v>15</v>
      </c>
      <c r="Q46" s="2">
        <f>(6882/42)</f>
        <v>163.85714285714286</v>
      </c>
    </row>
    <row r="48" spans="1:17" x14ac:dyDescent="0.25">
      <c r="A48" s="2" t="s">
        <v>38</v>
      </c>
      <c r="B48" s="2" t="s">
        <v>4</v>
      </c>
      <c r="C48" s="1"/>
    </row>
    <row r="49" spans="1:15" x14ac:dyDescent="0.25">
      <c r="A49" s="4">
        <v>3</v>
      </c>
      <c r="B49" s="4"/>
      <c r="C49" s="1"/>
    </row>
    <row r="50" spans="1:15" x14ac:dyDescent="0.25">
      <c r="A50" s="4">
        <v>9</v>
      </c>
      <c r="B50" s="4"/>
      <c r="C50" s="1"/>
    </row>
    <row r="51" spans="1:15" x14ac:dyDescent="0.25">
      <c r="A51" s="4">
        <v>12</v>
      </c>
      <c r="B51" s="4"/>
      <c r="C51" s="1"/>
    </row>
    <row r="52" spans="1:15" x14ac:dyDescent="0.25">
      <c r="A52" s="4">
        <v>14</v>
      </c>
      <c r="B52" s="4"/>
      <c r="C52" s="1"/>
      <c r="F52" s="2" t="s">
        <v>39</v>
      </c>
      <c r="L52" s="2" t="s">
        <v>47</v>
      </c>
    </row>
    <row r="53" spans="1:15" x14ac:dyDescent="0.25">
      <c r="A53" s="4">
        <v>15</v>
      </c>
      <c r="B53" s="4"/>
      <c r="C53" s="1"/>
    </row>
    <row r="54" spans="1:15" x14ac:dyDescent="0.25">
      <c r="A54" s="4">
        <v>17</v>
      </c>
      <c r="B54" s="4"/>
      <c r="C54" s="1"/>
      <c r="F54" s="2" t="s">
        <v>40</v>
      </c>
      <c r="G54" s="2" t="s">
        <v>41</v>
      </c>
      <c r="H54" s="2" t="s">
        <v>3</v>
      </c>
      <c r="I54" s="2" t="s">
        <v>4</v>
      </c>
      <c r="L54" s="2" t="s">
        <v>48</v>
      </c>
      <c r="M54" s="2" t="s">
        <v>18</v>
      </c>
      <c r="N54" s="2" t="s">
        <v>3</v>
      </c>
      <c r="O54" s="2" t="s">
        <v>4</v>
      </c>
    </row>
    <row r="55" spans="1:15" x14ac:dyDescent="0.25">
      <c r="A55" s="2">
        <f>SUM(A49:A54)</f>
        <v>70</v>
      </c>
      <c r="B55" s="2"/>
      <c r="C55" s="1"/>
      <c r="F55" s="4" t="s">
        <v>42</v>
      </c>
      <c r="G55" s="4">
        <v>2</v>
      </c>
      <c r="H55" s="4">
        <v>5.5</v>
      </c>
      <c r="I55" s="4">
        <v>11</v>
      </c>
      <c r="L55" s="4" t="s">
        <v>49</v>
      </c>
      <c r="M55" s="4">
        <v>2</v>
      </c>
      <c r="N55" s="4">
        <f>(13+19)/2</f>
        <v>16</v>
      </c>
      <c r="O55" s="4">
        <f>(16*2)</f>
        <v>32</v>
      </c>
    </row>
    <row r="56" spans="1:15" x14ac:dyDescent="0.25">
      <c r="A56" s="2" t="s">
        <v>15</v>
      </c>
      <c r="B56" s="2">
        <v>11.66667</v>
      </c>
      <c r="C56" s="1"/>
      <c r="F56" s="4" t="s">
        <v>43</v>
      </c>
      <c r="G56" s="4">
        <v>7</v>
      </c>
      <c r="H56" s="4">
        <v>15.5</v>
      </c>
      <c r="I56" s="4">
        <v>108.5</v>
      </c>
      <c r="L56" s="4" t="s">
        <v>50</v>
      </c>
      <c r="M56" s="4">
        <v>7</v>
      </c>
      <c r="N56" s="4">
        <f>(20+26)/2</f>
        <v>23</v>
      </c>
      <c r="O56" s="4">
        <f>(23*7)</f>
        <v>161</v>
      </c>
    </row>
    <row r="57" spans="1:15" x14ac:dyDescent="0.25">
      <c r="F57" s="4" t="s">
        <v>44</v>
      </c>
      <c r="G57" s="4">
        <v>10</v>
      </c>
      <c r="H57" s="4">
        <v>25.5</v>
      </c>
      <c r="I57" s="4">
        <v>255</v>
      </c>
      <c r="L57" s="4" t="s">
        <v>51</v>
      </c>
      <c r="M57" s="4">
        <v>12</v>
      </c>
      <c r="N57" s="4">
        <f>(27+33)/2</f>
        <v>30</v>
      </c>
      <c r="O57" s="4">
        <f>(30*12)</f>
        <v>360</v>
      </c>
    </row>
    <row r="58" spans="1:15" x14ac:dyDescent="0.25">
      <c r="F58" s="4" t="s">
        <v>45</v>
      </c>
      <c r="G58" s="4">
        <v>3</v>
      </c>
      <c r="H58" s="4">
        <v>35.5</v>
      </c>
      <c r="I58" s="4">
        <v>106.5</v>
      </c>
      <c r="L58" s="4" t="s">
        <v>52</v>
      </c>
      <c r="M58" s="4">
        <v>5</v>
      </c>
      <c r="N58" s="4">
        <f>(34+40)/2</f>
        <v>37</v>
      </c>
      <c r="O58" s="4">
        <f>(37*5)</f>
        <v>185</v>
      </c>
    </row>
    <row r="59" spans="1:15" x14ac:dyDescent="0.25">
      <c r="F59" s="4" t="s">
        <v>46</v>
      </c>
      <c r="G59" s="4">
        <v>1</v>
      </c>
      <c r="H59" s="4">
        <v>45.5</v>
      </c>
      <c r="I59" s="4">
        <v>45.5</v>
      </c>
      <c r="L59" s="4" t="s">
        <v>53</v>
      </c>
      <c r="M59" s="4">
        <v>6</v>
      </c>
      <c r="N59" s="4">
        <f>(41+47)/2</f>
        <v>44</v>
      </c>
      <c r="O59" s="4">
        <f>(44*6)</f>
        <v>264</v>
      </c>
    </row>
    <row r="60" spans="1:15" x14ac:dyDescent="0.25">
      <c r="F60" s="2" t="s">
        <v>14</v>
      </c>
      <c r="G60" s="2">
        <v>23</v>
      </c>
      <c r="H60" s="2"/>
      <c r="I60" s="2">
        <v>526.5</v>
      </c>
      <c r="L60" s="4" t="s">
        <v>54</v>
      </c>
      <c r="M60" s="4">
        <v>1</v>
      </c>
      <c r="N60" s="4">
        <f>(48+54)/2</f>
        <v>51</v>
      </c>
      <c r="O60" s="4">
        <v>51</v>
      </c>
    </row>
    <row r="61" spans="1:15" x14ac:dyDescent="0.25">
      <c r="F61" s="2" t="s">
        <v>15</v>
      </c>
      <c r="G61" s="2"/>
      <c r="H61" s="2"/>
      <c r="I61" s="2">
        <v>22.891304349999999</v>
      </c>
      <c r="L61" s="4" t="s">
        <v>55</v>
      </c>
      <c r="M61" s="4">
        <v>0</v>
      </c>
      <c r="N61" s="4">
        <f>(55+61)/2</f>
        <v>58</v>
      </c>
      <c r="O61" s="4">
        <f>(58*0)</f>
        <v>0</v>
      </c>
    </row>
    <row r="62" spans="1:15" x14ac:dyDescent="0.25">
      <c r="L62" s="4" t="s">
        <v>56</v>
      </c>
      <c r="M62" s="4">
        <v>2</v>
      </c>
      <c r="N62" s="4">
        <f>(62+68)/2</f>
        <v>65</v>
      </c>
      <c r="O62" s="4">
        <f>(65*2)</f>
        <v>130</v>
      </c>
    </row>
    <row r="63" spans="1:15" x14ac:dyDescent="0.25">
      <c r="L63" s="2" t="s">
        <v>14</v>
      </c>
      <c r="M63" s="2">
        <f>SUM(M55:M62)</f>
        <v>35</v>
      </c>
      <c r="N63" s="2"/>
      <c r="O63" s="2">
        <f>SUM(O55:O62)</f>
        <v>1183</v>
      </c>
    </row>
    <row r="64" spans="1:15" x14ac:dyDescent="0.25">
      <c r="L64" s="2" t="s">
        <v>15</v>
      </c>
      <c r="M64" s="2"/>
      <c r="N64" s="2"/>
      <c r="O64" s="2">
        <f>(1183/35)</f>
        <v>33.799999999999997</v>
      </c>
    </row>
    <row r="68" spans="1:19" x14ac:dyDescent="0.25">
      <c r="A68" s="2" t="s">
        <v>57</v>
      </c>
      <c r="G68" s="2" t="s">
        <v>137</v>
      </c>
      <c r="M68" s="2" t="s">
        <v>147</v>
      </c>
      <c r="Q68" s="2" t="s">
        <v>152</v>
      </c>
    </row>
    <row r="70" spans="1:19" x14ac:dyDescent="0.25">
      <c r="A70" s="2" t="s">
        <v>58</v>
      </c>
      <c r="B70" s="2" t="s">
        <v>2</v>
      </c>
      <c r="C70" s="2" t="s">
        <v>3</v>
      </c>
      <c r="D70" s="2" t="s">
        <v>4</v>
      </c>
      <c r="G70" s="2" t="s">
        <v>58</v>
      </c>
      <c r="H70" s="2" t="s">
        <v>2</v>
      </c>
      <c r="I70" s="2" t="s">
        <v>3</v>
      </c>
      <c r="J70" s="2" t="s">
        <v>4</v>
      </c>
      <c r="M70" s="2" t="s">
        <v>1</v>
      </c>
      <c r="N70" s="2" t="s">
        <v>2</v>
      </c>
      <c r="O70" s="2" t="s">
        <v>148</v>
      </c>
      <c r="Q70" s="2" t="s">
        <v>1</v>
      </c>
      <c r="R70" s="2" t="s">
        <v>2</v>
      </c>
      <c r="S70" s="2" t="s">
        <v>148</v>
      </c>
    </row>
    <row r="71" spans="1:19" x14ac:dyDescent="0.25">
      <c r="A71" s="4" t="s">
        <v>59</v>
      </c>
      <c r="B71" s="4">
        <v>2</v>
      </c>
      <c r="C71" s="4">
        <f>(70+72)/2</f>
        <v>71</v>
      </c>
      <c r="D71" s="4">
        <f>(71*2)</f>
        <v>142</v>
      </c>
      <c r="G71" s="4" t="s">
        <v>138</v>
      </c>
      <c r="H71" s="4">
        <v>2</v>
      </c>
      <c r="I71" s="4">
        <f>(0+3)/2</f>
        <v>1.5</v>
      </c>
      <c r="J71" s="4">
        <f>(2*1.5)</f>
        <v>3</v>
      </c>
      <c r="M71" s="4">
        <v>0</v>
      </c>
      <c r="N71" s="4">
        <v>2</v>
      </c>
      <c r="O71" s="4">
        <f>(2*0)</f>
        <v>0</v>
      </c>
      <c r="Q71" s="4">
        <v>1</v>
      </c>
      <c r="R71" s="4">
        <v>3</v>
      </c>
      <c r="S71" s="4">
        <v>3</v>
      </c>
    </row>
    <row r="72" spans="1:19" x14ac:dyDescent="0.25">
      <c r="A72" s="4" t="s">
        <v>60</v>
      </c>
      <c r="B72" s="4">
        <v>2</v>
      </c>
      <c r="C72" s="4">
        <f>(67+69)/2</f>
        <v>68</v>
      </c>
      <c r="D72" s="4">
        <f>(68*2)</f>
        <v>136</v>
      </c>
      <c r="G72" s="4" t="s">
        <v>139</v>
      </c>
      <c r="H72" s="4">
        <v>3</v>
      </c>
      <c r="I72" s="4">
        <f>(4+7)/2</f>
        <v>5.5</v>
      </c>
      <c r="J72" s="4">
        <f>(3*5.5)</f>
        <v>16.5</v>
      </c>
      <c r="M72" s="4">
        <v>1</v>
      </c>
      <c r="N72" s="4">
        <v>4</v>
      </c>
      <c r="O72" s="4">
        <v>4</v>
      </c>
      <c r="Q72" s="4">
        <v>2</v>
      </c>
      <c r="R72" s="4">
        <v>8</v>
      </c>
      <c r="S72" s="4">
        <v>16</v>
      </c>
    </row>
    <row r="73" spans="1:19" x14ac:dyDescent="0.25">
      <c r="A73" s="4" t="s">
        <v>61</v>
      </c>
      <c r="B73" s="4">
        <v>4</v>
      </c>
      <c r="C73" s="4">
        <f>(64+66)/2</f>
        <v>65</v>
      </c>
      <c r="D73" s="4">
        <f>(65*4)</f>
        <v>260</v>
      </c>
      <c r="G73" s="4" t="s">
        <v>140</v>
      </c>
      <c r="H73" s="4">
        <v>8</v>
      </c>
      <c r="I73" s="4">
        <f>(8+11)/2</f>
        <v>9.5</v>
      </c>
      <c r="J73" s="4">
        <f>(8*9.5)</f>
        <v>76</v>
      </c>
      <c r="M73" s="4">
        <v>2</v>
      </c>
      <c r="N73" s="4">
        <v>7</v>
      </c>
      <c r="O73" s="4">
        <v>14</v>
      </c>
      <c r="Q73" s="4">
        <v>3</v>
      </c>
      <c r="R73" s="4">
        <v>5</v>
      </c>
      <c r="S73" s="4">
        <v>15</v>
      </c>
    </row>
    <row r="74" spans="1:19" x14ac:dyDescent="0.25">
      <c r="A74" s="4" t="s">
        <v>62</v>
      </c>
      <c r="B74" s="4">
        <v>5</v>
      </c>
      <c r="C74" s="4">
        <f>(61+63/2)</f>
        <v>92.5</v>
      </c>
      <c r="D74" s="4">
        <f>(92.5*5)</f>
        <v>462.5</v>
      </c>
      <c r="G74" s="4" t="s">
        <v>141</v>
      </c>
      <c r="H74" s="4">
        <v>3</v>
      </c>
      <c r="I74" s="4">
        <f>(12+15)/2</f>
        <v>13.5</v>
      </c>
      <c r="J74" s="4">
        <f>(3*13.5)</f>
        <v>40.5</v>
      </c>
      <c r="M74" s="4">
        <v>3</v>
      </c>
      <c r="N74" s="4">
        <v>4</v>
      </c>
      <c r="O74" s="4">
        <v>12</v>
      </c>
      <c r="Q74" s="4">
        <v>4</v>
      </c>
      <c r="R74" s="4">
        <v>4</v>
      </c>
      <c r="S74" s="4">
        <v>16</v>
      </c>
    </row>
    <row r="75" spans="1:19" x14ac:dyDescent="0.25">
      <c r="A75" s="4" t="s">
        <v>63</v>
      </c>
      <c r="B75" s="4">
        <v>11</v>
      </c>
      <c r="C75" s="4">
        <f>(58+60)/2</f>
        <v>59</v>
      </c>
      <c r="D75" s="4">
        <f>(59*11)</f>
        <v>649</v>
      </c>
      <c r="G75" s="4" t="s">
        <v>142</v>
      </c>
      <c r="H75" s="4">
        <v>2</v>
      </c>
      <c r="I75" s="4">
        <f>(16+19)/2</f>
        <v>17.5</v>
      </c>
      <c r="J75" s="4">
        <f>(2*17.5)</f>
        <v>35</v>
      </c>
      <c r="M75" s="4">
        <v>4</v>
      </c>
      <c r="N75" s="4">
        <v>2</v>
      </c>
      <c r="O75" s="4">
        <v>8</v>
      </c>
      <c r="Q75" s="4">
        <v>5</v>
      </c>
      <c r="R75" s="4">
        <v>2</v>
      </c>
      <c r="S75" s="4">
        <v>10</v>
      </c>
    </row>
    <row r="76" spans="1:19" x14ac:dyDescent="0.25">
      <c r="A76" s="4" t="s">
        <v>64</v>
      </c>
      <c r="B76" s="4">
        <v>8</v>
      </c>
      <c r="C76" s="4">
        <f>(55+57)/2</f>
        <v>56</v>
      </c>
      <c r="D76" s="4">
        <f>(56*8)</f>
        <v>448</v>
      </c>
      <c r="G76" s="2" t="s">
        <v>14</v>
      </c>
      <c r="H76" s="2">
        <f>SUM(H71:H75)</f>
        <v>18</v>
      </c>
      <c r="I76" s="2"/>
      <c r="J76" s="2">
        <f>SUM(J71:J75)</f>
        <v>171</v>
      </c>
      <c r="M76" s="4">
        <v>5</v>
      </c>
      <c r="N76" s="4">
        <v>0</v>
      </c>
      <c r="O76" s="4">
        <v>0</v>
      </c>
      <c r="Q76" s="4">
        <v>6</v>
      </c>
      <c r="R76" s="4">
        <v>1</v>
      </c>
      <c r="S76" s="4">
        <v>6</v>
      </c>
    </row>
    <row r="77" spans="1:19" x14ac:dyDescent="0.25">
      <c r="A77" s="4" t="s">
        <v>65</v>
      </c>
      <c r="B77" s="4">
        <v>4</v>
      </c>
      <c r="C77" s="4">
        <f>(52+54)/2</f>
        <v>53</v>
      </c>
      <c r="D77" s="4">
        <f>(53*4)</f>
        <v>212</v>
      </c>
      <c r="G77" s="2" t="s">
        <v>15</v>
      </c>
      <c r="H77" s="2"/>
      <c r="I77" s="2"/>
      <c r="J77" s="2">
        <f>(171/18)</f>
        <v>9.5</v>
      </c>
      <c r="M77" s="4">
        <v>6</v>
      </c>
      <c r="N77" s="4">
        <v>1</v>
      </c>
      <c r="O77" s="4">
        <v>6</v>
      </c>
      <c r="Q77" s="4">
        <v>7</v>
      </c>
      <c r="R77" s="4">
        <v>1</v>
      </c>
      <c r="S77" s="4">
        <v>7</v>
      </c>
    </row>
    <row r="78" spans="1:19" x14ac:dyDescent="0.25">
      <c r="A78" s="4" t="s">
        <v>66</v>
      </c>
      <c r="B78" s="4">
        <v>2</v>
      </c>
      <c r="C78" s="4">
        <f>(49+51)/2</f>
        <v>50</v>
      </c>
      <c r="D78" s="4">
        <f>(50*2)</f>
        <v>100</v>
      </c>
      <c r="M78" s="4">
        <v>7</v>
      </c>
      <c r="N78" s="4">
        <v>8</v>
      </c>
      <c r="O78" s="4">
        <f>(7*8)</f>
        <v>56</v>
      </c>
      <c r="Q78" s="3"/>
      <c r="R78" s="3">
        <f>SUM(R71:R77)</f>
        <v>24</v>
      </c>
      <c r="S78" s="3">
        <f>SUM(S71:S77)</f>
        <v>73</v>
      </c>
    </row>
    <row r="79" spans="1:19" x14ac:dyDescent="0.25">
      <c r="A79" s="4" t="s">
        <v>67</v>
      </c>
      <c r="B79" s="4">
        <v>1</v>
      </c>
      <c r="C79" s="4">
        <f>(46+48)/2</f>
        <v>47</v>
      </c>
      <c r="D79" s="4">
        <v>47</v>
      </c>
      <c r="M79" s="4">
        <v>8</v>
      </c>
      <c r="N79" s="4">
        <v>13</v>
      </c>
      <c r="O79" s="4">
        <f>(13*8)</f>
        <v>104</v>
      </c>
      <c r="Q79" s="3"/>
      <c r="R79" s="3"/>
      <c r="S79" s="3"/>
    </row>
    <row r="80" spans="1:19" x14ac:dyDescent="0.25">
      <c r="A80" s="4" t="s">
        <v>68</v>
      </c>
      <c r="B80" s="4">
        <v>1</v>
      </c>
      <c r="C80" s="4">
        <f>(43+45)/2</f>
        <v>44</v>
      </c>
      <c r="D80" s="4">
        <v>44</v>
      </c>
      <c r="M80" s="4">
        <v>9</v>
      </c>
      <c r="N80" s="4">
        <v>7</v>
      </c>
      <c r="O80" s="4">
        <f>(7*9)</f>
        <v>63</v>
      </c>
      <c r="Q80" s="3"/>
      <c r="R80" s="2" t="s">
        <v>15</v>
      </c>
      <c r="S80" s="2">
        <f>73/24</f>
        <v>3.0416666666666665</v>
      </c>
    </row>
    <row r="81" spans="1:15" x14ac:dyDescent="0.25">
      <c r="A81" s="2" t="s">
        <v>14</v>
      </c>
      <c r="B81" s="2">
        <f>SUM(B71:B80)</f>
        <v>40</v>
      </c>
      <c r="C81" s="2"/>
      <c r="D81" s="2">
        <f>SUM(D71:D80)</f>
        <v>2500.5</v>
      </c>
      <c r="M81" s="4">
        <v>10</v>
      </c>
      <c r="N81" s="4">
        <v>2</v>
      </c>
      <c r="O81" s="4">
        <v>20</v>
      </c>
    </row>
    <row r="82" spans="1:15" x14ac:dyDescent="0.25">
      <c r="A82" s="2" t="s">
        <v>15</v>
      </c>
      <c r="B82" s="2"/>
      <c r="C82" s="2"/>
      <c r="D82" s="2">
        <f>(2500.5/40)</f>
        <v>62.512500000000003</v>
      </c>
      <c r="M82" s="3"/>
      <c r="N82" s="2">
        <f>SUM(N71:N81)</f>
        <v>50</v>
      </c>
      <c r="O82" s="2">
        <f>SUM(O71:O81)</f>
        <v>287</v>
      </c>
    </row>
    <row r="83" spans="1:15" x14ac:dyDescent="0.25">
      <c r="M83" s="3"/>
      <c r="N83" s="2"/>
      <c r="O83" s="2"/>
    </row>
    <row r="84" spans="1:15" x14ac:dyDescent="0.25">
      <c r="M84" s="3"/>
      <c r="N84" s="2" t="s">
        <v>15</v>
      </c>
      <c r="O84" s="2">
        <f>(287/50)</f>
        <v>5.74</v>
      </c>
    </row>
    <row r="86" spans="1:15" x14ac:dyDescent="0.25">
      <c r="A86" s="2" t="s">
        <v>153</v>
      </c>
    </row>
    <row r="88" spans="1:15" x14ac:dyDescent="0.25">
      <c r="A88" s="2" t="s">
        <v>58</v>
      </c>
      <c r="B88" s="2" t="s">
        <v>2</v>
      </c>
      <c r="C88" s="2" t="s">
        <v>3</v>
      </c>
      <c r="D88" s="2" t="s">
        <v>4</v>
      </c>
      <c r="G88" s="2" t="s">
        <v>154</v>
      </c>
      <c r="L88" s="2" t="s">
        <v>156</v>
      </c>
    </row>
    <row r="89" spans="1:15" x14ac:dyDescent="0.25">
      <c r="A89" s="4" t="s">
        <v>71</v>
      </c>
      <c r="B89" s="4">
        <v>3</v>
      </c>
      <c r="C89" s="4">
        <f>(10+20)/2</f>
        <v>15</v>
      </c>
      <c r="D89" s="4">
        <f>(15*3)</f>
        <v>45</v>
      </c>
    </row>
    <row r="90" spans="1:15" x14ac:dyDescent="0.25">
      <c r="A90" s="4" t="s">
        <v>35</v>
      </c>
      <c r="B90" s="4">
        <v>9</v>
      </c>
      <c r="C90" s="4">
        <f>(20+30)/2</f>
        <v>25</v>
      </c>
      <c r="D90" s="4">
        <f>(25*9)</f>
        <v>225</v>
      </c>
      <c r="G90" s="2" t="s">
        <v>1</v>
      </c>
      <c r="H90" s="2" t="s">
        <v>2</v>
      </c>
      <c r="I90" s="2" t="s">
        <v>148</v>
      </c>
      <c r="L90" s="2" t="s">
        <v>1</v>
      </c>
      <c r="M90" s="2" t="s">
        <v>2</v>
      </c>
      <c r="N90" s="2" t="s">
        <v>148</v>
      </c>
    </row>
    <row r="91" spans="1:15" x14ac:dyDescent="0.25">
      <c r="A91" s="4" t="s">
        <v>36</v>
      </c>
      <c r="B91" s="4">
        <v>12</v>
      </c>
      <c r="C91" s="4">
        <f>(30+40)/2</f>
        <v>35</v>
      </c>
      <c r="D91" s="4">
        <f>(35*12)</f>
        <v>420</v>
      </c>
      <c r="G91" s="4">
        <v>10</v>
      </c>
      <c r="H91" s="4">
        <v>2</v>
      </c>
      <c r="I91" s="4">
        <v>20</v>
      </c>
      <c r="L91" s="4">
        <v>20</v>
      </c>
      <c r="M91" s="4">
        <v>6</v>
      </c>
      <c r="N91" s="4">
        <f>20*6</f>
        <v>120</v>
      </c>
    </row>
    <row r="92" spans="1:15" x14ac:dyDescent="0.25">
      <c r="A92" s="4" t="s">
        <v>72</v>
      </c>
      <c r="B92" s="4">
        <v>20</v>
      </c>
      <c r="C92" s="4">
        <f>(40+50)/2</f>
        <v>45</v>
      </c>
      <c r="D92" s="4">
        <f>(45*20)</f>
        <v>900</v>
      </c>
      <c r="G92" s="4">
        <v>11</v>
      </c>
      <c r="H92" s="4">
        <v>3</v>
      </c>
      <c r="I92" s="4">
        <v>33</v>
      </c>
      <c r="L92" s="4">
        <v>21</v>
      </c>
      <c r="M92" s="4">
        <v>4</v>
      </c>
      <c r="N92" s="4">
        <f>21*4</f>
        <v>84</v>
      </c>
    </row>
    <row r="93" spans="1:15" x14ac:dyDescent="0.25">
      <c r="A93" s="4" t="s">
        <v>134</v>
      </c>
      <c r="B93" s="4">
        <v>6</v>
      </c>
      <c r="C93" s="4">
        <f>(50+60)/2</f>
        <v>55</v>
      </c>
      <c r="D93" s="4">
        <f>(55*6)</f>
        <v>330</v>
      </c>
      <c r="G93" s="4">
        <v>12</v>
      </c>
      <c r="H93" s="4">
        <v>8</v>
      </c>
      <c r="I93" s="4">
        <f>12*8</f>
        <v>96</v>
      </c>
      <c r="L93" s="4">
        <v>22</v>
      </c>
      <c r="M93" s="4">
        <v>5</v>
      </c>
      <c r="N93" s="4">
        <f>22*5</f>
        <v>110</v>
      </c>
    </row>
    <row r="94" spans="1:15" x14ac:dyDescent="0.25">
      <c r="A94" s="2" t="s">
        <v>14</v>
      </c>
      <c r="B94" s="2">
        <f>SUM(B89:B93)</f>
        <v>50</v>
      </c>
      <c r="C94" s="2"/>
      <c r="D94" s="2">
        <f>SUM(D89:D93)</f>
        <v>1920</v>
      </c>
      <c r="G94" s="4">
        <v>14</v>
      </c>
      <c r="H94" s="4">
        <v>3</v>
      </c>
      <c r="I94" s="4">
        <f>14*3</f>
        <v>42</v>
      </c>
      <c r="L94" s="4">
        <v>23</v>
      </c>
      <c r="M94" s="4">
        <v>1</v>
      </c>
      <c r="N94" s="4">
        <v>23</v>
      </c>
    </row>
    <row r="95" spans="1:15" x14ac:dyDescent="0.25">
      <c r="A95" s="2" t="s">
        <v>15</v>
      </c>
      <c r="B95" s="2"/>
      <c r="C95" s="2"/>
      <c r="D95" s="2">
        <f>(1920/50)</f>
        <v>38.4</v>
      </c>
      <c r="G95" s="4">
        <v>15</v>
      </c>
      <c r="H95" s="4">
        <v>4</v>
      </c>
      <c r="I95" s="4">
        <f>15*4</f>
        <v>60</v>
      </c>
      <c r="L95" s="4">
        <v>24</v>
      </c>
      <c r="M95" s="4">
        <v>4</v>
      </c>
      <c r="N95" s="4">
        <f>24*4</f>
        <v>96</v>
      </c>
    </row>
    <row r="96" spans="1:15" x14ac:dyDescent="0.25">
      <c r="G96" s="3"/>
      <c r="H96" s="2">
        <f>SUM(H91:H95)</f>
        <v>20</v>
      </c>
      <c r="I96" s="2">
        <f>SUM(I91:I95)</f>
        <v>251</v>
      </c>
      <c r="L96" s="3"/>
      <c r="M96" s="2">
        <f>SUM(M91:M95)</f>
        <v>20</v>
      </c>
      <c r="N96" s="2">
        <f>SUM(N91:N95)</f>
        <v>433</v>
      </c>
    </row>
    <row r="97" spans="1:20" x14ac:dyDescent="0.25">
      <c r="G97" s="3"/>
      <c r="H97" s="2"/>
      <c r="I97" s="2"/>
      <c r="L97" s="3"/>
      <c r="M97" s="2" t="s">
        <v>15</v>
      </c>
      <c r="N97" s="2">
        <f>433/20</f>
        <v>21.65</v>
      </c>
    </row>
    <row r="98" spans="1:20" x14ac:dyDescent="0.25">
      <c r="G98" s="3"/>
      <c r="H98" s="2" t="s">
        <v>15</v>
      </c>
      <c r="I98" s="2">
        <f>251/20</f>
        <v>12.55</v>
      </c>
    </row>
    <row r="103" spans="1:20" x14ac:dyDescent="0.25">
      <c r="A103" s="2" t="s">
        <v>157</v>
      </c>
      <c r="G103" s="2" t="s">
        <v>165</v>
      </c>
      <c r="L103" s="2" t="s">
        <v>168</v>
      </c>
      <c r="Q103" s="2" t="s">
        <v>175</v>
      </c>
    </row>
    <row r="105" spans="1:20" x14ac:dyDescent="0.25">
      <c r="A105" s="2" t="s">
        <v>58</v>
      </c>
      <c r="B105" s="2" t="s">
        <v>2</v>
      </c>
      <c r="C105" s="2" t="s">
        <v>3</v>
      </c>
      <c r="D105" s="2" t="s">
        <v>4</v>
      </c>
      <c r="G105" s="2" t="s">
        <v>58</v>
      </c>
      <c r="H105" s="2" t="s">
        <v>2</v>
      </c>
      <c r="I105" s="2" t="s">
        <v>3</v>
      </c>
      <c r="J105" s="2" t="s">
        <v>4</v>
      </c>
      <c r="L105" s="2" t="s">
        <v>58</v>
      </c>
      <c r="M105" s="2" t="s">
        <v>2</v>
      </c>
      <c r="N105" s="2" t="s">
        <v>3</v>
      </c>
      <c r="O105" s="2" t="s">
        <v>4</v>
      </c>
      <c r="Q105" s="2" t="s">
        <v>58</v>
      </c>
      <c r="R105" s="2" t="s">
        <v>2</v>
      </c>
      <c r="S105" s="2" t="s">
        <v>3</v>
      </c>
      <c r="T105" s="2" t="s">
        <v>4</v>
      </c>
    </row>
    <row r="106" spans="1:20" x14ac:dyDescent="0.25">
      <c r="A106" s="4" t="s">
        <v>158</v>
      </c>
      <c r="B106" s="4">
        <v>4</v>
      </c>
      <c r="C106" s="4">
        <f>(25+29)/2</f>
        <v>27</v>
      </c>
      <c r="D106" s="4">
        <f>4*27</f>
        <v>108</v>
      </c>
      <c r="G106" s="4" t="s">
        <v>166</v>
      </c>
      <c r="H106" s="4">
        <v>20</v>
      </c>
      <c r="I106" s="4">
        <f>(0+10)/2</f>
        <v>5</v>
      </c>
      <c r="J106" s="4">
        <f>20*5</f>
        <v>100</v>
      </c>
      <c r="L106" s="4" t="s">
        <v>169</v>
      </c>
      <c r="M106" s="4">
        <v>8</v>
      </c>
      <c r="N106" s="4">
        <f>(84+90)/2</f>
        <v>87</v>
      </c>
      <c r="O106" s="4">
        <f>8*87</f>
        <v>696</v>
      </c>
      <c r="Q106" s="4" t="s">
        <v>176</v>
      </c>
      <c r="R106" s="4">
        <v>6</v>
      </c>
      <c r="S106" s="4">
        <f>(0+100)/2</f>
        <v>50</v>
      </c>
      <c r="T106" s="4">
        <f>6*50</f>
        <v>300</v>
      </c>
    </row>
    <row r="107" spans="1:20" x14ac:dyDescent="0.25">
      <c r="A107" s="4" t="s">
        <v>159</v>
      </c>
      <c r="B107" s="4">
        <v>14</v>
      </c>
      <c r="C107" s="4">
        <f>(30+34)/2</f>
        <v>32</v>
      </c>
      <c r="D107" s="4">
        <f>14*32</f>
        <v>448</v>
      </c>
      <c r="G107" s="5" t="s">
        <v>71</v>
      </c>
      <c r="H107" s="4">
        <v>24</v>
      </c>
      <c r="I107" s="4">
        <f>(10+20)/2</f>
        <v>15</v>
      </c>
      <c r="J107" s="4">
        <f>24*15</f>
        <v>360</v>
      </c>
      <c r="L107" s="4" t="s">
        <v>170</v>
      </c>
      <c r="M107" s="4">
        <v>10</v>
      </c>
      <c r="N107" s="4">
        <f>(90+96)/2</f>
        <v>93</v>
      </c>
      <c r="O107" s="4">
        <f>10*93</f>
        <v>930</v>
      </c>
      <c r="Q107" s="4" t="s">
        <v>177</v>
      </c>
      <c r="R107" s="4">
        <v>9</v>
      </c>
      <c r="S107" s="4">
        <f>(100+200)/2</f>
        <v>150</v>
      </c>
      <c r="T107" s="4">
        <f>9*150</f>
        <v>1350</v>
      </c>
    </row>
    <row r="108" spans="1:20" x14ac:dyDescent="0.25">
      <c r="A108" s="4" t="s">
        <v>160</v>
      </c>
      <c r="B108" s="4">
        <v>22</v>
      </c>
      <c r="C108" s="4">
        <f>(35+39)/2</f>
        <v>37</v>
      </c>
      <c r="D108" s="4">
        <f>22*37</f>
        <v>814</v>
      </c>
      <c r="G108" s="4" t="s">
        <v>35</v>
      </c>
      <c r="H108" s="4">
        <v>40</v>
      </c>
      <c r="I108" s="4">
        <f>(20--30)/2</f>
        <v>25</v>
      </c>
      <c r="J108" s="4">
        <f>40*25</f>
        <v>1000</v>
      </c>
      <c r="L108" s="4" t="s">
        <v>171</v>
      </c>
      <c r="M108" s="4">
        <v>16</v>
      </c>
      <c r="N108" s="4">
        <f>(96+102)/2</f>
        <v>99</v>
      </c>
      <c r="O108" s="4">
        <f>16*99</f>
        <v>1584</v>
      </c>
      <c r="Q108" s="4" t="s">
        <v>178</v>
      </c>
      <c r="R108" s="4">
        <v>15</v>
      </c>
      <c r="S108" s="4">
        <f>(200+300)/2</f>
        <v>250</v>
      </c>
      <c r="T108" s="4">
        <f>15*250</f>
        <v>3750</v>
      </c>
    </row>
    <row r="109" spans="1:20" x14ac:dyDescent="0.25">
      <c r="A109" s="4" t="s">
        <v>161</v>
      </c>
      <c r="B109" s="4">
        <v>16</v>
      </c>
      <c r="C109" s="4">
        <f>(40+44)/2</f>
        <v>42</v>
      </c>
      <c r="D109" s="4">
        <f>16*42</f>
        <v>672</v>
      </c>
      <c r="G109" s="4" t="s">
        <v>36</v>
      </c>
      <c r="H109" s="4">
        <v>36</v>
      </c>
      <c r="I109" s="4">
        <f>(30+40)/2</f>
        <v>35</v>
      </c>
      <c r="J109" s="4">
        <f>36*35</f>
        <v>1260</v>
      </c>
      <c r="L109" s="4" t="s">
        <v>172</v>
      </c>
      <c r="M109" s="4">
        <v>23</v>
      </c>
      <c r="N109" s="4">
        <f>(102+108)/2</f>
        <v>105</v>
      </c>
      <c r="O109" s="4">
        <f>23*105</f>
        <v>2415</v>
      </c>
      <c r="Q109" s="4" t="s">
        <v>179</v>
      </c>
      <c r="R109" s="4">
        <v>12</v>
      </c>
      <c r="S109" s="4">
        <f>(300+400)/2</f>
        <v>350</v>
      </c>
      <c r="T109" s="4">
        <f>12*350</f>
        <v>4200</v>
      </c>
    </row>
    <row r="110" spans="1:20" x14ac:dyDescent="0.25">
      <c r="A110" s="4" t="s">
        <v>162</v>
      </c>
      <c r="B110" s="4">
        <v>6</v>
      </c>
      <c r="C110" s="4">
        <f>(45+49)/2</f>
        <v>47</v>
      </c>
      <c r="D110" s="4">
        <f>6*47</f>
        <v>282</v>
      </c>
      <c r="G110" s="4" t="s">
        <v>72</v>
      </c>
      <c r="H110" s="4">
        <v>20</v>
      </c>
      <c r="I110" s="4">
        <f>(40+50)/2</f>
        <v>45</v>
      </c>
      <c r="J110" s="4">
        <f>20*45</f>
        <v>900</v>
      </c>
      <c r="L110" s="4" t="s">
        <v>173</v>
      </c>
      <c r="M110" s="4">
        <v>12</v>
      </c>
      <c r="N110" s="4">
        <f>(108+114)/2</f>
        <v>111</v>
      </c>
      <c r="O110" s="4">
        <f>12*111</f>
        <v>1332</v>
      </c>
      <c r="Q110" s="4" t="s">
        <v>180</v>
      </c>
      <c r="R110" s="4">
        <v>8</v>
      </c>
      <c r="S110" s="4">
        <f>(400+500)/2</f>
        <v>450</v>
      </c>
      <c r="T110" s="4">
        <f>8*450</f>
        <v>3600</v>
      </c>
    </row>
    <row r="111" spans="1:20" x14ac:dyDescent="0.25">
      <c r="A111" s="4" t="s">
        <v>163</v>
      </c>
      <c r="B111" s="4">
        <v>5</v>
      </c>
      <c r="C111" s="4">
        <f>(50+54)/2</f>
        <v>52</v>
      </c>
      <c r="D111" s="4">
        <f>5*52</f>
        <v>260</v>
      </c>
      <c r="G111" s="3"/>
      <c r="H111" s="2">
        <f>SUM(H106:H110)</f>
        <v>140</v>
      </c>
      <c r="I111" s="2"/>
      <c r="J111" s="2">
        <f>SUM(J106:J110)</f>
        <v>3620</v>
      </c>
      <c r="L111" s="4" t="s">
        <v>174</v>
      </c>
      <c r="M111" s="4">
        <v>11</v>
      </c>
      <c r="N111" s="4">
        <f>(114+120)/2</f>
        <v>117</v>
      </c>
      <c r="O111" s="4">
        <f>11*117</f>
        <v>1287</v>
      </c>
      <c r="Q111" s="3"/>
      <c r="R111" s="2">
        <f>SUM(R106:R110)</f>
        <v>50</v>
      </c>
      <c r="S111" s="2"/>
      <c r="T111" s="2">
        <f>SUM(T106:T110)</f>
        <v>13200</v>
      </c>
    </row>
    <row r="112" spans="1:20" x14ac:dyDescent="0.25">
      <c r="A112" s="4" t="s">
        <v>164</v>
      </c>
      <c r="B112" s="4">
        <v>3</v>
      </c>
      <c r="C112" s="4">
        <f>(55+59)/2</f>
        <v>57</v>
      </c>
      <c r="D112" s="4">
        <f>3*57</f>
        <v>171</v>
      </c>
      <c r="G112" s="3"/>
      <c r="H112" s="3"/>
      <c r="I112" s="3"/>
      <c r="J112" s="3"/>
      <c r="L112" s="3"/>
      <c r="M112" s="2">
        <f>SUM(M106:M111)</f>
        <v>80</v>
      </c>
      <c r="N112" s="2"/>
      <c r="O112" s="2">
        <f>SUM(O106:O111)</f>
        <v>8244</v>
      </c>
    </row>
    <row r="113" spans="1:19" x14ac:dyDescent="0.25">
      <c r="A113" s="3"/>
      <c r="B113" s="2">
        <f>SUM(B106:B112)</f>
        <v>70</v>
      </c>
      <c r="C113" s="3"/>
      <c r="D113" s="2">
        <f>SUM(D106:D112)</f>
        <v>2755</v>
      </c>
      <c r="G113" s="3"/>
      <c r="H113" s="2" t="s">
        <v>15</v>
      </c>
      <c r="I113" s="2">
        <f>3620/140</f>
        <v>25.857142857142858</v>
      </c>
      <c r="J113" s="3"/>
      <c r="L113" s="3"/>
      <c r="M113" s="3"/>
      <c r="N113" s="3"/>
      <c r="O113" s="3"/>
    </row>
    <row r="114" spans="1:19" x14ac:dyDescent="0.25">
      <c r="A114" s="3"/>
      <c r="B114" s="3"/>
      <c r="C114" s="3"/>
      <c r="D114" s="3"/>
      <c r="L114" s="3"/>
      <c r="M114" s="2" t="s">
        <v>15</v>
      </c>
      <c r="N114" s="2">
        <f>8244/80</f>
        <v>103.05</v>
      </c>
      <c r="O114" s="3"/>
    </row>
    <row r="115" spans="1:19" x14ac:dyDescent="0.25">
      <c r="A115" s="3"/>
      <c r="B115" s="2" t="s">
        <v>15</v>
      </c>
      <c r="C115" s="2">
        <f>2755/70</f>
        <v>39.357142857142854</v>
      </c>
      <c r="D115" s="3"/>
    </row>
    <row r="119" spans="1:19" x14ac:dyDescent="0.25">
      <c r="A119" s="2" t="s">
        <v>181</v>
      </c>
      <c r="F119" s="2" t="s">
        <v>187</v>
      </c>
      <c r="K119" s="14" t="s">
        <v>266</v>
      </c>
      <c r="P119" s="14" t="s">
        <v>271</v>
      </c>
    </row>
    <row r="121" spans="1:19" x14ac:dyDescent="0.25">
      <c r="A121" s="2" t="s">
        <v>58</v>
      </c>
      <c r="B121" s="2" t="s">
        <v>2</v>
      </c>
      <c r="C121" s="2" t="s">
        <v>3</v>
      </c>
      <c r="D121" s="2" t="s">
        <v>4</v>
      </c>
      <c r="F121" s="2" t="s">
        <v>58</v>
      </c>
      <c r="G121" s="2" t="s">
        <v>2</v>
      </c>
      <c r="H121" s="2" t="s">
        <v>3</v>
      </c>
      <c r="I121" s="2" t="s">
        <v>4</v>
      </c>
      <c r="K121" s="2" t="s">
        <v>58</v>
      </c>
      <c r="L121" s="2" t="s">
        <v>2</v>
      </c>
      <c r="M121" s="2" t="s">
        <v>3</v>
      </c>
      <c r="N121" s="2" t="s">
        <v>4</v>
      </c>
      <c r="P121" s="2" t="s">
        <v>58</v>
      </c>
      <c r="Q121" s="2" t="s">
        <v>2</v>
      </c>
      <c r="R121" s="2" t="s">
        <v>3</v>
      </c>
      <c r="S121" s="2" t="s">
        <v>4</v>
      </c>
    </row>
    <row r="122" spans="1:19" x14ac:dyDescent="0.25">
      <c r="A122" s="4" t="s">
        <v>182</v>
      </c>
      <c r="B122" s="4">
        <v>6</v>
      </c>
      <c r="C122" s="4">
        <f>(25+35)/2</f>
        <v>30</v>
      </c>
      <c r="D122" s="4">
        <f>6*30</f>
        <v>180</v>
      </c>
      <c r="F122" s="3" t="s">
        <v>70</v>
      </c>
      <c r="G122" s="3">
        <v>7</v>
      </c>
      <c r="H122" s="3">
        <f>(0+10)/2</f>
        <v>5</v>
      </c>
      <c r="I122" s="3">
        <v>35</v>
      </c>
      <c r="K122" s="3" t="s">
        <v>244</v>
      </c>
      <c r="L122" s="3">
        <v>12</v>
      </c>
      <c r="M122" s="3">
        <f>(1+3)/2</f>
        <v>2</v>
      </c>
      <c r="N122" s="3">
        <f>L122*M122</f>
        <v>24</v>
      </c>
      <c r="P122" s="4" t="s">
        <v>272</v>
      </c>
      <c r="Q122" s="3">
        <v>5</v>
      </c>
      <c r="R122" s="3">
        <f>0+9/2</f>
        <v>4.5</v>
      </c>
      <c r="S122" s="3">
        <f t="shared" ref="S122:S131" si="0">Q122*R122</f>
        <v>22.5</v>
      </c>
    </row>
    <row r="123" spans="1:19" x14ac:dyDescent="0.25">
      <c r="A123" s="4" t="s">
        <v>183</v>
      </c>
      <c r="B123" s="4">
        <v>10</v>
      </c>
      <c r="C123" s="4">
        <f>(35+45)/2</f>
        <v>40</v>
      </c>
      <c r="D123" s="4">
        <f>10*40</f>
        <v>400</v>
      </c>
      <c r="F123" s="3" t="s">
        <v>71</v>
      </c>
      <c r="G123" s="3">
        <v>5</v>
      </c>
      <c r="H123" s="3">
        <f>(10+20)/2</f>
        <v>15</v>
      </c>
      <c r="I123" s="3">
        <f>5*15</f>
        <v>75</v>
      </c>
      <c r="K123" s="3" t="s">
        <v>267</v>
      </c>
      <c r="L123" s="3">
        <v>22</v>
      </c>
      <c r="M123" s="3">
        <f>(3+5)/2</f>
        <v>4</v>
      </c>
      <c r="N123" s="3">
        <f>L123*M123</f>
        <v>88</v>
      </c>
      <c r="P123" s="3" t="s">
        <v>273</v>
      </c>
      <c r="Q123" s="3">
        <v>9</v>
      </c>
      <c r="R123" s="3">
        <f>11+19/2</f>
        <v>20.5</v>
      </c>
      <c r="S123" s="3">
        <f t="shared" si="0"/>
        <v>184.5</v>
      </c>
    </row>
    <row r="124" spans="1:19" x14ac:dyDescent="0.25">
      <c r="A124" s="4" t="s">
        <v>184</v>
      </c>
      <c r="B124" s="4">
        <v>8</v>
      </c>
      <c r="C124" s="4">
        <f>(45+55)/2</f>
        <v>50</v>
      </c>
      <c r="D124" s="4">
        <f>8*50</f>
        <v>400</v>
      </c>
      <c r="F124" s="3" t="s">
        <v>35</v>
      </c>
      <c r="G124" s="3">
        <v>6</v>
      </c>
      <c r="H124" s="3">
        <f>(20+30)/2</f>
        <v>25</v>
      </c>
      <c r="I124" s="3">
        <f>6*25</f>
        <v>150</v>
      </c>
      <c r="K124" s="3" t="s">
        <v>268</v>
      </c>
      <c r="L124" s="3">
        <v>27</v>
      </c>
      <c r="M124" s="3">
        <f>(5+7)/2</f>
        <v>6</v>
      </c>
      <c r="N124" s="3">
        <f>L124*M124</f>
        <v>162</v>
      </c>
      <c r="P124" s="3" t="s">
        <v>274</v>
      </c>
      <c r="Q124" s="3">
        <v>17</v>
      </c>
      <c r="R124" s="3">
        <f>21+29/2</f>
        <v>35.5</v>
      </c>
      <c r="S124" s="3">
        <f t="shared" si="0"/>
        <v>603.5</v>
      </c>
    </row>
    <row r="125" spans="1:19" x14ac:dyDescent="0.25">
      <c r="A125" s="4" t="s">
        <v>185</v>
      </c>
      <c r="B125" s="4">
        <v>12</v>
      </c>
      <c r="C125" s="4">
        <f>(55+65)/2</f>
        <v>60</v>
      </c>
      <c r="D125" s="4">
        <f>12*60</f>
        <v>720</v>
      </c>
      <c r="F125" s="3" t="s">
        <v>36</v>
      </c>
      <c r="G125" s="3">
        <v>12</v>
      </c>
      <c r="H125" s="3">
        <f>(30+40)/2</f>
        <v>35</v>
      </c>
      <c r="I125" s="3">
        <f>12*35</f>
        <v>420</v>
      </c>
      <c r="K125" s="3" t="s">
        <v>269</v>
      </c>
      <c r="L125" s="3">
        <v>19</v>
      </c>
      <c r="M125" s="3">
        <f>(7+9)/2</f>
        <v>8</v>
      </c>
      <c r="N125" s="3">
        <f>L125*M125</f>
        <v>152</v>
      </c>
      <c r="P125" s="3" t="s">
        <v>275</v>
      </c>
      <c r="Q125" s="3">
        <v>29</v>
      </c>
      <c r="R125" s="3">
        <f>31+39/2</f>
        <v>50.5</v>
      </c>
      <c r="S125" s="3">
        <f t="shared" si="0"/>
        <v>1464.5</v>
      </c>
    </row>
    <row r="126" spans="1:19" x14ac:dyDescent="0.25">
      <c r="A126" s="4" t="s">
        <v>186</v>
      </c>
      <c r="B126" s="4">
        <v>4</v>
      </c>
      <c r="C126" s="4">
        <f>(65+75)/2</f>
        <v>70</v>
      </c>
      <c r="D126" s="4">
        <f>4*70</f>
        <v>280</v>
      </c>
      <c r="F126" s="3" t="s">
        <v>72</v>
      </c>
      <c r="G126" s="3">
        <v>8</v>
      </c>
      <c r="H126" s="3">
        <f>(40+50)/2</f>
        <v>45</v>
      </c>
      <c r="I126" s="3">
        <f>8*45</f>
        <v>360</v>
      </c>
      <c r="K126" s="3"/>
      <c r="L126" s="3"/>
      <c r="M126" s="3"/>
      <c r="N126" s="3"/>
      <c r="P126" s="3" t="s">
        <v>276</v>
      </c>
      <c r="Q126" s="3">
        <v>45</v>
      </c>
      <c r="R126" s="3">
        <f>41+49/2</f>
        <v>65.5</v>
      </c>
      <c r="S126" s="3">
        <f t="shared" si="0"/>
        <v>2947.5</v>
      </c>
    </row>
    <row r="127" spans="1:19" x14ac:dyDescent="0.25">
      <c r="A127" s="3"/>
      <c r="B127" s="2">
        <f>SUM(B122:B126)</f>
        <v>40</v>
      </c>
      <c r="C127" s="2"/>
      <c r="D127" s="2">
        <f>SUM(D122:D126)</f>
        <v>1980</v>
      </c>
      <c r="F127" s="3" t="s">
        <v>134</v>
      </c>
      <c r="G127" s="3">
        <v>2</v>
      </c>
      <c r="H127" s="3">
        <f>(50+60)/2</f>
        <v>55</v>
      </c>
      <c r="I127" s="3">
        <f>2*55</f>
        <v>110</v>
      </c>
      <c r="K127" s="3"/>
      <c r="L127" s="3">
        <f>SUM(L122:L126)</f>
        <v>80</v>
      </c>
      <c r="M127" s="3"/>
      <c r="N127" s="3">
        <f>SUM(N122:N126)</f>
        <v>426</v>
      </c>
      <c r="P127" s="3" t="s">
        <v>277</v>
      </c>
      <c r="Q127" s="3">
        <v>60</v>
      </c>
      <c r="R127" s="3">
        <f>51+59/2</f>
        <v>80.5</v>
      </c>
      <c r="S127" s="3">
        <f t="shared" si="0"/>
        <v>4830</v>
      </c>
    </row>
    <row r="128" spans="1:19" x14ac:dyDescent="0.25">
      <c r="A128" s="3"/>
      <c r="B128" s="3"/>
      <c r="C128" s="3"/>
      <c r="D128" s="3"/>
      <c r="F128" s="3"/>
      <c r="G128" s="3">
        <f>SUM(G122:G127)</f>
        <v>40</v>
      </c>
      <c r="H128" s="3"/>
      <c r="I128" s="3">
        <f>SUM(I122:I127)</f>
        <v>1150</v>
      </c>
      <c r="K128" s="3"/>
      <c r="L128" s="3"/>
      <c r="M128" s="3"/>
      <c r="N128" s="3"/>
      <c r="P128" s="3" t="s">
        <v>278</v>
      </c>
      <c r="Q128" s="3">
        <v>70</v>
      </c>
      <c r="R128" s="3">
        <f>61+69/2</f>
        <v>95.5</v>
      </c>
      <c r="S128" s="3">
        <f t="shared" si="0"/>
        <v>6685</v>
      </c>
    </row>
    <row r="129" spans="1:19" x14ac:dyDescent="0.25">
      <c r="A129" s="3"/>
      <c r="B129" s="3"/>
      <c r="C129" s="3"/>
      <c r="D129" s="3"/>
      <c r="F129" s="3"/>
      <c r="G129" s="3"/>
      <c r="H129" s="3"/>
      <c r="I129" s="3"/>
      <c r="K129" s="3"/>
      <c r="L129" s="2" t="s">
        <v>15</v>
      </c>
      <c r="M129" s="2">
        <f>N127/L127</f>
        <v>5.3250000000000002</v>
      </c>
      <c r="N129" s="3"/>
      <c r="P129" s="3" t="s">
        <v>279</v>
      </c>
      <c r="Q129" s="3">
        <v>78</v>
      </c>
      <c r="R129" s="3">
        <f>71+79/2</f>
        <v>110.5</v>
      </c>
      <c r="S129" s="3">
        <f t="shared" si="0"/>
        <v>8619</v>
      </c>
    </row>
    <row r="130" spans="1:19" x14ac:dyDescent="0.25">
      <c r="A130" s="3"/>
      <c r="B130" s="2" t="s">
        <v>15</v>
      </c>
      <c r="C130" s="2">
        <f>1980/40</f>
        <v>49.5</v>
      </c>
      <c r="D130" s="3"/>
      <c r="F130" s="3"/>
      <c r="G130" s="2" t="s">
        <v>15</v>
      </c>
      <c r="H130" s="2">
        <f>1150/40</f>
        <v>28.75</v>
      </c>
      <c r="I130" s="3"/>
      <c r="P130" s="3" t="s">
        <v>280</v>
      </c>
      <c r="Q130" s="3">
        <v>83</v>
      </c>
      <c r="R130" s="3">
        <f>81+89/2</f>
        <v>125.5</v>
      </c>
      <c r="S130" s="3">
        <f t="shared" si="0"/>
        <v>10416.5</v>
      </c>
    </row>
    <row r="131" spans="1:19" x14ac:dyDescent="0.25">
      <c r="P131" s="3" t="s">
        <v>281</v>
      </c>
      <c r="Q131" s="3">
        <v>85</v>
      </c>
      <c r="R131" s="3">
        <f>91+99/2</f>
        <v>140.5</v>
      </c>
      <c r="S131" s="3">
        <f t="shared" si="0"/>
        <v>11942.5</v>
      </c>
    </row>
    <row r="132" spans="1:19" x14ac:dyDescent="0.25">
      <c r="P132" s="3"/>
      <c r="Q132" s="3"/>
      <c r="R132" s="3"/>
      <c r="S132" s="3"/>
    </row>
    <row r="133" spans="1:19" x14ac:dyDescent="0.25">
      <c r="P133" s="3"/>
      <c r="Q133" s="2">
        <f>SUM(Q122:Q132)</f>
        <v>481</v>
      </c>
      <c r="R133" s="3"/>
      <c r="S133" s="2">
        <f>SUM(S122:S132)</f>
        <v>47715.5</v>
      </c>
    </row>
    <row r="134" spans="1:19" x14ac:dyDescent="0.25">
      <c r="P134" s="3"/>
      <c r="Q134" s="3"/>
      <c r="R134" s="3"/>
      <c r="S134" s="3"/>
    </row>
    <row r="135" spans="1:19" x14ac:dyDescent="0.25">
      <c r="P135" s="3"/>
      <c r="Q135" s="2" t="s">
        <v>15</v>
      </c>
      <c r="R135" s="2">
        <f>S133/Q133</f>
        <v>99.200623700623694</v>
      </c>
      <c r="S1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C131-20F3-484B-A481-BE954AD9244B}">
  <dimension ref="A1:V120"/>
  <sheetViews>
    <sheetView topLeftCell="C103" workbookViewId="0">
      <selection activeCell="Q108" sqref="Q108:R118"/>
    </sheetView>
  </sheetViews>
  <sheetFormatPr defaultRowHeight="15" x14ac:dyDescent="0.25"/>
  <sheetData>
    <row r="1" spans="1:14" x14ac:dyDescent="0.25">
      <c r="A1" s="14" t="s">
        <v>0</v>
      </c>
      <c r="B1" s="1"/>
      <c r="C1" s="1"/>
      <c r="D1" s="1"/>
      <c r="I1" s="14" t="s">
        <v>16</v>
      </c>
    </row>
    <row r="2" spans="1:14" x14ac:dyDescent="0.25">
      <c r="A2" s="1"/>
      <c r="B2" s="1"/>
      <c r="C2" s="1"/>
      <c r="D2" s="1"/>
    </row>
    <row r="3" spans="1:14" x14ac:dyDescent="0.25">
      <c r="A3" s="2" t="s">
        <v>1</v>
      </c>
      <c r="B3" s="2" t="s">
        <v>2</v>
      </c>
      <c r="C3" s="2" t="s">
        <v>69</v>
      </c>
      <c r="D3" s="4"/>
      <c r="E3" s="3"/>
      <c r="F3" s="3"/>
      <c r="I3" s="2" t="s">
        <v>79</v>
      </c>
      <c r="J3" s="2" t="s">
        <v>2</v>
      </c>
      <c r="K3" s="13" t="s">
        <v>69</v>
      </c>
      <c r="L3" s="3"/>
      <c r="M3" s="4" t="s">
        <v>14</v>
      </c>
      <c r="N3" s="4">
        <v>15</v>
      </c>
    </row>
    <row r="4" spans="1:14" x14ac:dyDescent="0.25">
      <c r="A4" s="4" t="s">
        <v>5</v>
      </c>
      <c r="B4" s="4">
        <v>9</v>
      </c>
      <c r="C4" s="4">
        <v>9</v>
      </c>
      <c r="D4" s="4"/>
      <c r="E4" s="4" t="s">
        <v>14</v>
      </c>
      <c r="F4" s="4">
        <v>38</v>
      </c>
      <c r="I4" s="4" t="s">
        <v>19</v>
      </c>
      <c r="J4" s="4">
        <v>7</v>
      </c>
      <c r="K4" s="12">
        <v>7</v>
      </c>
      <c r="L4" s="3"/>
      <c r="M4" s="4" t="s">
        <v>74</v>
      </c>
      <c r="N4" s="4">
        <v>7.5</v>
      </c>
    </row>
    <row r="5" spans="1:14" x14ac:dyDescent="0.25">
      <c r="A5" s="4" t="s">
        <v>6</v>
      </c>
      <c r="B5" s="4">
        <v>5</v>
      </c>
      <c r="C5" s="4">
        <f>(9+5)</f>
        <v>14</v>
      </c>
      <c r="D5" s="4"/>
      <c r="E5" s="4" t="s">
        <v>74</v>
      </c>
      <c r="F5" s="4">
        <v>19</v>
      </c>
      <c r="I5" s="4" t="s">
        <v>20</v>
      </c>
      <c r="J5" s="4">
        <v>3</v>
      </c>
      <c r="K5" s="12">
        <v>10</v>
      </c>
      <c r="L5" s="3"/>
      <c r="M5" s="4" t="s">
        <v>76</v>
      </c>
      <c r="N5" s="4">
        <v>7</v>
      </c>
    </row>
    <row r="6" spans="1:14" x14ac:dyDescent="0.25">
      <c r="A6" s="4" t="s">
        <v>7</v>
      </c>
      <c r="B6" s="4">
        <v>14</v>
      </c>
      <c r="C6" s="4">
        <f>(14+14)</f>
        <v>28</v>
      </c>
      <c r="D6" s="4"/>
      <c r="E6" s="4" t="s">
        <v>76</v>
      </c>
      <c r="F6" s="4">
        <v>14</v>
      </c>
      <c r="I6" s="4" t="s">
        <v>21</v>
      </c>
      <c r="J6" s="4">
        <v>3</v>
      </c>
      <c r="K6" s="12">
        <v>13</v>
      </c>
      <c r="L6" s="3"/>
      <c r="M6" s="4" t="s">
        <v>2</v>
      </c>
      <c r="N6" s="4">
        <v>3</v>
      </c>
    </row>
    <row r="7" spans="1:14" x14ac:dyDescent="0.25">
      <c r="A7" s="4" t="s">
        <v>8</v>
      </c>
      <c r="B7" s="4">
        <v>3</v>
      </c>
      <c r="C7" s="4">
        <f>(28+3)</f>
        <v>31</v>
      </c>
      <c r="D7" s="4"/>
      <c r="E7" s="4" t="s">
        <v>2</v>
      </c>
      <c r="F7" s="4">
        <v>14</v>
      </c>
      <c r="I7" s="4" t="s">
        <v>22</v>
      </c>
      <c r="J7" s="4">
        <v>2</v>
      </c>
      <c r="K7" s="12">
        <v>15</v>
      </c>
      <c r="L7" s="3"/>
      <c r="M7" s="4" t="s">
        <v>75</v>
      </c>
      <c r="N7" s="4">
        <v>2</v>
      </c>
    </row>
    <row r="8" spans="1:14" x14ac:dyDescent="0.25">
      <c r="A8" s="4" t="s">
        <v>9</v>
      </c>
      <c r="B8" s="4">
        <v>1</v>
      </c>
      <c r="C8" s="4">
        <v>34</v>
      </c>
      <c r="D8" s="4"/>
      <c r="E8" s="4" t="s">
        <v>75</v>
      </c>
      <c r="F8" s="4">
        <v>5</v>
      </c>
      <c r="I8" s="4"/>
      <c r="J8" s="2">
        <f>SUM(J4:J7)</f>
        <v>15</v>
      </c>
      <c r="K8" s="13">
        <v>30</v>
      </c>
      <c r="L8" s="3"/>
      <c r="M8" s="4" t="s">
        <v>73</v>
      </c>
      <c r="N8" s="4">
        <v>3</v>
      </c>
    </row>
    <row r="9" spans="1:14" x14ac:dyDescent="0.25">
      <c r="A9" s="4" t="s">
        <v>10</v>
      </c>
      <c r="B9" s="4">
        <v>2</v>
      </c>
      <c r="C9" s="4">
        <v>36</v>
      </c>
      <c r="D9" s="4"/>
      <c r="E9" s="4" t="s">
        <v>77</v>
      </c>
      <c r="F9" s="4">
        <v>41</v>
      </c>
      <c r="I9" s="3"/>
      <c r="J9" s="3"/>
      <c r="K9" s="3"/>
      <c r="L9" s="3"/>
      <c r="M9" s="4"/>
      <c r="N9" s="4"/>
    </row>
    <row r="10" spans="1:14" x14ac:dyDescent="0.25">
      <c r="A10" s="4" t="s">
        <v>11</v>
      </c>
      <c r="B10" s="4">
        <v>2</v>
      </c>
      <c r="C10" s="4">
        <v>38</v>
      </c>
      <c r="D10" s="4"/>
      <c r="E10" s="4"/>
      <c r="F10" s="4"/>
      <c r="I10" s="3"/>
      <c r="J10" s="3"/>
      <c r="K10" s="3"/>
      <c r="L10" s="3"/>
      <c r="M10" s="2" t="s">
        <v>78</v>
      </c>
      <c r="N10" s="2">
        <f>MEDIAN(3+(7.5-7)*2/3)</f>
        <v>3.3333333333333335</v>
      </c>
    </row>
    <row r="11" spans="1:14" x14ac:dyDescent="0.25">
      <c r="A11" s="4" t="s">
        <v>12</v>
      </c>
      <c r="B11" s="4">
        <v>1</v>
      </c>
      <c r="C11" s="4">
        <v>39</v>
      </c>
      <c r="D11" s="4"/>
      <c r="E11" s="2" t="s">
        <v>78</v>
      </c>
      <c r="F11" s="2">
        <f>MEDIAN(41+(19-14)*5/14)</f>
        <v>42.785714285714285</v>
      </c>
    </row>
    <row r="12" spans="1:14" x14ac:dyDescent="0.25">
      <c r="A12" s="4" t="s">
        <v>13</v>
      </c>
      <c r="B12" s="4">
        <v>1</v>
      </c>
      <c r="C12" s="4">
        <v>40</v>
      </c>
      <c r="D12" s="4"/>
      <c r="E12" s="3"/>
      <c r="F12" s="3"/>
    </row>
    <row r="13" spans="1:14" x14ac:dyDescent="0.25">
      <c r="A13" s="4"/>
      <c r="B13" s="2">
        <f>SUM(B4:B12)</f>
        <v>38</v>
      </c>
      <c r="C13" s="3"/>
      <c r="D13" s="3"/>
      <c r="E13" s="3"/>
      <c r="F13" s="3"/>
    </row>
    <row r="18" spans="1:14" x14ac:dyDescent="0.25">
      <c r="A18" s="14" t="s">
        <v>23</v>
      </c>
      <c r="I18" s="14" t="s">
        <v>24</v>
      </c>
    </row>
    <row r="20" spans="1:14" x14ac:dyDescent="0.25">
      <c r="A20" s="2" t="s">
        <v>80</v>
      </c>
      <c r="B20" s="2" t="s">
        <v>2</v>
      </c>
      <c r="C20" s="2" t="s">
        <v>69</v>
      </c>
      <c r="D20" s="3"/>
      <c r="E20" s="4" t="s">
        <v>14</v>
      </c>
      <c r="F20" s="4">
        <v>20</v>
      </c>
      <c r="I20" s="2" t="s">
        <v>82</v>
      </c>
      <c r="J20" s="2" t="s">
        <v>2</v>
      </c>
      <c r="K20" s="2" t="s">
        <v>69</v>
      </c>
      <c r="L20" s="3"/>
      <c r="M20" s="4" t="s">
        <v>14</v>
      </c>
      <c r="N20" s="4">
        <v>92</v>
      </c>
    </row>
    <row r="21" spans="1:14" x14ac:dyDescent="0.25">
      <c r="A21" s="4" t="s">
        <v>28</v>
      </c>
      <c r="B21" s="4">
        <v>1</v>
      </c>
      <c r="C21" s="4">
        <v>1</v>
      </c>
      <c r="D21" s="3"/>
      <c r="E21" s="4" t="s">
        <v>74</v>
      </c>
      <c r="F21" s="4">
        <v>10</v>
      </c>
      <c r="I21" s="4" t="s">
        <v>83</v>
      </c>
      <c r="J21" s="4">
        <v>30</v>
      </c>
      <c r="K21" s="4">
        <v>30</v>
      </c>
      <c r="L21" s="3"/>
      <c r="M21" s="4" t="s">
        <v>74</v>
      </c>
      <c r="N21" s="4">
        <v>46</v>
      </c>
    </row>
    <row r="22" spans="1:14" x14ac:dyDescent="0.25">
      <c r="A22" s="4" t="s">
        <v>29</v>
      </c>
      <c r="B22" s="4">
        <v>4</v>
      </c>
      <c r="C22" s="4">
        <v>5</v>
      </c>
      <c r="D22" s="3"/>
      <c r="E22" s="4" t="s">
        <v>76</v>
      </c>
      <c r="F22" s="4">
        <v>5</v>
      </c>
      <c r="I22" s="4" t="s">
        <v>35</v>
      </c>
      <c r="J22" s="4">
        <v>27</v>
      </c>
      <c r="K22" s="4">
        <f>(30+27)</f>
        <v>57</v>
      </c>
      <c r="L22" s="3"/>
      <c r="M22" s="4" t="s">
        <v>76</v>
      </c>
      <c r="N22" s="4">
        <v>30</v>
      </c>
    </row>
    <row r="23" spans="1:14" x14ac:dyDescent="0.25">
      <c r="A23" s="4" t="s">
        <v>81</v>
      </c>
      <c r="B23" s="4">
        <v>6</v>
      </c>
      <c r="C23" s="4">
        <v>11</v>
      </c>
      <c r="D23" s="3"/>
      <c r="E23" s="4" t="s">
        <v>2</v>
      </c>
      <c r="F23" s="4">
        <v>6</v>
      </c>
      <c r="I23" s="4" t="s">
        <v>36</v>
      </c>
      <c r="J23" s="4">
        <v>14</v>
      </c>
      <c r="K23" s="4">
        <f>(57+14)</f>
        <v>71</v>
      </c>
      <c r="L23" s="3"/>
      <c r="M23" s="4" t="s">
        <v>75</v>
      </c>
      <c r="N23" s="4">
        <v>11</v>
      </c>
    </row>
    <row r="24" spans="1:14" x14ac:dyDescent="0.25">
      <c r="A24" s="4" t="s">
        <v>30</v>
      </c>
      <c r="B24" s="4">
        <v>4</v>
      </c>
      <c r="C24" s="4">
        <v>15</v>
      </c>
      <c r="D24" s="3"/>
      <c r="E24" s="4" t="s">
        <v>75</v>
      </c>
      <c r="F24" s="4">
        <v>6</v>
      </c>
      <c r="I24" s="4" t="s">
        <v>84</v>
      </c>
      <c r="J24" s="4">
        <v>19</v>
      </c>
      <c r="K24" s="4">
        <f>(71+19)</f>
        <v>90</v>
      </c>
      <c r="L24" s="3"/>
      <c r="M24" s="4" t="s">
        <v>2</v>
      </c>
      <c r="N24" s="4">
        <v>27</v>
      </c>
    </row>
    <row r="25" spans="1:14" x14ac:dyDescent="0.25">
      <c r="A25" s="4" t="s">
        <v>31</v>
      </c>
      <c r="B25" s="4">
        <v>2</v>
      </c>
      <c r="C25" s="4">
        <v>17</v>
      </c>
      <c r="D25" s="3"/>
      <c r="E25" s="4" t="s">
        <v>73</v>
      </c>
      <c r="F25" s="4">
        <v>15</v>
      </c>
      <c r="I25" s="4" t="s">
        <v>85</v>
      </c>
      <c r="J25" s="4">
        <v>2</v>
      </c>
      <c r="K25" s="4">
        <v>92</v>
      </c>
      <c r="L25" s="3"/>
      <c r="M25" s="4" t="s">
        <v>73</v>
      </c>
      <c r="N25" s="4">
        <v>20</v>
      </c>
    </row>
    <row r="26" spans="1:14" x14ac:dyDescent="0.25">
      <c r="A26" s="4" t="s">
        <v>32</v>
      </c>
      <c r="B26" s="4">
        <v>3</v>
      </c>
      <c r="C26" s="4">
        <v>20</v>
      </c>
      <c r="D26" s="3"/>
      <c r="E26" s="3"/>
      <c r="F26" s="3"/>
      <c r="I26" s="3"/>
      <c r="J26" s="2">
        <f>SUM(J21:J25)</f>
        <v>92</v>
      </c>
      <c r="K26" s="4"/>
      <c r="L26" s="4"/>
      <c r="M26" s="3"/>
      <c r="N26" s="3"/>
    </row>
    <row r="27" spans="1:14" x14ac:dyDescent="0.25">
      <c r="A27" s="3"/>
      <c r="B27" s="2">
        <f>SUM(B21:B26)</f>
        <v>20</v>
      </c>
      <c r="C27" s="4"/>
      <c r="D27" s="4"/>
      <c r="E27" s="2" t="s">
        <v>78</v>
      </c>
      <c r="F27" s="2">
        <f>MEDIAN(15+(10-5)*6/6)</f>
        <v>20</v>
      </c>
      <c r="M27" s="2" t="s">
        <v>86</v>
      </c>
      <c r="N27" s="2">
        <f>MEDIAN(20+(46-30)*11/27)</f>
        <v>26.518518518518519</v>
      </c>
    </row>
    <row r="32" spans="1:14" x14ac:dyDescent="0.25">
      <c r="G32" s="14" t="s">
        <v>33</v>
      </c>
      <c r="M32" s="14" t="s">
        <v>37</v>
      </c>
    </row>
    <row r="33" spans="1:16" x14ac:dyDescent="0.25">
      <c r="A33" s="14" t="s">
        <v>26</v>
      </c>
    </row>
    <row r="34" spans="1:16" x14ac:dyDescent="0.25">
      <c r="A34" s="3"/>
      <c r="G34" s="4">
        <v>171</v>
      </c>
      <c r="M34" s="2" t="s">
        <v>58</v>
      </c>
      <c r="N34" s="2" t="s">
        <v>2</v>
      </c>
      <c r="O34" s="2" t="s">
        <v>69</v>
      </c>
      <c r="P34" s="1"/>
    </row>
    <row r="35" spans="1:16" x14ac:dyDescent="0.25">
      <c r="A35" s="2" t="s">
        <v>1</v>
      </c>
      <c r="G35" s="4">
        <v>161</v>
      </c>
      <c r="M35" s="4" t="s">
        <v>138</v>
      </c>
      <c r="N35" s="4">
        <v>2</v>
      </c>
      <c r="O35" s="4">
        <v>2</v>
      </c>
      <c r="P35" s="1"/>
    </row>
    <row r="36" spans="1:16" x14ac:dyDescent="0.25">
      <c r="A36" s="4">
        <v>24</v>
      </c>
      <c r="G36" s="4">
        <v>155</v>
      </c>
      <c r="M36" s="4" t="s">
        <v>139</v>
      </c>
      <c r="N36" s="4">
        <v>3</v>
      </c>
      <c r="O36" s="4">
        <v>5</v>
      </c>
      <c r="P36" s="1"/>
    </row>
    <row r="37" spans="1:16" x14ac:dyDescent="0.25">
      <c r="A37" s="4">
        <v>32</v>
      </c>
      <c r="B37" s="3"/>
      <c r="C37" s="2" t="s">
        <v>86</v>
      </c>
      <c r="D37" s="2">
        <f>MEDIAN(A36:A65)</f>
        <v>27.5</v>
      </c>
      <c r="G37" s="4">
        <v>155</v>
      </c>
      <c r="M37" s="4" t="s">
        <v>140</v>
      </c>
      <c r="N37" s="4">
        <v>8</v>
      </c>
      <c r="O37" s="4">
        <v>13</v>
      </c>
      <c r="P37" s="1"/>
    </row>
    <row r="38" spans="1:16" x14ac:dyDescent="0.25">
      <c r="A38" s="4">
        <v>27</v>
      </c>
      <c r="G38" s="4">
        <v>183</v>
      </c>
      <c r="H38" s="3"/>
      <c r="I38" s="2" t="s">
        <v>86</v>
      </c>
      <c r="J38" s="2">
        <f>MEDIAN(G34:G72)</f>
        <v>170</v>
      </c>
      <c r="M38" s="4" t="s">
        <v>141</v>
      </c>
      <c r="N38" s="4">
        <v>3</v>
      </c>
      <c r="O38" s="4">
        <v>16</v>
      </c>
      <c r="P38" s="1"/>
    </row>
    <row r="39" spans="1:16" x14ac:dyDescent="0.25">
      <c r="A39" s="4">
        <v>23</v>
      </c>
      <c r="G39" s="4">
        <v>191</v>
      </c>
      <c r="M39" s="4" t="s">
        <v>142</v>
      </c>
      <c r="N39" s="4">
        <v>2</v>
      </c>
      <c r="O39" s="4">
        <v>18</v>
      </c>
      <c r="P39" s="1"/>
    </row>
    <row r="40" spans="1:16" x14ac:dyDescent="0.25">
      <c r="A40" s="4">
        <v>33</v>
      </c>
      <c r="G40" s="4">
        <v>185</v>
      </c>
      <c r="M40" s="1"/>
      <c r="N40" s="2">
        <v>18</v>
      </c>
      <c r="O40" s="1"/>
      <c r="P40" s="1"/>
    </row>
    <row r="41" spans="1:16" x14ac:dyDescent="0.25">
      <c r="A41" s="4">
        <v>33</v>
      </c>
      <c r="G41" s="4">
        <v>170</v>
      </c>
      <c r="O41" s="1"/>
      <c r="P41" s="1"/>
    </row>
    <row r="42" spans="1:16" x14ac:dyDescent="0.25">
      <c r="A42" s="4">
        <v>29</v>
      </c>
      <c r="G42" s="4">
        <v>172</v>
      </c>
      <c r="O42" s="1"/>
      <c r="P42" s="1"/>
    </row>
    <row r="43" spans="1:16" x14ac:dyDescent="0.25">
      <c r="A43" s="4">
        <v>25</v>
      </c>
      <c r="G43" s="4">
        <v>177</v>
      </c>
      <c r="O43" s="1"/>
      <c r="P43" s="1"/>
    </row>
    <row r="44" spans="1:16" x14ac:dyDescent="0.25">
      <c r="A44" s="4">
        <v>23</v>
      </c>
      <c r="G44" s="4">
        <v>183</v>
      </c>
    </row>
    <row r="45" spans="1:16" x14ac:dyDescent="0.25">
      <c r="A45" s="4">
        <v>28</v>
      </c>
      <c r="G45" s="4">
        <v>190</v>
      </c>
    </row>
    <row r="46" spans="1:16" x14ac:dyDescent="0.25">
      <c r="A46" s="4">
        <v>21</v>
      </c>
      <c r="G46" s="4">
        <v>139</v>
      </c>
    </row>
    <row r="47" spans="1:16" x14ac:dyDescent="0.25">
      <c r="A47" s="4">
        <v>26</v>
      </c>
      <c r="G47" s="4">
        <v>149</v>
      </c>
    </row>
    <row r="48" spans="1:16" x14ac:dyDescent="0.25">
      <c r="A48" s="4">
        <v>31</v>
      </c>
      <c r="G48" s="4">
        <v>150</v>
      </c>
    </row>
    <row r="49" spans="1:19" x14ac:dyDescent="0.25">
      <c r="A49" s="4">
        <v>20</v>
      </c>
      <c r="G49" s="4">
        <v>150</v>
      </c>
    </row>
    <row r="50" spans="1:19" x14ac:dyDescent="0.25">
      <c r="A50" s="4">
        <v>27</v>
      </c>
      <c r="G50" s="4">
        <v>152</v>
      </c>
      <c r="L50" s="14" t="s">
        <v>39</v>
      </c>
      <c r="Q50" s="1"/>
    </row>
    <row r="51" spans="1:19" x14ac:dyDescent="0.25">
      <c r="A51" s="4">
        <v>33</v>
      </c>
      <c r="G51" s="4">
        <v>158</v>
      </c>
    </row>
    <row r="52" spans="1:19" x14ac:dyDescent="0.25">
      <c r="A52" s="4">
        <v>27</v>
      </c>
      <c r="G52" s="4">
        <v>159</v>
      </c>
      <c r="L52" s="2" t="s">
        <v>58</v>
      </c>
      <c r="M52" s="2" t="s">
        <v>2</v>
      </c>
      <c r="N52" s="2" t="s">
        <v>69</v>
      </c>
      <c r="P52" s="1"/>
      <c r="Q52" s="1"/>
      <c r="R52" s="1"/>
      <c r="S52" s="1"/>
    </row>
    <row r="53" spans="1:19" x14ac:dyDescent="0.25">
      <c r="A53" s="4">
        <v>23</v>
      </c>
      <c r="G53" s="4">
        <v>174</v>
      </c>
      <c r="L53" s="4" t="s">
        <v>138</v>
      </c>
      <c r="M53" s="4">
        <v>2</v>
      </c>
      <c r="N53" s="4">
        <v>2</v>
      </c>
      <c r="Q53" s="1"/>
      <c r="R53" s="1"/>
      <c r="S53" s="1"/>
    </row>
    <row r="54" spans="1:19" x14ac:dyDescent="0.25">
      <c r="A54" s="4">
        <v>28</v>
      </c>
      <c r="G54" s="4">
        <v>178</v>
      </c>
      <c r="L54" s="4" t="s">
        <v>139</v>
      </c>
      <c r="M54" s="4">
        <v>3</v>
      </c>
      <c r="N54" s="4">
        <v>5</v>
      </c>
      <c r="Q54" s="1"/>
      <c r="R54" s="1"/>
      <c r="S54" s="1"/>
    </row>
    <row r="55" spans="1:19" x14ac:dyDescent="0.25">
      <c r="A55" s="4">
        <v>29</v>
      </c>
      <c r="G55" s="4">
        <v>179</v>
      </c>
      <c r="L55" s="4" t="s">
        <v>140</v>
      </c>
      <c r="M55" s="4">
        <v>8</v>
      </c>
      <c r="N55" s="4">
        <f>(5+8)</f>
        <v>13</v>
      </c>
      <c r="Q55" s="1"/>
      <c r="R55" s="1"/>
      <c r="S55" s="1"/>
    </row>
    <row r="56" spans="1:19" x14ac:dyDescent="0.25">
      <c r="A56" s="4">
        <v>31</v>
      </c>
      <c r="G56" s="4">
        <v>190</v>
      </c>
      <c r="L56" s="4" t="s">
        <v>141</v>
      </c>
      <c r="M56" s="4">
        <v>3</v>
      </c>
      <c r="N56" s="4">
        <f>(13+3)</f>
        <v>16</v>
      </c>
      <c r="Q56" s="1"/>
      <c r="R56" s="1"/>
      <c r="S56" s="1"/>
    </row>
    <row r="57" spans="1:19" x14ac:dyDescent="0.25">
      <c r="A57" s="4">
        <v>35</v>
      </c>
      <c r="G57" s="4">
        <v>170</v>
      </c>
      <c r="L57" s="4" t="s">
        <v>142</v>
      </c>
      <c r="M57" s="4">
        <v>2</v>
      </c>
      <c r="N57" s="4">
        <v>18</v>
      </c>
      <c r="Q57" s="1"/>
      <c r="R57" s="1"/>
      <c r="S57" s="1"/>
    </row>
    <row r="58" spans="1:19" x14ac:dyDescent="0.25">
      <c r="A58" s="4">
        <v>34</v>
      </c>
      <c r="G58" s="4">
        <v>143</v>
      </c>
      <c r="L58" s="3"/>
      <c r="M58" s="2">
        <f>SUM(M53:M57)</f>
        <v>18</v>
      </c>
      <c r="N58" s="3"/>
      <c r="Q58" s="1"/>
      <c r="R58" s="1"/>
      <c r="S58" s="1"/>
    </row>
    <row r="59" spans="1:19" x14ac:dyDescent="0.25">
      <c r="A59" s="4">
        <v>22</v>
      </c>
      <c r="G59" s="4">
        <v>165</v>
      </c>
      <c r="L59" s="3"/>
      <c r="M59" s="3"/>
      <c r="N59" s="3"/>
      <c r="Q59" s="1"/>
      <c r="R59" s="1"/>
      <c r="S59" s="1"/>
    </row>
    <row r="60" spans="1:19" x14ac:dyDescent="0.25">
      <c r="A60" s="4">
        <v>26</v>
      </c>
      <c r="G60" s="4">
        <v>167</v>
      </c>
      <c r="L60" s="3"/>
      <c r="M60" s="3"/>
      <c r="N60" s="3"/>
    </row>
    <row r="61" spans="1:19" x14ac:dyDescent="0.25">
      <c r="A61" s="4">
        <v>28</v>
      </c>
      <c r="G61" s="4">
        <v>187</v>
      </c>
      <c r="L61" s="3"/>
      <c r="M61" s="2" t="s">
        <v>86</v>
      </c>
      <c r="N61" s="2">
        <f>8+(13-5)*4/(2*13-5-16)</f>
        <v>14.4</v>
      </c>
    </row>
    <row r="62" spans="1:19" x14ac:dyDescent="0.25">
      <c r="A62" s="4">
        <v>23</v>
      </c>
      <c r="G62" s="4">
        <v>169</v>
      </c>
    </row>
    <row r="63" spans="1:19" x14ac:dyDescent="0.25">
      <c r="A63" s="4">
        <v>35</v>
      </c>
      <c r="G63" s="4">
        <v>182</v>
      </c>
    </row>
    <row r="64" spans="1:19" x14ac:dyDescent="0.25">
      <c r="A64" s="4">
        <v>31</v>
      </c>
      <c r="G64" s="4">
        <v>163</v>
      </c>
    </row>
    <row r="65" spans="1:21" x14ac:dyDescent="0.25">
      <c r="A65" s="4">
        <v>27</v>
      </c>
      <c r="G65" s="4">
        <v>149</v>
      </c>
    </row>
    <row r="66" spans="1:21" x14ac:dyDescent="0.25">
      <c r="G66" s="4">
        <v>174</v>
      </c>
    </row>
    <row r="67" spans="1:21" x14ac:dyDescent="0.25">
      <c r="G67" s="4">
        <v>174</v>
      </c>
    </row>
    <row r="68" spans="1:21" x14ac:dyDescent="0.25">
      <c r="G68" s="4">
        <v>177</v>
      </c>
    </row>
    <row r="69" spans="1:21" x14ac:dyDescent="0.25">
      <c r="G69" s="4">
        <v>181</v>
      </c>
    </row>
    <row r="70" spans="1:21" x14ac:dyDescent="0.25">
      <c r="G70" s="4">
        <v>170</v>
      </c>
    </row>
    <row r="71" spans="1:21" x14ac:dyDescent="0.25">
      <c r="G71" s="4">
        <v>145</v>
      </c>
    </row>
    <row r="72" spans="1:21" x14ac:dyDescent="0.25">
      <c r="G72" s="21">
        <v>143</v>
      </c>
    </row>
    <row r="73" spans="1:21" x14ac:dyDescent="0.25">
      <c r="G73" s="3"/>
    </row>
    <row r="76" spans="1:21" x14ac:dyDescent="0.25">
      <c r="I76" s="14" t="s">
        <v>57</v>
      </c>
      <c r="P76" s="14" t="s">
        <v>137</v>
      </c>
      <c r="Q76" s="3"/>
      <c r="R76" s="3"/>
      <c r="S76" s="3"/>
      <c r="T76" s="3"/>
      <c r="U76" s="3"/>
    </row>
    <row r="77" spans="1:21" x14ac:dyDescent="0.25">
      <c r="A77" s="22" t="s">
        <v>47</v>
      </c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4" t="s">
        <v>73</v>
      </c>
      <c r="F78" s="4">
        <v>40</v>
      </c>
      <c r="I78" s="2" t="s">
        <v>58</v>
      </c>
      <c r="J78" s="2" t="s">
        <v>2</v>
      </c>
      <c r="K78" s="2" t="s">
        <v>69</v>
      </c>
      <c r="L78" s="3"/>
      <c r="M78" s="4" t="s">
        <v>14</v>
      </c>
      <c r="N78" s="4">
        <v>70</v>
      </c>
      <c r="P78" s="2" t="s">
        <v>58</v>
      </c>
      <c r="Q78" s="2" t="s">
        <v>2</v>
      </c>
      <c r="R78" s="2" t="s">
        <v>69</v>
      </c>
      <c r="S78" s="4"/>
      <c r="T78" s="4" t="s">
        <v>14</v>
      </c>
      <c r="U78" s="4">
        <v>140</v>
      </c>
    </row>
    <row r="79" spans="1:21" x14ac:dyDescent="0.25">
      <c r="A79" s="2" t="s">
        <v>58</v>
      </c>
      <c r="B79" s="2" t="s">
        <v>2</v>
      </c>
      <c r="C79" s="2" t="s">
        <v>69</v>
      </c>
      <c r="D79" s="3"/>
      <c r="E79" s="4" t="s">
        <v>14</v>
      </c>
      <c r="F79" s="4">
        <v>50</v>
      </c>
      <c r="I79" s="4" t="s">
        <v>158</v>
      </c>
      <c r="J79" s="4">
        <v>4</v>
      </c>
      <c r="K79" s="4">
        <v>4</v>
      </c>
      <c r="L79" s="3"/>
      <c r="M79" s="4" t="s">
        <v>74</v>
      </c>
      <c r="N79" s="4">
        <f>70/2</f>
        <v>35</v>
      </c>
      <c r="P79" s="4" t="s">
        <v>166</v>
      </c>
      <c r="Q79" s="4">
        <v>20</v>
      </c>
      <c r="R79" s="4">
        <v>20</v>
      </c>
      <c r="S79" s="4"/>
      <c r="T79" s="4" t="s">
        <v>74</v>
      </c>
      <c r="U79" s="4">
        <f>140/2</f>
        <v>70</v>
      </c>
    </row>
    <row r="80" spans="1:21" x14ac:dyDescent="0.25">
      <c r="A80" s="4" t="s">
        <v>71</v>
      </c>
      <c r="B80" s="4">
        <v>3</v>
      </c>
      <c r="C80" s="4">
        <v>3</v>
      </c>
      <c r="D80" s="3"/>
      <c r="E80" s="4" t="s">
        <v>74</v>
      </c>
      <c r="F80" s="4">
        <f>50/2</f>
        <v>25</v>
      </c>
      <c r="I80" s="4" t="s">
        <v>159</v>
      </c>
      <c r="J80" s="4">
        <v>14</v>
      </c>
      <c r="K80" s="4">
        <v>18</v>
      </c>
      <c r="L80" s="3"/>
      <c r="M80" s="4" t="s">
        <v>76</v>
      </c>
      <c r="N80" s="4">
        <v>18</v>
      </c>
      <c r="P80" s="4" t="s">
        <v>71</v>
      </c>
      <c r="Q80" s="4">
        <v>24</v>
      </c>
      <c r="R80" s="4">
        <f>20+24</f>
        <v>44</v>
      </c>
      <c r="S80" s="4"/>
      <c r="T80" s="4" t="s">
        <v>76</v>
      </c>
      <c r="U80" s="4">
        <v>44</v>
      </c>
    </row>
    <row r="81" spans="1:21" x14ac:dyDescent="0.25">
      <c r="A81" s="4" t="s">
        <v>35</v>
      </c>
      <c r="B81" s="4">
        <v>9</v>
      </c>
      <c r="C81" s="4">
        <v>12</v>
      </c>
      <c r="D81" s="3"/>
      <c r="E81" s="4" t="s">
        <v>76</v>
      </c>
      <c r="F81" s="4">
        <v>24</v>
      </c>
      <c r="I81" s="4" t="s">
        <v>160</v>
      </c>
      <c r="J81" s="4">
        <v>22</v>
      </c>
      <c r="K81" s="4">
        <f>18+22</f>
        <v>40</v>
      </c>
      <c r="L81" s="3"/>
      <c r="M81" s="4" t="s">
        <v>2</v>
      </c>
      <c r="N81" s="4">
        <v>22</v>
      </c>
      <c r="P81" s="4" t="s">
        <v>35</v>
      </c>
      <c r="Q81" s="4">
        <v>40</v>
      </c>
      <c r="R81" s="4">
        <f>44+40</f>
        <v>84</v>
      </c>
      <c r="S81" s="4"/>
      <c r="T81" s="4" t="s">
        <v>2</v>
      </c>
      <c r="U81" s="4">
        <v>40</v>
      </c>
    </row>
    <row r="82" spans="1:21" x14ac:dyDescent="0.25">
      <c r="A82" s="4" t="s">
        <v>36</v>
      </c>
      <c r="B82" s="4">
        <v>12</v>
      </c>
      <c r="C82" s="4">
        <v>24</v>
      </c>
      <c r="D82" s="3"/>
      <c r="E82" s="4" t="s">
        <v>2</v>
      </c>
      <c r="F82" s="4">
        <v>20</v>
      </c>
      <c r="I82" s="4" t="s">
        <v>161</v>
      </c>
      <c r="J82" s="4">
        <v>16</v>
      </c>
      <c r="K82" s="4">
        <f>40+16</f>
        <v>56</v>
      </c>
      <c r="L82" s="3"/>
      <c r="M82" s="4" t="s">
        <v>75</v>
      </c>
      <c r="N82" s="4">
        <v>5</v>
      </c>
      <c r="P82" s="4" t="s">
        <v>36</v>
      </c>
      <c r="Q82" s="4">
        <v>36</v>
      </c>
      <c r="R82" s="4">
        <f>84+36</f>
        <v>120</v>
      </c>
      <c r="S82" s="4"/>
      <c r="T82" s="4" t="s">
        <v>75</v>
      </c>
      <c r="U82" s="4">
        <v>11</v>
      </c>
    </row>
    <row r="83" spans="1:21" x14ac:dyDescent="0.25">
      <c r="A83" s="4" t="s">
        <v>72</v>
      </c>
      <c r="B83" s="4">
        <v>20</v>
      </c>
      <c r="C83" s="4">
        <f>24+20</f>
        <v>44</v>
      </c>
      <c r="D83" s="3"/>
      <c r="E83" s="4" t="s">
        <v>75</v>
      </c>
      <c r="F83" s="4">
        <v>11</v>
      </c>
      <c r="I83" s="4" t="s">
        <v>162</v>
      </c>
      <c r="J83" s="4">
        <v>6</v>
      </c>
      <c r="K83" s="4">
        <f>56+6</f>
        <v>62</v>
      </c>
      <c r="L83" s="3"/>
      <c r="M83" s="4" t="s">
        <v>73</v>
      </c>
      <c r="N83" s="4">
        <v>35</v>
      </c>
      <c r="P83" s="4" t="s">
        <v>72</v>
      </c>
      <c r="Q83" s="4">
        <v>20</v>
      </c>
      <c r="R83" s="4">
        <v>140</v>
      </c>
      <c r="S83" s="4"/>
      <c r="T83" s="4" t="s">
        <v>167</v>
      </c>
      <c r="U83" s="4">
        <v>20</v>
      </c>
    </row>
    <row r="84" spans="1:21" x14ac:dyDescent="0.25">
      <c r="A84" s="4" t="s">
        <v>134</v>
      </c>
      <c r="B84" s="4">
        <v>6</v>
      </c>
      <c r="C84" s="4">
        <v>50</v>
      </c>
      <c r="D84" s="3"/>
      <c r="E84" s="4"/>
      <c r="F84" s="4"/>
      <c r="I84" s="4" t="s">
        <v>163</v>
      </c>
      <c r="J84" s="4">
        <v>5</v>
      </c>
      <c r="K84" s="4">
        <f>62+5</f>
        <v>67</v>
      </c>
      <c r="L84" s="3"/>
      <c r="M84" s="4"/>
      <c r="N84" s="4"/>
      <c r="P84" s="4"/>
      <c r="Q84" s="4">
        <f>SUM(Q79:Q83)</f>
        <v>140</v>
      </c>
      <c r="R84" s="4"/>
      <c r="S84" s="4"/>
      <c r="T84" s="4"/>
      <c r="U84" s="4"/>
    </row>
    <row r="85" spans="1:21" x14ac:dyDescent="0.25">
      <c r="A85" s="3"/>
      <c r="B85" s="2">
        <f>SUM(B80:B84)</f>
        <v>50</v>
      </c>
      <c r="C85" s="3"/>
      <c r="D85" s="3"/>
      <c r="E85" s="2" t="s">
        <v>86</v>
      </c>
      <c r="F85" s="2">
        <f>40+(25-24)*11/20</f>
        <v>40.549999999999997</v>
      </c>
      <c r="I85" s="4" t="s">
        <v>164</v>
      </c>
      <c r="J85" s="4">
        <v>3</v>
      </c>
      <c r="K85" s="4">
        <v>70</v>
      </c>
      <c r="L85" s="3"/>
      <c r="M85" s="4"/>
      <c r="N85" s="4"/>
      <c r="P85" s="4"/>
      <c r="Q85" s="4"/>
      <c r="R85" s="4"/>
      <c r="S85" s="4"/>
      <c r="T85" s="4"/>
      <c r="U85" s="4"/>
    </row>
    <row r="86" spans="1:21" x14ac:dyDescent="0.25">
      <c r="I86" s="4"/>
      <c r="J86" s="4">
        <f>SUM(J79:J85)</f>
        <v>70</v>
      </c>
      <c r="K86" s="4"/>
      <c r="L86" s="3"/>
      <c r="M86" s="2" t="s">
        <v>86</v>
      </c>
      <c r="N86" s="2">
        <f>35+(35-18)*5/22</f>
        <v>38.863636363636367</v>
      </c>
      <c r="P86" s="2" t="s">
        <v>86</v>
      </c>
      <c r="Q86" s="2">
        <f>20+(70-44)*11/40</f>
        <v>27.15</v>
      </c>
      <c r="R86" s="4"/>
      <c r="S86" s="4"/>
      <c r="T86" s="4"/>
      <c r="U86" s="4"/>
    </row>
    <row r="90" spans="1:21" x14ac:dyDescent="0.25">
      <c r="A90" s="14" t="s">
        <v>147</v>
      </c>
    </row>
    <row r="91" spans="1:21" x14ac:dyDescent="0.25">
      <c r="I91" s="14" t="s">
        <v>152</v>
      </c>
      <c r="J91" s="24"/>
      <c r="K91" s="24"/>
      <c r="L91" s="24"/>
      <c r="M91" s="24"/>
      <c r="N91" s="24"/>
      <c r="P91" s="14" t="s">
        <v>153</v>
      </c>
    </row>
    <row r="92" spans="1:21" x14ac:dyDescent="0.25">
      <c r="A92" s="2" t="s">
        <v>58</v>
      </c>
      <c r="B92" s="2" t="s">
        <v>2</v>
      </c>
      <c r="C92" s="2" t="s">
        <v>69</v>
      </c>
      <c r="D92" s="3"/>
      <c r="E92" s="3"/>
      <c r="F92" s="3"/>
      <c r="I92" s="24"/>
      <c r="J92" s="24"/>
      <c r="K92" s="24"/>
      <c r="L92" s="24"/>
      <c r="M92" s="24"/>
      <c r="N92" s="24"/>
    </row>
    <row r="93" spans="1:21" x14ac:dyDescent="0.25">
      <c r="A93" s="4" t="s">
        <v>169</v>
      </c>
      <c r="B93" s="4">
        <v>8</v>
      </c>
      <c r="C93" s="4">
        <v>8</v>
      </c>
      <c r="D93" s="3"/>
      <c r="E93" s="4" t="s">
        <v>14</v>
      </c>
      <c r="F93" s="4">
        <v>80</v>
      </c>
      <c r="I93" s="2" t="s">
        <v>58</v>
      </c>
      <c r="J93" s="2" t="s">
        <v>2</v>
      </c>
      <c r="K93" s="2" t="s">
        <v>69</v>
      </c>
      <c r="L93" s="4"/>
      <c r="M93" s="4" t="s">
        <v>14</v>
      </c>
      <c r="N93" s="4">
        <v>50</v>
      </c>
      <c r="P93" s="2" t="s">
        <v>58</v>
      </c>
      <c r="Q93" s="2" t="s">
        <v>2</v>
      </c>
      <c r="R93" s="2" t="s">
        <v>69</v>
      </c>
      <c r="S93" s="4"/>
      <c r="T93" s="4" t="s">
        <v>14</v>
      </c>
      <c r="U93" s="4">
        <v>40</v>
      </c>
    </row>
    <row r="94" spans="1:21" x14ac:dyDescent="0.25">
      <c r="A94" s="4" t="s">
        <v>170</v>
      </c>
      <c r="B94" s="4">
        <v>10</v>
      </c>
      <c r="C94" s="4">
        <v>18</v>
      </c>
      <c r="D94" s="3"/>
      <c r="E94" s="4" t="s">
        <v>74</v>
      </c>
      <c r="F94" s="4">
        <f>80/2</f>
        <v>40</v>
      </c>
      <c r="I94" s="4" t="s">
        <v>176</v>
      </c>
      <c r="J94" s="4">
        <v>6</v>
      </c>
      <c r="K94" s="4">
        <v>6</v>
      </c>
      <c r="L94" s="4"/>
      <c r="M94" s="4" t="s">
        <v>74</v>
      </c>
      <c r="N94" s="4">
        <f>50/2</f>
        <v>25</v>
      </c>
      <c r="P94" s="4" t="s">
        <v>182</v>
      </c>
      <c r="Q94" s="4">
        <v>6</v>
      </c>
      <c r="R94" s="4">
        <v>6</v>
      </c>
      <c r="S94" s="4"/>
      <c r="T94" s="4" t="s">
        <v>74</v>
      </c>
      <c r="U94" s="4">
        <f>40/2</f>
        <v>20</v>
      </c>
    </row>
    <row r="95" spans="1:21" x14ac:dyDescent="0.25">
      <c r="A95" s="4" t="s">
        <v>171</v>
      </c>
      <c r="B95" s="4">
        <v>16</v>
      </c>
      <c r="C95" s="4">
        <f>18+16</f>
        <v>34</v>
      </c>
      <c r="D95" s="3"/>
      <c r="E95" s="4" t="s">
        <v>76</v>
      </c>
      <c r="F95" s="4">
        <v>34</v>
      </c>
      <c r="I95" s="4" t="s">
        <v>177</v>
      </c>
      <c r="J95" s="4">
        <v>9</v>
      </c>
      <c r="K95" s="4">
        <f>6+9</f>
        <v>15</v>
      </c>
      <c r="L95" s="4"/>
      <c r="M95" s="4" t="s">
        <v>76</v>
      </c>
      <c r="N95" s="4">
        <v>15</v>
      </c>
      <c r="P95" s="4" t="s">
        <v>183</v>
      </c>
      <c r="Q95" s="4">
        <v>10</v>
      </c>
      <c r="R95" s="4">
        <v>16</v>
      </c>
      <c r="S95" s="4"/>
      <c r="T95" s="4" t="s">
        <v>76</v>
      </c>
      <c r="U95" s="4">
        <v>16</v>
      </c>
    </row>
    <row r="96" spans="1:21" x14ac:dyDescent="0.25">
      <c r="A96" s="4" t="s">
        <v>172</v>
      </c>
      <c r="B96" s="4">
        <v>23</v>
      </c>
      <c r="C96" s="4">
        <f>34+23</f>
        <v>57</v>
      </c>
      <c r="D96" s="3"/>
      <c r="E96" s="4" t="s">
        <v>2</v>
      </c>
      <c r="F96" s="4">
        <v>23</v>
      </c>
      <c r="I96" s="4" t="s">
        <v>178</v>
      </c>
      <c r="J96" s="4">
        <v>15</v>
      </c>
      <c r="K96" s="4">
        <v>30</v>
      </c>
      <c r="L96" s="4"/>
      <c r="M96" s="4" t="s">
        <v>2</v>
      </c>
      <c r="N96" s="4">
        <v>15</v>
      </c>
      <c r="P96" s="4" t="s">
        <v>184</v>
      </c>
      <c r="Q96" s="4">
        <v>8</v>
      </c>
      <c r="R96" s="4">
        <f>16+8</f>
        <v>24</v>
      </c>
      <c r="S96" s="4"/>
      <c r="T96" s="4" t="s">
        <v>2</v>
      </c>
      <c r="U96" s="4">
        <v>8</v>
      </c>
    </row>
    <row r="97" spans="1:22" x14ac:dyDescent="0.25">
      <c r="A97" s="4" t="s">
        <v>173</v>
      </c>
      <c r="B97" s="4">
        <v>12</v>
      </c>
      <c r="C97" s="4">
        <f>57+12</f>
        <v>69</v>
      </c>
      <c r="D97" s="3"/>
      <c r="E97" s="4" t="s">
        <v>75</v>
      </c>
      <c r="F97" s="4">
        <v>7</v>
      </c>
      <c r="I97" s="4" t="s">
        <v>179</v>
      </c>
      <c r="J97" s="4">
        <v>12</v>
      </c>
      <c r="K97" s="4">
        <v>42</v>
      </c>
      <c r="L97" s="4"/>
      <c r="M97" s="4" t="s">
        <v>75</v>
      </c>
      <c r="N97" s="4">
        <v>111</v>
      </c>
      <c r="P97" s="4" t="s">
        <v>185</v>
      </c>
      <c r="Q97" s="4">
        <v>12</v>
      </c>
      <c r="R97" s="4">
        <f>24+12</f>
        <v>36</v>
      </c>
      <c r="S97" s="4"/>
      <c r="T97" s="4" t="s">
        <v>75</v>
      </c>
      <c r="U97" s="4">
        <v>11</v>
      </c>
    </row>
    <row r="98" spans="1:22" x14ac:dyDescent="0.25">
      <c r="A98" s="4" t="s">
        <v>174</v>
      </c>
      <c r="B98" s="4">
        <v>11</v>
      </c>
      <c r="C98" s="4">
        <f>69+11</f>
        <v>80</v>
      </c>
      <c r="D98" s="3"/>
      <c r="E98" s="4" t="s">
        <v>167</v>
      </c>
      <c r="F98" s="4">
        <v>102</v>
      </c>
      <c r="I98" s="4" t="s">
        <v>180</v>
      </c>
      <c r="J98" s="4">
        <v>8</v>
      </c>
      <c r="K98" s="4">
        <v>50</v>
      </c>
      <c r="L98" s="4"/>
      <c r="M98" s="4" t="s">
        <v>167</v>
      </c>
      <c r="N98" s="4">
        <v>200</v>
      </c>
      <c r="P98" s="4" t="s">
        <v>186</v>
      </c>
      <c r="Q98" s="4">
        <v>4</v>
      </c>
      <c r="R98" s="4">
        <v>40</v>
      </c>
      <c r="S98" s="4"/>
      <c r="T98" s="4" t="s">
        <v>167</v>
      </c>
      <c r="U98" s="4">
        <v>45</v>
      </c>
    </row>
    <row r="99" spans="1:22" x14ac:dyDescent="0.25">
      <c r="A99" s="3"/>
      <c r="B99" s="2">
        <f>SUM(B93:B98)</f>
        <v>80</v>
      </c>
      <c r="C99" s="3"/>
      <c r="D99" s="3"/>
      <c r="E99" s="3"/>
      <c r="F99" s="3"/>
      <c r="I99" s="4"/>
      <c r="J99" s="2">
        <f>SUM(J94:J98)</f>
        <v>50</v>
      </c>
      <c r="K99" s="4"/>
      <c r="L99" s="4"/>
      <c r="M99" s="4"/>
      <c r="N99" s="4"/>
      <c r="P99" s="4"/>
      <c r="Q99" s="4">
        <f>SUM(Q94:Q98)</f>
        <v>40</v>
      </c>
      <c r="R99" s="4"/>
      <c r="S99" s="4"/>
      <c r="T99" s="4"/>
      <c r="U99" s="4"/>
    </row>
    <row r="100" spans="1:22" x14ac:dyDescent="0.25">
      <c r="A100" s="3"/>
      <c r="B100" s="3"/>
      <c r="C100" s="3"/>
      <c r="D100" s="3"/>
      <c r="E100" s="3"/>
      <c r="F100" s="3"/>
      <c r="I100" s="4"/>
      <c r="J100" s="4"/>
      <c r="K100" s="4"/>
      <c r="L100" s="2" t="s">
        <v>86</v>
      </c>
      <c r="M100" s="4">
        <f>200+(25-15)*111/15</f>
        <v>274</v>
      </c>
      <c r="N100" s="2"/>
      <c r="P100" s="4"/>
      <c r="Q100" s="4"/>
      <c r="R100" s="4"/>
      <c r="S100" s="4"/>
      <c r="T100" s="4"/>
      <c r="U100" s="4"/>
    </row>
    <row r="101" spans="1:22" x14ac:dyDescent="0.25">
      <c r="A101" s="3"/>
      <c r="B101" s="2" t="s">
        <v>86</v>
      </c>
      <c r="C101" s="2">
        <f>102+(40-34)*7/23</f>
        <v>103.82608695652173</v>
      </c>
      <c r="D101" s="3"/>
      <c r="E101" s="3"/>
      <c r="F101" s="3"/>
      <c r="P101" s="4"/>
      <c r="Q101" s="4"/>
      <c r="R101" s="2" t="s">
        <v>86</v>
      </c>
      <c r="S101" s="2">
        <f>45+(20-16)*11/8</f>
        <v>50.5</v>
      </c>
      <c r="T101" s="4"/>
      <c r="U101" s="4"/>
    </row>
    <row r="106" spans="1:22" x14ac:dyDescent="0.25">
      <c r="B106" s="14" t="s">
        <v>154</v>
      </c>
      <c r="I106" s="14" t="s">
        <v>156</v>
      </c>
      <c r="Q106" s="14" t="s">
        <v>157</v>
      </c>
    </row>
    <row r="108" spans="1:22" x14ac:dyDescent="0.25">
      <c r="B108" s="2" t="s">
        <v>58</v>
      </c>
      <c r="C108" s="2" t="s">
        <v>2</v>
      </c>
      <c r="D108" s="2" t="s">
        <v>69</v>
      </c>
      <c r="E108" s="3"/>
      <c r="F108" s="3"/>
      <c r="G108" s="3"/>
      <c r="I108" s="2" t="s">
        <v>58</v>
      </c>
      <c r="J108" s="2" t="s">
        <v>2</v>
      </c>
      <c r="K108" s="2" t="s">
        <v>69</v>
      </c>
      <c r="L108" s="3"/>
      <c r="M108" s="4" t="s">
        <v>14</v>
      </c>
      <c r="N108" s="3">
        <v>80</v>
      </c>
      <c r="Q108" s="2" t="s">
        <v>58</v>
      </c>
      <c r="R108" s="2" t="s">
        <v>2</v>
      </c>
      <c r="S108" s="2" t="s">
        <v>69</v>
      </c>
      <c r="T108" s="3"/>
      <c r="U108" s="3" t="s">
        <v>14</v>
      </c>
      <c r="V108" s="3">
        <v>481</v>
      </c>
    </row>
    <row r="109" spans="1:22" x14ac:dyDescent="0.25">
      <c r="B109" s="3" t="s">
        <v>70</v>
      </c>
      <c r="C109" s="3">
        <v>7</v>
      </c>
      <c r="D109" s="3">
        <v>7</v>
      </c>
      <c r="E109" s="3"/>
      <c r="F109" s="3" t="s">
        <v>14</v>
      </c>
      <c r="G109" s="3">
        <v>40</v>
      </c>
      <c r="I109" s="3" t="s">
        <v>244</v>
      </c>
      <c r="J109" s="3">
        <v>12</v>
      </c>
      <c r="K109" s="3">
        <v>12</v>
      </c>
      <c r="L109" s="3"/>
      <c r="M109" s="3" t="s">
        <v>74</v>
      </c>
      <c r="N109" s="3">
        <f>80/2</f>
        <v>40</v>
      </c>
      <c r="Q109" s="3" t="s">
        <v>272</v>
      </c>
      <c r="R109" s="3">
        <v>5</v>
      </c>
      <c r="S109" s="3">
        <v>5</v>
      </c>
      <c r="T109" s="3"/>
      <c r="U109" s="3" t="s">
        <v>74</v>
      </c>
      <c r="V109" s="3">
        <f>481/2</f>
        <v>240.5</v>
      </c>
    </row>
    <row r="110" spans="1:22" x14ac:dyDescent="0.25">
      <c r="B110" s="3" t="s">
        <v>71</v>
      </c>
      <c r="C110" s="3">
        <v>5</v>
      </c>
      <c r="D110" s="3">
        <f>7+5</f>
        <v>12</v>
      </c>
      <c r="E110" s="3"/>
      <c r="F110" s="3" t="s">
        <v>74</v>
      </c>
      <c r="G110" s="3">
        <f>40/2</f>
        <v>20</v>
      </c>
      <c r="I110" s="4" t="s">
        <v>267</v>
      </c>
      <c r="J110" s="4">
        <v>22</v>
      </c>
      <c r="K110" s="4">
        <f>12+22</f>
        <v>34</v>
      </c>
      <c r="L110" s="3"/>
      <c r="M110" s="3" t="s">
        <v>76</v>
      </c>
      <c r="N110" s="3">
        <v>34</v>
      </c>
      <c r="Q110" s="3" t="s">
        <v>273</v>
      </c>
      <c r="R110" s="3">
        <v>9</v>
      </c>
      <c r="S110" s="3">
        <f>5+9</f>
        <v>14</v>
      </c>
      <c r="T110" s="3"/>
      <c r="U110" s="3" t="s">
        <v>76</v>
      </c>
      <c r="V110" s="3">
        <v>165</v>
      </c>
    </row>
    <row r="111" spans="1:22" x14ac:dyDescent="0.25">
      <c r="B111" s="3" t="s">
        <v>35</v>
      </c>
      <c r="C111" s="3">
        <v>6</v>
      </c>
      <c r="D111" s="3">
        <v>18</v>
      </c>
      <c r="E111" s="3"/>
      <c r="F111" s="3" t="s">
        <v>76</v>
      </c>
      <c r="G111" s="3">
        <v>18</v>
      </c>
      <c r="I111" s="3" t="s">
        <v>268</v>
      </c>
      <c r="J111" s="3">
        <v>27</v>
      </c>
      <c r="K111" s="3">
        <f>34+27</f>
        <v>61</v>
      </c>
      <c r="L111" s="3"/>
      <c r="M111" s="3" t="s">
        <v>2</v>
      </c>
      <c r="N111" s="3">
        <v>27</v>
      </c>
      <c r="Q111" s="3" t="s">
        <v>274</v>
      </c>
      <c r="R111" s="3">
        <v>17</v>
      </c>
      <c r="S111" s="3">
        <f>14+17</f>
        <v>31</v>
      </c>
      <c r="T111" s="3"/>
      <c r="U111" s="3" t="s">
        <v>2</v>
      </c>
      <c r="V111" s="3">
        <v>70</v>
      </c>
    </row>
    <row r="112" spans="1:22" x14ac:dyDescent="0.25">
      <c r="B112" s="4" t="s">
        <v>36</v>
      </c>
      <c r="C112" s="4">
        <v>12</v>
      </c>
      <c r="D112" s="4">
        <f>12+18</f>
        <v>30</v>
      </c>
      <c r="E112" s="3"/>
      <c r="F112" s="3" t="s">
        <v>2</v>
      </c>
      <c r="G112" s="3">
        <v>12</v>
      </c>
      <c r="I112" s="3" t="s">
        <v>269</v>
      </c>
      <c r="J112" s="3">
        <v>19</v>
      </c>
      <c r="K112" s="3">
        <f>61+19</f>
        <v>80</v>
      </c>
      <c r="L112" s="3"/>
      <c r="M112" s="3" t="s">
        <v>75</v>
      </c>
      <c r="N112" s="3">
        <v>3</v>
      </c>
      <c r="Q112" s="3" t="s">
        <v>275</v>
      </c>
      <c r="R112" s="3">
        <v>29</v>
      </c>
      <c r="S112" s="3">
        <f>31+29</f>
        <v>60</v>
      </c>
      <c r="T112" s="3"/>
      <c r="U112" s="3" t="s">
        <v>75</v>
      </c>
      <c r="V112" s="3">
        <v>9</v>
      </c>
    </row>
    <row r="113" spans="2:22" x14ac:dyDescent="0.25">
      <c r="B113" s="3" t="s">
        <v>72</v>
      </c>
      <c r="C113" s="3">
        <v>8</v>
      </c>
      <c r="D113" s="3">
        <f>38</f>
        <v>38</v>
      </c>
      <c r="E113" s="3"/>
      <c r="F113" s="3" t="s">
        <v>75</v>
      </c>
      <c r="G113" s="3">
        <v>11</v>
      </c>
      <c r="I113" s="3"/>
      <c r="J113" s="3">
        <f>SUM(J109:J112)</f>
        <v>80</v>
      </c>
      <c r="K113" s="3"/>
      <c r="L113" s="3"/>
      <c r="M113" s="3" t="s">
        <v>270</v>
      </c>
      <c r="N113" s="3">
        <v>5</v>
      </c>
      <c r="Q113" s="3" t="s">
        <v>276</v>
      </c>
      <c r="R113" s="3">
        <v>45</v>
      </c>
      <c r="S113" s="3">
        <f>60+45</f>
        <v>105</v>
      </c>
      <c r="T113" s="3"/>
      <c r="U113" s="3" t="s">
        <v>270</v>
      </c>
      <c r="V113" s="3">
        <v>61</v>
      </c>
    </row>
    <row r="114" spans="2:22" x14ac:dyDescent="0.25">
      <c r="B114" s="3" t="s">
        <v>134</v>
      </c>
      <c r="C114" s="3">
        <v>2</v>
      </c>
      <c r="D114" s="3">
        <v>40</v>
      </c>
      <c r="E114" s="3"/>
      <c r="F114" s="3" t="s">
        <v>167</v>
      </c>
      <c r="G114" s="3">
        <v>30</v>
      </c>
      <c r="I114" s="3"/>
      <c r="J114" s="3"/>
      <c r="K114" s="3"/>
      <c r="L114" s="3"/>
      <c r="M114" s="3"/>
      <c r="N114" s="3"/>
      <c r="Q114" s="3" t="s">
        <v>277</v>
      </c>
      <c r="R114" s="3">
        <v>60</v>
      </c>
      <c r="S114" s="3">
        <f>105+60</f>
        <v>165</v>
      </c>
      <c r="T114" s="3"/>
      <c r="U114" s="3"/>
      <c r="V114" s="3"/>
    </row>
    <row r="115" spans="2:22" x14ac:dyDescent="0.25">
      <c r="B115" s="3"/>
      <c r="C115" s="2">
        <f>SUM(C109:C114)</f>
        <v>40</v>
      </c>
      <c r="D115" s="3"/>
      <c r="E115" s="3"/>
      <c r="F115" s="3"/>
      <c r="G115" s="3"/>
      <c r="I115" s="3"/>
      <c r="J115" s="3"/>
      <c r="K115" s="3"/>
      <c r="L115" s="3"/>
      <c r="M115" s="3" t="s">
        <v>86</v>
      </c>
      <c r="N115" s="3">
        <f>N113+(N109-N110)*N112/N111</f>
        <v>5.666666666666667</v>
      </c>
      <c r="Q115" s="4" t="s">
        <v>278</v>
      </c>
      <c r="R115" s="4">
        <v>70</v>
      </c>
      <c r="S115" s="4">
        <f>165+70</f>
        <v>235</v>
      </c>
      <c r="T115" s="3"/>
      <c r="U115" s="2" t="s">
        <v>86</v>
      </c>
      <c r="V115" s="2">
        <f>V113+(V109-V110)*V112/V111</f>
        <v>70.707142857142856</v>
      </c>
    </row>
    <row r="116" spans="2:22" x14ac:dyDescent="0.25">
      <c r="B116" s="3"/>
      <c r="C116" s="3"/>
      <c r="D116" s="3"/>
      <c r="E116" s="3"/>
      <c r="F116" s="2" t="s">
        <v>86</v>
      </c>
      <c r="G116" s="2">
        <f>30+(20-18)*11/12</f>
        <v>31.833333333333332</v>
      </c>
      <c r="Q116" s="3" t="s">
        <v>279</v>
      </c>
      <c r="R116" s="3">
        <v>78</v>
      </c>
      <c r="S116" s="3">
        <f>235+78</f>
        <v>313</v>
      </c>
      <c r="T116" s="3"/>
      <c r="U116" s="3"/>
      <c r="V116" s="3"/>
    </row>
    <row r="117" spans="2:22" x14ac:dyDescent="0.25">
      <c r="Q117" s="3" t="s">
        <v>280</v>
      </c>
      <c r="R117" s="3">
        <v>83</v>
      </c>
      <c r="S117" s="3">
        <f>313+83</f>
        <v>396</v>
      </c>
      <c r="T117" s="3"/>
      <c r="U117" s="3"/>
      <c r="V117" s="3"/>
    </row>
    <row r="118" spans="2:22" x14ac:dyDescent="0.25">
      <c r="Q118" s="3" t="s">
        <v>281</v>
      </c>
      <c r="R118" s="3">
        <v>85</v>
      </c>
      <c r="S118" s="3">
        <f>396+85</f>
        <v>481</v>
      </c>
      <c r="T118" s="3"/>
      <c r="U118" s="3"/>
      <c r="V118" s="3"/>
    </row>
    <row r="119" spans="2:22" x14ac:dyDescent="0.25">
      <c r="Q119" s="3"/>
      <c r="R119" s="2">
        <f ca="1">SUM(R109:R119)</f>
        <v>481</v>
      </c>
      <c r="S119" s="3"/>
      <c r="T119" s="3"/>
      <c r="U119" s="3"/>
      <c r="V119" s="3"/>
    </row>
    <row r="120" spans="2:22" x14ac:dyDescent="0.25">
      <c r="Q120" s="8"/>
      <c r="R120" s="8"/>
      <c r="S120" s="8"/>
      <c r="T120" s="8"/>
      <c r="U120" s="8"/>
      <c r="V12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4FFC-3D40-4A39-811B-5ECDC960620E}">
  <dimension ref="A1:S88"/>
  <sheetViews>
    <sheetView topLeftCell="A70" workbookViewId="0">
      <selection activeCell="M78" sqref="M78:N88"/>
    </sheetView>
  </sheetViews>
  <sheetFormatPr defaultRowHeight="15" x14ac:dyDescent="0.25"/>
  <sheetData>
    <row r="1" spans="1:19" x14ac:dyDescent="0.25">
      <c r="A1" s="14" t="s">
        <v>0</v>
      </c>
      <c r="H1" s="14" t="s">
        <v>16</v>
      </c>
      <c r="I1" s="3"/>
      <c r="J1" s="3"/>
      <c r="K1" s="3"/>
      <c r="L1" s="3"/>
      <c r="O1" s="14" t="s">
        <v>23</v>
      </c>
      <c r="P1" s="24"/>
      <c r="Q1" s="24"/>
      <c r="R1" s="24"/>
      <c r="S1" s="24"/>
    </row>
    <row r="2" spans="1:19" x14ac:dyDescent="0.25">
      <c r="H2" s="3"/>
      <c r="I2" s="3"/>
      <c r="J2" s="3"/>
      <c r="K2" s="3"/>
      <c r="L2" s="3"/>
      <c r="O2" s="24"/>
      <c r="P2" s="24"/>
      <c r="Q2" s="24"/>
      <c r="R2" s="24"/>
      <c r="S2" s="24"/>
    </row>
    <row r="3" spans="1:19" x14ac:dyDescent="0.25">
      <c r="A3" s="2" t="s">
        <v>1</v>
      </c>
      <c r="B3" s="2" t="s">
        <v>2</v>
      </c>
      <c r="C3" s="3"/>
      <c r="D3" s="3"/>
      <c r="E3" s="3"/>
      <c r="H3" s="2" t="s">
        <v>40</v>
      </c>
      <c r="I3" s="2" t="s">
        <v>2</v>
      </c>
      <c r="J3" s="3"/>
      <c r="K3" s="3"/>
      <c r="L3" s="3"/>
      <c r="O3" s="2" t="s">
        <v>40</v>
      </c>
      <c r="P3" s="2" t="s">
        <v>2</v>
      </c>
      <c r="Q3" s="4"/>
      <c r="R3" s="4"/>
      <c r="S3" s="4"/>
    </row>
    <row r="4" spans="1:19" x14ac:dyDescent="0.25">
      <c r="A4" s="4" t="s">
        <v>87</v>
      </c>
      <c r="B4" s="4">
        <v>5</v>
      </c>
      <c r="C4" s="3"/>
      <c r="D4" s="4" t="s">
        <v>73</v>
      </c>
      <c r="E4" s="4">
        <v>35</v>
      </c>
      <c r="H4" s="4" t="s">
        <v>42</v>
      </c>
      <c r="I4" s="4">
        <v>2</v>
      </c>
      <c r="J4" s="3"/>
      <c r="K4" s="4" t="s">
        <v>73</v>
      </c>
      <c r="L4" s="4">
        <v>21</v>
      </c>
      <c r="O4" s="4" t="s">
        <v>100</v>
      </c>
      <c r="P4" s="4">
        <v>2</v>
      </c>
      <c r="Q4" s="4"/>
      <c r="R4" s="4" t="s">
        <v>73</v>
      </c>
      <c r="S4" s="4">
        <v>58</v>
      </c>
    </row>
    <row r="5" spans="1:19" x14ac:dyDescent="0.25">
      <c r="A5" s="4" t="s">
        <v>88</v>
      </c>
      <c r="B5" s="4">
        <v>2</v>
      </c>
      <c r="C5" s="3"/>
      <c r="D5" s="4" t="s">
        <v>96</v>
      </c>
      <c r="E5" s="4">
        <v>9</v>
      </c>
      <c r="H5" s="4" t="s">
        <v>43</v>
      </c>
      <c r="I5" s="4">
        <v>7</v>
      </c>
      <c r="J5" s="3"/>
      <c r="K5" s="4" t="s">
        <v>96</v>
      </c>
      <c r="L5" s="4">
        <v>10</v>
      </c>
      <c r="O5" s="4" t="s">
        <v>101</v>
      </c>
      <c r="P5" s="4">
        <v>2</v>
      </c>
      <c r="Q5" s="4"/>
      <c r="R5" s="4" t="s">
        <v>96</v>
      </c>
      <c r="S5" s="4">
        <v>11</v>
      </c>
    </row>
    <row r="6" spans="1:19" x14ac:dyDescent="0.25">
      <c r="A6" s="4" t="s">
        <v>89</v>
      </c>
      <c r="B6" s="4">
        <v>3</v>
      </c>
      <c r="C6" s="3"/>
      <c r="D6" s="4" t="s">
        <v>97</v>
      </c>
      <c r="E6" s="4">
        <v>2</v>
      </c>
      <c r="H6" s="4" t="s">
        <v>44</v>
      </c>
      <c r="I6" s="4">
        <v>10</v>
      </c>
      <c r="J6" s="3"/>
      <c r="K6" s="4" t="s">
        <v>97</v>
      </c>
      <c r="L6" s="4">
        <v>7</v>
      </c>
      <c r="O6" s="4" t="s">
        <v>61</v>
      </c>
      <c r="P6" s="4">
        <v>4</v>
      </c>
      <c r="Q6" s="4"/>
      <c r="R6" s="4" t="s">
        <v>97</v>
      </c>
      <c r="S6" s="4">
        <v>5</v>
      </c>
    </row>
    <row r="7" spans="1:19" x14ac:dyDescent="0.25">
      <c r="A7" s="4" t="s">
        <v>90</v>
      </c>
      <c r="B7" s="4">
        <v>5</v>
      </c>
      <c r="C7" s="3"/>
      <c r="D7" s="4" t="s">
        <v>98</v>
      </c>
      <c r="E7" s="4">
        <v>6</v>
      </c>
      <c r="H7" s="4" t="s">
        <v>45</v>
      </c>
      <c r="I7" s="4">
        <v>3</v>
      </c>
      <c r="J7" s="3"/>
      <c r="K7" s="4" t="s">
        <v>98</v>
      </c>
      <c r="L7" s="4">
        <v>3</v>
      </c>
      <c r="O7" s="4" t="s">
        <v>62</v>
      </c>
      <c r="P7" s="4">
        <v>5</v>
      </c>
      <c r="Q7" s="4"/>
      <c r="R7" s="4" t="s">
        <v>98</v>
      </c>
      <c r="S7" s="4">
        <v>8</v>
      </c>
    </row>
    <row r="8" spans="1:19" x14ac:dyDescent="0.25">
      <c r="A8" s="4" t="s">
        <v>91</v>
      </c>
      <c r="B8" s="4">
        <v>2</v>
      </c>
      <c r="C8" s="3"/>
      <c r="D8" s="4" t="s">
        <v>75</v>
      </c>
      <c r="E8" s="4">
        <v>5</v>
      </c>
      <c r="H8" s="4" t="s">
        <v>46</v>
      </c>
      <c r="I8" s="4">
        <v>1</v>
      </c>
      <c r="J8" s="3"/>
      <c r="K8" s="4" t="s">
        <v>75</v>
      </c>
      <c r="L8" s="4">
        <v>10</v>
      </c>
      <c r="O8" s="10" t="s">
        <v>63</v>
      </c>
      <c r="P8" s="10">
        <v>11</v>
      </c>
      <c r="Q8" s="4"/>
      <c r="R8" s="4" t="s">
        <v>75</v>
      </c>
      <c r="S8" s="4">
        <v>3</v>
      </c>
    </row>
    <row r="9" spans="1:19" x14ac:dyDescent="0.25">
      <c r="A9" s="4" t="s">
        <v>92</v>
      </c>
      <c r="B9" s="4">
        <v>9</v>
      </c>
      <c r="C9" s="3"/>
      <c r="D9" s="4"/>
      <c r="E9" s="4"/>
      <c r="H9" s="4"/>
      <c r="I9" s="4">
        <f>SUM(I4:I8)</f>
        <v>23</v>
      </c>
      <c r="J9" s="3"/>
      <c r="K9" s="4"/>
      <c r="L9" s="4"/>
      <c r="O9" s="4" t="s">
        <v>64</v>
      </c>
      <c r="P9" s="4">
        <v>8</v>
      </c>
      <c r="Q9" s="4"/>
      <c r="R9" s="4"/>
      <c r="S9" s="4"/>
    </row>
    <row r="10" spans="1:19" x14ac:dyDescent="0.25">
      <c r="A10" s="4" t="s">
        <v>93</v>
      </c>
      <c r="B10" s="4">
        <v>6</v>
      </c>
      <c r="C10" s="3"/>
      <c r="D10" s="4"/>
      <c r="E10" s="4"/>
      <c r="H10" s="3"/>
      <c r="I10" s="3"/>
      <c r="J10" s="3"/>
      <c r="K10" s="2" t="s">
        <v>99</v>
      </c>
      <c r="L10" s="2">
        <f>21+((10-7)*10/(2*10-7-3))</f>
        <v>24</v>
      </c>
      <c r="O10" s="4" t="s">
        <v>65</v>
      </c>
      <c r="P10" s="4">
        <v>4</v>
      </c>
      <c r="Q10" s="4"/>
      <c r="R10" s="4"/>
      <c r="S10" s="4"/>
    </row>
    <row r="11" spans="1:19" x14ac:dyDescent="0.25">
      <c r="A11" s="4" t="s">
        <v>94</v>
      </c>
      <c r="B11" s="4">
        <v>3</v>
      </c>
      <c r="C11" s="3"/>
      <c r="D11" s="2" t="s">
        <v>99</v>
      </c>
      <c r="E11" s="2">
        <f>35+((9-2)*5/(2*9-2-6))</f>
        <v>38.5</v>
      </c>
      <c r="O11" s="4" t="s">
        <v>66</v>
      </c>
      <c r="P11" s="4">
        <v>2</v>
      </c>
      <c r="Q11" s="4"/>
      <c r="R11" s="4"/>
      <c r="S11" s="4"/>
    </row>
    <row r="12" spans="1:19" x14ac:dyDescent="0.25">
      <c r="A12" s="4" t="s">
        <v>95</v>
      </c>
      <c r="B12" s="4">
        <v>5</v>
      </c>
      <c r="O12" s="4" t="s">
        <v>67</v>
      </c>
      <c r="P12" s="4">
        <v>1</v>
      </c>
      <c r="Q12" s="4"/>
      <c r="R12" s="4"/>
      <c r="S12" s="4"/>
    </row>
    <row r="13" spans="1:19" x14ac:dyDescent="0.25">
      <c r="A13" s="4"/>
      <c r="B13" s="2">
        <f>SUM(B4:B12)</f>
        <v>40</v>
      </c>
      <c r="O13" s="4" t="s">
        <v>68</v>
      </c>
      <c r="P13" s="4">
        <v>1</v>
      </c>
      <c r="Q13" s="4"/>
      <c r="R13" s="4"/>
      <c r="S13" s="4"/>
    </row>
    <row r="14" spans="1:19" x14ac:dyDescent="0.25">
      <c r="O14" s="4"/>
      <c r="P14" s="2">
        <f>SUM(P4:P13)</f>
        <v>40</v>
      </c>
      <c r="Q14" s="4"/>
      <c r="R14" s="2" t="s">
        <v>102</v>
      </c>
      <c r="S14" s="2">
        <f>58+((11-5)*3/(2*11-5-8))</f>
        <v>60</v>
      </c>
    </row>
    <row r="18" spans="1:19" x14ac:dyDescent="0.25">
      <c r="A18" s="14" t="s">
        <v>24</v>
      </c>
      <c r="B18" s="24"/>
      <c r="C18" s="24"/>
      <c r="D18" s="24"/>
      <c r="E18" s="24"/>
      <c r="H18" s="14" t="s">
        <v>26</v>
      </c>
      <c r="I18" s="24"/>
      <c r="J18" s="24"/>
      <c r="K18" s="24"/>
      <c r="L18" s="24"/>
      <c r="O18" s="14" t="s">
        <v>33</v>
      </c>
    </row>
    <row r="19" spans="1:19" x14ac:dyDescent="0.25">
      <c r="A19" s="24"/>
      <c r="B19" s="24"/>
      <c r="C19" s="24"/>
      <c r="D19" s="24"/>
      <c r="E19" s="24"/>
      <c r="H19" s="24"/>
      <c r="I19" s="24"/>
      <c r="J19" s="24"/>
      <c r="K19" s="24"/>
      <c r="L19" s="24"/>
      <c r="P19" s="24"/>
      <c r="Q19" s="24"/>
      <c r="R19" s="24"/>
      <c r="S19" s="24"/>
    </row>
    <row r="20" spans="1:19" x14ac:dyDescent="0.25">
      <c r="A20" s="2" t="s">
        <v>1</v>
      </c>
      <c r="B20" s="2" t="s">
        <v>2</v>
      </c>
      <c r="C20" s="4"/>
      <c r="D20" s="4"/>
      <c r="E20" s="4"/>
      <c r="H20" s="2" t="s">
        <v>1</v>
      </c>
      <c r="I20" s="2" t="s">
        <v>2</v>
      </c>
      <c r="J20" s="4"/>
      <c r="K20" s="4"/>
      <c r="L20" s="4"/>
      <c r="O20" s="2" t="s">
        <v>1</v>
      </c>
      <c r="P20" s="2" t="s">
        <v>2</v>
      </c>
      <c r="Q20" s="4"/>
      <c r="R20" s="4" t="s">
        <v>73</v>
      </c>
      <c r="S20" s="4">
        <v>1</v>
      </c>
    </row>
    <row r="21" spans="1:19" x14ac:dyDescent="0.25">
      <c r="A21" s="4" t="s">
        <v>49</v>
      </c>
      <c r="B21" s="4">
        <v>2</v>
      </c>
      <c r="C21" s="4"/>
      <c r="D21" s="4" t="s">
        <v>73</v>
      </c>
      <c r="E21" s="4">
        <v>27</v>
      </c>
      <c r="H21" s="4" t="s">
        <v>5</v>
      </c>
      <c r="I21" s="4">
        <v>9</v>
      </c>
      <c r="J21" s="4"/>
      <c r="K21" s="4" t="s">
        <v>73</v>
      </c>
      <c r="L21" s="4">
        <v>41</v>
      </c>
      <c r="O21" s="4" t="s">
        <v>19</v>
      </c>
      <c r="P21" s="4">
        <v>7</v>
      </c>
      <c r="Q21" s="4"/>
      <c r="R21" s="4" t="s">
        <v>96</v>
      </c>
      <c r="S21" s="4">
        <v>7</v>
      </c>
    </row>
    <row r="22" spans="1:19" x14ac:dyDescent="0.25">
      <c r="A22" s="4" t="s">
        <v>50</v>
      </c>
      <c r="B22" s="4">
        <v>7</v>
      </c>
      <c r="C22" s="4"/>
      <c r="D22" s="4" t="s">
        <v>96</v>
      </c>
      <c r="E22" s="4">
        <v>12</v>
      </c>
      <c r="H22" s="4" t="s">
        <v>6</v>
      </c>
      <c r="I22" s="4">
        <v>5</v>
      </c>
      <c r="J22" s="4"/>
      <c r="K22" s="4" t="s">
        <v>96</v>
      </c>
      <c r="L22" s="4">
        <v>14</v>
      </c>
      <c r="O22" s="4" t="s">
        <v>244</v>
      </c>
      <c r="P22" s="4">
        <v>3</v>
      </c>
      <c r="Q22" s="4"/>
      <c r="R22" s="4" t="s">
        <v>98</v>
      </c>
      <c r="S22" s="4">
        <v>3</v>
      </c>
    </row>
    <row r="23" spans="1:19" x14ac:dyDescent="0.25">
      <c r="A23" s="4" t="s">
        <v>51</v>
      </c>
      <c r="B23" s="4">
        <v>12</v>
      </c>
      <c r="C23" s="4"/>
      <c r="D23" s="4" t="s">
        <v>97</v>
      </c>
      <c r="E23" s="4">
        <v>7</v>
      </c>
      <c r="H23" s="4" t="s">
        <v>7</v>
      </c>
      <c r="I23" s="4">
        <v>14</v>
      </c>
      <c r="J23" s="4"/>
      <c r="K23" s="4" t="s">
        <v>97</v>
      </c>
      <c r="L23" s="4">
        <v>5</v>
      </c>
      <c r="O23" s="4" t="s">
        <v>245</v>
      </c>
      <c r="P23" s="4">
        <v>3</v>
      </c>
      <c r="Q23" s="4"/>
      <c r="R23" s="4" t="s">
        <v>97</v>
      </c>
      <c r="S23" s="4">
        <v>0</v>
      </c>
    </row>
    <row r="24" spans="1:19" x14ac:dyDescent="0.25">
      <c r="A24" s="4" t="s">
        <v>52</v>
      </c>
      <c r="B24" s="4">
        <v>5</v>
      </c>
      <c r="C24" s="4"/>
      <c r="D24" s="4" t="s">
        <v>98</v>
      </c>
      <c r="E24" s="4">
        <v>5</v>
      </c>
      <c r="H24" s="4" t="s">
        <v>8</v>
      </c>
      <c r="I24" s="4">
        <v>3</v>
      </c>
      <c r="J24" s="4"/>
      <c r="K24" s="4" t="s">
        <v>98</v>
      </c>
      <c r="L24" s="4">
        <v>3</v>
      </c>
      <c r="O24" s="4" t="s">
        <v>246</v>
      </c>
      <c r="P24" s="4">
        <v>2</v>
      </c>
      <c r="Q24" s="4"/>
      <c r="R24" s="4" t="s">
        <v>75</v>
      </c>
      <c r="S24" s="4">
        <v>2</v>
      </c>
    </row>
    <row r="25" spans="1:19" x14ac:dyDescent="0.25">
      <c r="A25" s="4" t="s">
        <v>53</v>
      </c>
      <c r="B25" s="4">
        <v>6</v>
      </c>
      <c r="C25" s="4"/>
      <c r="D25" s="4" t="s">
        <v>75</v>
      </c>
      <c r="E25" s="4">
        <v>7</v>
      </c>
      <c r="H25" s="4" t="s">
        <v>9</v>
      </c>
      <c r="I25" s="4">
        <v>1</v>
      </c>
      <c r="J25" s="4"/>
      <c r="K25" s="4" t="s">
        <v>75</v>
      </c>
      <c r="L25" s="4">
        <v>5</v>
      </c>
      <c r="O25" s="3"/>
      <c r="P25" s="2">
        <f>SUM(P21:P24)</f>
        <v>15</v>
      </c>
      <c r="Q25" s="4"/>
      <c r="R25" s="4"/>
      <c r="S25" s="4"/>
    </row>
    <row r="26" spans="1:19" x14ac:dyDescent="0.25">
      <c r="A26" s="4" t="s">
        <v>54</v>
      </c>
      <c r="B26" s="4">
        <v>1</v>
      </c>
      <c r="C26" s="4"/>
      <c r="D26" s="4"/>
      <c r="E26" s="4"/>
      <c r="H26" s="4" t="s">
        <v>10</v>
      </c>
      <c r="I26" s="4">
        <v>2</v>
      </c>
      <c r="J26" s="4"/>
      <c r="K26" s="4"/>
      <c r="L26" s="4"/>
      <c r="O26" s="4"/>
      <c r="Q26" s="4"/>
      <c r="R26" s="2" t="s">
        <v>102</v>
      </c>
      <c r="S26" s="2">
        <f>1+((7-0)*2/(2*7-0-3))</f>
        <v>2.2727272727272725</v>
      </c>
    </row>
    <row r="27" spans="1:19" x14ac:dyDescent="0.25">
      <c r="A27" s="4" t="s">
        <v>55</v>
      </c>
      <c r="B27" s="4">
        <v>0</v>
      </c>
      <c r="C27" s="4"/>
      <c r="D27" s="2" t="s">
        <v>102</v>
      </c>
      <c r="E27" s="2">
        <f>27+((12-7)*7/(2*12-7-5))</f>
        <v>29.916666666666668</v>
      </c>
      <c r="H27" s="4" t="s">
        <v>11</v>
      </c>
      <c r="I27" s="4">
        <v>2</v>
      </c>
      <c r="J27" s="4"/>
      <c r="K27" s="2" t="s">
        <v>99</v>
      </c>
      <c r="L27" s="2">
        <f>41+((14-5)*5/(2*14-5-3))</f>
        <v>43.25</v>
      </c>
      <c r="O27" s="4"/>
      <c r="P27" s="4"/>
      <c r="Q27" s="4"/>
      <c r="R27" s="3"/>
      <c r="S27" s="3"/>
    </row>
    <row r="28" spans="1:19" x14ac:dyDescent="0.25">
      <c r="A28" s="4" t="s">
        <v>56</v>
      </c>
      <c r="B28" s="4">
        <v>2</v>
      </c>
      <c r="C28" s="4"/>
      <c r="D28" s="4"/>
      <c r="E28" s="4"/>
      <c r="H28" s="4" t="s">
        <v>12</v>
      </c>
      <c r="I28" s="4">
        <v>1</v>
      </c>
      <c r="J28" s="4"/>
      <c r="K28" s="4"/>
      <c r="L28" s="4"/>
      <c r="O28" s="3"/>
      <c r="P28" s="3"/>
      <c r="Q28" s="3"/>
      <c r="R28" s="3"/>
      <c r="S28" s="3"/>
    </row>
    <row r="29" spans="1:19" x14ac:dyDescent="0.25">
      <c r="A29" s="4"/>
      <c r="B29" s="2">
        <f>SUM(B21:B28)</f>
        <v>35</v>
      </c>
      <c r="C29" s="4"/>
      <c r="D29" s="4"/>
      <c r="E29" s="4"/>
      <c r="H29" s="4" t="s">
        <v>13</v>
      </c>
      <c r="I29" s="4">
        <v>1</v>
      </c>
      <c r="J29" s="4"/>
      <c r="K29" s="4"/>
      <c r="L29" s="4"/>
    </row>
    <row r="30" spans="1:19" x14ac:dyDescent="0.25">
      <c r="H30" s="4"/>
      <c r="I30" s="2">
        <f>SUM(I21:I29)</f>
        <v>38</v>
      </c>
      <c r="J30" s="4"/>
      <c r="K30" s="4"/>
      <c r="L30" s="4"/>
    </row>
    <row r="34" spans="1:19" x14ac:dyDescent="0.25">
      <c r="A34" s="14" t="s">
        <v>37</v>
      </c>
      <c r="B34" s="24"/>
      <c r="C34" s="24"/>
      <c r="D34" s="24"/>
      <c r="E34" s="24"/>
      <c r="G34" s="14" t="s">
        <v>39</v>
      </c>
      <c r="H34" s="24"/>
      <c r="I34" s="24"/>
      <c r="J34" s="24"/>
      <c r="K34" s="24"/>
    </row>
    <row r="35" spans="1:19" x14ac:dyDescent="0.25">
      <c r="A35" s="24"/>
      <c r="B35" s="24"/>
      <c r="C35" s="24"/>
      <c r="D35" s="24"/>
      <c r="E35" s="24"/>
      <c r="G35" s="24"/>
      <c r="H35" s="24"/>
      <c r="I35" s="24"/>
      <c r="J35" s="24"/>
      <c r="K35" s="24"/>
      <c r="M35" s="14" t="s">
        <v>47</v>
      </c>
      <c r="N35" s="24"/>
      <c r="O35" s="24"/>
      <c r="P35" s="24"/>
      <c r="Q35" s="24"/>
    </row>
    <row r="36" spans="1:19" x14ac:dyDescent="0.25">
      <c r="A36" s="2" t="s">
        <v>1</v>
      </c>
      <c r="B36" s="2" t="s">
        <v>2</v>
      </c>
      <c r="C36" s="4"/>
      <c r="D36" s="4"/>
      <c r="E36" s="4"/>
      <c r="G36" s="2" t="s">
        <v>1</v>
      </c>
      <c r="H36" s="2" t="s">
        <v>2</v>
      </c>
      <c r="I36" s="4"/>
      <c r="J36" s="4"/>
      <c r="K36" s="4"/>
      <c r="M36" s="24"/>
      <c r="N36" s="24"/>
      <c r="O36" s="24"/>
      <c r="P36" s="24"/>
      <c r="Q36" s="24"/>
    </row>
    <row r="37" spans="1:19" x14ac:dyDescent="0.25">
      <c r="A37" s="23" t="s">
        <v>28</v>
      </c>
      <c r="B37" s="23">
        <v>1</v>
      </c>
      <c r="C37" s="23"/>
      <c r="D37" s="23" t="s">
        <v>73</v>
      </c>
      <c r="E37" s="23">
        <v>15</v>
      </c>
      <c r="G37" s="23" t="s">
        <v>71</v>
      </c>
      <c r="H37" s="23">
        <v>30</v>
      </c>
      <c r="I37" s="23"/>
      <c r="J37" s="23" t="s">
        <v>73</v>
      </c>
      <c r="K37" s="23">
        <v>20</v>
      </c>
      <c r="M37" s="2" t="s">
        <v>58</v>
      </c>
      <c r="N37" s="2" t="s">
        <v>2</v>
      </c>
      <c r="O37" s="4"/>
      <c r="P37" s="4"/>
      <c r="Q37" s="4"/>
    </row>
    <row r="38" spans="1:19" x14ac:dyDescent="0.25">
      <c r="A38" s="4" t="s">
        <v>29</v>
      </c>
      <c r="B38" s="4">
        <v>4</v>
      </c>
      <c r="C38" s="4"/>
      <c r="D38" s="4" t="s">
        <v>96</v>
      </c>
      <c r="E38" s="4">
        <v>6</v>
      </c>
      <c r="G38" s="4" t="s">
        <v>35</v>
      </c>
      <c r="H38" s="4">
        <v>27</v>
      </c>
      <c r="I38" s="4"/>
      <c r="J38" s="4" t="s">
        <v>96</v>
      </c>
      <c r="K38" s="4">
        <v>27</v>
      </c>
      <c r="M38" s="4" t="s">
        <v>138</v>
      </c>
      <c r="N38" s="4">
        <v>2</v>
      </c>
      <c r="O38" s="4"/>
      <c r="P38" s="4" t="s">
        <v>73</v>
      </c>
      <c r="Q38" s="4">
        <v>8</v>
      </c>
    </row>
    <row r="39" spans="1:19" x14ac:dyDescent="0.25">
      <c r="A39" s="4" t="s">
        <v>81</v>
      </c>
      <c r="B39" s="4">
        <v>6</v>
      </c>
      <c r="C39" s="4"/>
      <c r="D39" s="4" t="s">
        <v>97</v>
      </c>
      <c r="E39" s="4">
        <v>4</v>
      </c>
      <c r="G39" s="4" t="s">
        <v>36</v>
      </c>
      <c r="H39" s="4">
        <v>14</v>
      </c>
      <c r="I39" s="4"/>
      <c r="J39" s="4" t="s">
        <v>97</v>
      </c>
      <c r="K39" s="4">
        <v>30</v>
      </c>
      <c r="M39" s="4" t="s">
        <v>139</v>
      </c>
      <c r="N39" s="4">
        <v>3</v>
      </c>
      <c r="O39" s="4"/>
      <c r="P39" s="4" t="s">
        <v>96</v>
      </c>
      <c r="Q39" s="4">
        <v>8</v>
      </c>
    </row>
    <row r="40" spans="1:19" x14ac:dyDescent="0.25">
      <c r="A40" s="4" t="s">
        <v>30</v>
      </c>
      <c r="B40" s="4">
        <v>4</v>
      </c>
      <c r="C40" s="4"/>
      <c r="D40" s="4" t="s">
        <v>98</v>
      </c>
      <c r="E40" s="4">
        <v>4</v>
      </c>
      <c r="G40" s="4" t="s">
        <v>84</v>
      </c>
      <c r="H40" s="4">
        <v>19</v>
      </c>
      <c r="I40" s="4"/>
      <c r="J40" s="4" t="s">
        <v>98</v>
      </c>
      <c r="K40" s="4">
        <v>14</v>
      </c>
      <c r="M40" s="4" t="s">
        <v>140</v>
      </c>
      <c r="N40" s="4">
        <v>8</v>
      </c>
      <c r="O40" s="4"/>
      <c r="P40" s="4" t="s">
        <v>97</v>
      </c>
      <c r="Q40" s="4">
        <v>3</v>
      </c>
    </row>
    <row r="41" spans="1:19" x14ac:dyDescent="0.25">
      <c r="A41" s="4" t="s">
        <v>31</v>
      </c>
      <c r="B41" s="4">
        <v>2</v>
      </c>
      <c r="C41" s="4"/>
      <c r="D41" s="4" t="s">
        <v>75</v>
      </c>
      <c r="E41" s="4">
        <v>6</v>
      </c>
      <c r="G41" s="4" t="s">
        <v>85</v>
      </c>
      <c r="H41" s="4">
        <v>2</v>
      </c>
      <c r="I41" s="4"/>
      <c r="J41" s="4" t="s">
        <v>75</v>
      </c>
      <c r="K41" s="4">
        <v>11</v>
      </c>
      <c r="M41" s="4" t="s">
        <v>141</v>
      </c>
      <c r="N41" s="4">
        <v>3</v>
      </c>
      <c r="O41" s="4"/>
      <c r="P41" s="4" t="s">
        <v>98</v>
      </c>
      <c r="Q41" s="4">
        <v>3</v>
      </c>
    </row>
    <row r="42" spans="1:19" x14ac:dyDescent="0.25">
      <c r="A42" s="4" t="s">
        <v>32</v>
      </c>
      <c r="B42" s="4">
        <v>3</v>
      </c>
      <c r="C42" s="4"/>
      <c r="D42" s="4"/>
      <c r="E42" s="4"/>
      <c r="G42" s="4"/>
      <c r="H42" s="2">
        <f>SUM(H37:H41)</f>
        <v>92</v>
      </c>
      <c r="I42" s="4"/>
      <c r="J42" s="4"/>
      <c r="K42" s="4"/>
      <c r="M42" s="4" t="s">
        <v>142</v>
      </c>
      <c r="N42" s="4">
        <v>2</v>
      </c>
      <c r="O42" s="4"/>
      <c r="P42" s="4" t="s">
        <v>75</v>
      </c>
      <c r="Q42" s="4">
        <v>4</v>
      </c>
    </row>
    <row r="43" spans="1:19" x14ac:dyDescent="0.25">
      <c r="A43" s="4"/>
      <c r="B43" s="2">
        <f>SUM(B37:B42)</f>
        <v>20</v>
      </c>
      <c r="C43" s="4"/>
      <c r="D43" s="2" t="s">
        <v>99</v>
      </c>
      <c r="E43" s="2">
        <f>15+((6-4)*6/(2*6-4-4))</f>
        <v>18</v>
      </c>
      <c r="G43" s="4"/>
      <c r="H43" s="4"/>
      <c r="I43" s="4"/>
      <c r="J43" s="2" t="s">
        <v>99</v>
      </c>
      <c r="K43" s="2">
        <f>20+((27-30)*11/(2*27-30-14))</f>
        <v>16.7</v>
      </c>
      <c r="M43" s="4"/>
      <c r="N43" s="2">
        <f>SUM(N38:N42)</f>
        <v>18</v>
      </c>
      <c r="O43" s="4"/>
      <c r="P43" s="4"/>
      <c r="Q43" s="4"/>
    </row>
    <row r="44" spans="1:19" x14ac:dyDescent="0.25">
      <c r="A44" s="3"/>
      <c r="B44" s="3"/>
      <c r="C44" s="3"/>
      <c r="D44" s="3"/>
      <c r="E44" s="3"/>
      <c r="M44" s="4"/>
      <c r="N44" s="4"/>
      <c r="O44" s="4"/>
      <c r="P44" s="4"/>
      <c r="Q44" s="4"/>
    </row>
    <row r="45" spans="1:19" x14ac:dyDescent="0.25">
      <c r="M45" s="4"/>
      <c r="N45" s="4"/>
      <c r="O45" s="2" t="s">
        <v>99</v>
      </c>
      <c r="P45" s="2">
        <f>(8+((8-3)*4/(2*8-3-3)))</f>
        <v>10</v>
      </c>
      <c r="Q45" s="4"/>
    </row>
    <row r="47" spans="1:19" x14ac:dyDescent="0.25">
      <c r="A47" s="14" t="s">
        <v>57</v>
      </c>
      <c r="H47" s="14" t="s">
        <v>137</v>
      </c>
      <c r="I47" s="24"/>
      <c r="J47" s="24"/>
      <c r="K47" s="24"/>
      <c r="L47" s="24"/>
    </row>
    <row r="48" spans="1:19" x14ac:dyDescent="0.25">
      <c r="B48" s="24"/>
      <c r="C48" s="24"/>
      <c r="D48" s="24"/>
      <c r="E48" s="24"/>
      <c r="H48" s="24"/>
      <c r="I48" s="24"/>
      <c r="J48" s="24"/>
      <c r="K48" s="24"/>
      <c r="L48" s="24"/>
      <c r="O48" s="14" t="s">
        <v>147</v>
      </c>
      <c r="P48" s="24"/>
      <c r="Q48" s="24"/>
      <c r="R48" s="24"/>
      <c r="S48" s="24"/>
    </row>
    <row r="49" spans="1:19" x14ac:dyDescent="0.25">
      <c r="A49" s="2" t="s">
        <v>1</v>
      </c>
      <c r="B49" s="2" t="s">
        <v>2</v>
      </c>
      <c r="C49" s="4"/>
      <c r="D49" s="4" t="s">
        <v>96</v>
      </c>
      <c r="E49" s="4">
        <v>20</v>
      </c>
      <c r="H49" s="2" t="s">
        <v>1</v>
      </c>
      <c r="I49" s="2" t="s">
        <v>2</v>
      </c>
      <c r="J49" s="4"/>
      <c r="K49" s="4" t="s">
        <v>96</v>
      </c>
      <c r="L49" s="4">
        <v>22</v>
      </c>
      <c r="O49" s="24"/>
      <c r="P49" s="24"/>
      <c r="Q49" s="24"/>
      <c r="R49" s="24"/>
      <c r="S49" s="24"/>
    </row>
    <row r="50" spans="1:19" x14ac:dyDescent="0.25">
      <c r="A50" s="4" t="s">
        <v>71</v>
      </c>
      <c r="B50" s="4">
        <v>3</v>
      </c>
      <c r="C50" s="4"/>
      <c r="D50" s="4" t="s">
        <v>97</v>
      </c>
      <c r="E50" s="4">
        <v>12</v>
      </c>
      <c r="H50" s="4" t="s">
        <v>158</v>
      </c>
      <c r="I50" s="4">
        <v>4</v>
      </c>
      <c r="J50" s="4"/>
      <c r="K50" s="4" t="s">
        <v>97</v>
      </c>
      <c r="L50" s="4">
        <v>14</v>
      </c>
      <c r="O50" s="2" t="s">
        <v>1</v>
      </c>
      <c r="P50" s="2" t="s">
        <v>2</v>
      </c>
      <c r="Q50" s="4"/>
      <c r="R50" s="4"/>
      <c r="S50" s="4"/>
    </row>
    <row r="51" spans="1:19" x14ac:dyDescent="0.25">
      <c r="A51" s="4" t="s">
        <v>35</v>
      </c>
      <c r="B51" s="4">
        <v>9</v>
      </c>
      <c r="C51" s="4"/>
      <c r="D51" s="4" t="s">
        <v>98</v>
      </c>
      <c r="E51" s="4">
        <v>6</v>
      </c>
      <c r="H51" s="4" t="s">
        <v>159</v>
      </c>
      <c r="I51" s="4">
        <v>14</v>
      </c>
      <c r="J51" s="4"/>
      <c r="K51" s="4" t="s">
        <v>98</v>
      </c>
      <c r="L51" s="4">
        <v>16</v>
      </c>
      <c r="O51" s="4" t="s">
        <v>166</v>
      </c>
      <c r="P51" s="4">
        <v>20</v>
      </c>
      <c r="Q51" s="4"/>
      <c r="R51" s="4" t="s">
        <v>96</v>
      </c>
      <c r="S51" s="4">
        <v>40</v>
      </c>
    </row>
    <row r="52" spans="1:19" x14ac:dyDescent="0.25">
      <c r="A52" s="4" t="s">
        <v>36</v>
      </c>
      <c r="B52" s="4">
        <v>12</v>
      </c>
      <c r="C52" s="4"/>
      <c r="D52" s="4" t="s">
        <v>75</v>
      </c>
      <c r="E52" s="4">
        <v>11</v>
      </c>
      <c r="H52" s="4" t="s">
        <v>160</v>
      </c>
      <c r="I52" s="4">
        <v>22</v>
      </c>
      <c r="J52" s="4"/>
      <c r="K52" s="4" t="s">
        <v>75</v>
      </c>
      <c r="L52" s="4">
        <v>5</v>
      </c>
      <c r="O52" s="4" t="s">
        <v>71</v>
      </c>
      <c r="P52" s="4">
        <v>24</v>
      </c>
      <c r="Q52" s="4"/>
      <c r="R52" s="4" t="s">
        <v>97</v>
      </c>
      <c r="S52" s="4">
        <v>24</v>
      </c>
    </row>
    <row r="53" spans="1:19" x14ac:dyDescent="0.25">
      <c r="A53" s="4" t="s">
        <v>72</v>
      </c>
      <c r="B53" s="4">
        <v>20</v>
      </c>
      <c r="C53" s="4"/>
      <c r="D53" s="4" t="s">
        <v>73</v>
      </c>
      <c r="E53" s="4">
        <v>40</v>
      </c>
      <c r="H53" s="4" t="s">
        <v>161</v>
      </c>
      <c r="I53" s="4">
        <v>16</v>
      </c>
      <c r="J53" s="4"/>
      <c r="K53" s="4" t="s">
        <v>73</v>
      </c>
      <c r="L53" s="4">
        <v>35</v>
      </c>
      <c r="O53" s="4" t="s">
        <v>35</v>
      </c>
      <c r="P53" s="4">
        <v>40</v>
      </c>
      <c r="Q53" s="4"/>
      <c r="R53" s="4" t="s">
        <v>98</v>
      </c>
      <c r="S53" s="4">
        <v>36</v>
      </c>
    </row>
    <row r="54" spans="1:19" x14ac:dyDescent="0.25">
      <c r="A54" s="4" t="s">
        <v>134</v>
      </c>
      <c r="B54" s="4">
        <v>6</v>
      </c>
      <c r="C54" s="4"/>
      <c r="D54" s="4"/>
      <c r="E54" s="4"/>
      <c r="H54" s="4" t="s">
        <v>162</v>
      </c>
      <c r="I54" s="4">
        <v>6</v>
      </c>
      <c r="J54" s="4"/>
      <c r="K54" s="4"/>
      <c r="L54" s="4"/>
      <c r="O54" s="4" t="s">
        <v>36</v>
      </c>
      <c r="P54" s="4">
        <v>36</v>
      </c>
      <c r="Q54" s="4"/>
      <c r="R54" s="4" t="s">
        <v>75</v>
      </c>
      <c r="S54" s="4">
        <v>11</v>
      </c>
    </row>
    <row r="55" spans="1:19" x14ac:dyDescent="0.25">
      <c r="A55" s="4"/>
      <c r="B55" s="2">
        <f>SUM(B50:B54)</f>
        <v>50</v>
      </c>
      <c r="C55" s="4"/>
      <c r="D55" s="2" t="s">
        <v>99</v>
      </c>
      <c r="E55" s="2">
        <f>(40+(20-12)*11/(2*20-12-6))</f>
        <v>44</v>
      </c>
      <c r="H55" s="4" t="s">
        <v>163</v>
      </c>
      <c r="I55" s="4">
        <v>5</v>
      </c>
      <c r="J55" s="4"/>
      <c r="K55" s="2" t="s">
        <v>102</v>
      </c>
      <c r="L55" s="2">
        <f>35+((22-14)*5/(2*22-14-16))</f>
        <v>37.857142857142854</v>
      </c>
      <c r="O55" s="4" t="s">
        <v>72</v>
      </c>
      <c r="P55" s="4">
        <v>20</v>
      </c>
      <c r="Q55" s="4"/>
      <c r="R55" s="4" t="s">
        <v>167</v>
      </c>
      <c r="S55" s="4">
        <v>20</v>
      </c>
    </row>
    <row r="56" spans="1:19" x14ac:dyDescent="0.25">
      <c r="H56" s="4" t="s">
        <v>164</v>
      </c>
      <c r="I56" s="4">
        <v>3</v>
      </c>
      <c r="J56" s="4"/>
      <c r="K56" s="4"/>
      <c r="L56" s="4"/>
      <c r="O56" s="4"/>
      <c r="P56" s="2">
        <f>SUM(P51:P55)</f>
        <v>140</v>
      </c>
      <c r="Q56" s="4"/>
      <c r="R56" s="4"/>
      <c r="S56" s="4"/>
    </row>
    <row r="57" spans="1:19" x14ac:dyDescent="0.25">
      <c r="H57" s="4"/>
      <c r="I57" s="2">
        <f>SUM(I50:I56)</f>
        <v>70</v>
      </c>
      <c r="J57" s="4"/>
      <c r="K57" s="4"/>
      <c r="L57" s="4"/>
      <c r="O57" s="4"/>
      <c r="P57" s="4"/>
      <c r="Q57" s="4"/>
      <c r="R57" s="4"/>
      <c r="S57" s="4"/>
    </row>
    <row r="58" spans="1:19" x14ac:dyDescent="0.25">
      <c r="O58" s="4"/>
      <c r="P58" s="4"/>
      <c r="Q58" s="2" t="s">
        <v>99</v>
      </c>
      <c r="R58" s="2">
        <f>20+((40-24)*11/(2*40-24-36))</f>
        <v>28.8</v>
      </c>
      <c r="S58" s="4"/>
    </row>
    <row r="61" spans="1:19" x14ac:dyDescent="0.25">
      <c r="A61" s="14" t="s">
        <v>152</v>
      </c>
      <c r="B61" s="24"/>
      <c r="C61" s="24"/>
      <c r="D61" s="24"/>
      <c r="E61" s="24"/>
      <c r="H61" s="14" t="s">
        <v>153</v>
      </c>
      <c r="O61" s="14" t="s">
        <v>154</v>
      </c>
    </row>
    <row r="62" spans="1:19" x14ac:dyDescent="0.25">
      <c r="A62" s="24"/>
      <c r="B62" s="24"/>
      <c r="C62" s="24"/>
      <c r="D62" s="24"/>
      <c r="E62" s="24"/>
      <c r="P62" s="24"/>
      <c r="Q62" s="24"/>
      <c r="R62" s="24"/>
      <c r="S62" s="24"/>
    </row>
    <row r="63" spans="1:19" x14ac:dyDescent="0.25">
      <c r="A63" s="2" t="s">
        <v>1</v>
      </c>
      <c r="B63" s="2" t="s">
        <v>2</v>
      </c>
      <c r="C63" s="4"/>
      <c r="D63" s="4"/>
      <c r="E63" s="4"/>
      <c r="H63" s="2" t="s">
        <v>1</v>
      </c>
      <c r="I63" s="2" t="s">
        <v>2</v>
      </c>
      <c r="J63" s="4"/>
      <c r="K63" s="4" t="s">
        <v>96</v>
      </c>
      <c r="L63" s="4">
        <v>15</v>
      </c>
      <c r="O63" s="24"/>
      <c r="P63" s="24"/>
      <c r="Q63" s="24"/>
      <c r="R63" s="24"/>
      <c r="S63" s="24"/>
    </row>
    <row r="64" spans="1:19" x14ac:dyDescent="0.25">
      <c r="A64" s="4" t="s">
        <v>169</v>
      </c>
      <c r="B64" s="4">
        <v>8</v>
      </c>
      <c r="C64" s="4"/>
      <c r="D64" s="4" t="s">
        <v>96</v>
      </c>
      <c r="E64" s="4">
        <v>23</v>
      </c>
      <c r="H64" s="4" t="s">
        <v>176</v>
      </c>
      <c r="I64" s="4">
        <v>6</v>
      </c>
      <c r="J64" s="4"/>
      <c r="K64" s="4" t="s">
        <v>97</v>
      </c>
      <c r="L64" s="4">
        <v>9</v>
      </c>
      <c r="O64" s="2" t="s">
        <v>1</v>
      </c>
      <c r="P64" s="2" t="s">
        <v>2</v>
      </c>
      <c r="Q64" s="4"/>
      <c r="R64" s="4"/>
      <c r="S64" s="4"/>
    </row>
    <row r="65" spans="1:19" x14ac:dyDescent="0.25">
      <c r="A65" s="4" t="s">
        <v>170</v>
      </c>
      <c r="B65" s="4">
        <v>10</v>
      </c>
      <c r="C65" s="4"/>
      <c r="D65" s="4" t="s">
        <v>97</v>
      </c>
      <c r="E65" s="4">
        <v>16</v>
      </c>
      <c r="H65" s="4" t="s">
        <v>177</v>
      </c>
      <c r="I65" s="4">
        <v>9</v>
      </c>
      <c r="J65" s="4"/>
      <c r="K65" s="4" t="s">
        <v>98</v>
      </c>
      <c r="L65" s="4">
        <v>12</v>
      </c>
      <c r="O65" s="4" t="s">
        <v>182</v>
      </c>
      <c r="P65" s="4">
        <v>6</v>
      </c>
      <c r="Q65" s="4"/>
      <c r="R65" s="4" t="s">
        <v>96</v>
      </c>
      <c r="S65" s="4">
        <v>12</v>
      </c>
    </row>
    <row r="66" spans="1:19" x14ac:dyDescent="0.25">
      <c r="A66" s="4" t="s">
        <v>171</v>
      </c>
      <c r="B66" s="4">
        <v>16</v>
      </c>
      <c r="C66" s="4"/>
      <c r="D66" s="4" t="s">
        <v>98</v>
      </c>
      <c r="E66" s="4">
        <v>12</v>
      </c>
      <c r="H66" s="4" t="s">
        <v>178</v>
      </c>
      <c r="I66" s="4">
        <v>15</v>
      </c>
      <c r="J66" s="4"/>
      <c r="K66" s="4" t="s">
        <v>75</v>
      </c>
      <c r="L66" s="4">
        <v>111</v>
      </c>
      <c r="O66" s="4" t="s">
        <v>183</v>
      </c>
      <c r="P66" s="4">
        <v>10</v>
      </c>
      <c r="Q66" s="4"/>
      <c r="R66" s="4" t="s">
        <v>97</v>
      </c>
      <c r="S66" s="4">
        <v>8</v>
      </c>
    </row>
    <row r="67" spans="1:19" x14ac:dyDescent="0.25">
      <c r="A67" s="4" t="s">
        <v>172</v>
      </c>
      <c r="B67" s="4">
        <v>23</v>
      </c>
      <c r="C67" s="4"/>
      <c r="D67" s="4" t="s">
        <v>75</v>
      </c>
      <c r="E67" s="4">
        <v>7</v>
      </c>
      <c r="H67" s="4" t="s">
        <v>179</v>
      </c>
      <c r="I67" s="4">
        <v>12</v>
      </c>
      <c r="J67" s="4"/>
      <c r="K67" s="4" t="s">
        <v>167</v>
      </c>
      <c r="L67" s="4">
        <v>200</v>
      </c>
      <c r="O67" s="4" t="s">
        <v>184</v>
      </c>
      <c r="P67" s="4">
        <v>8</v>
      </c>
      <c r="Q67" s="4"/>
      <c r="R67" s="4" t="s">
        <v>98</v>
      </c>
      <c r="S67" s="4">
        <v>4</v>
      </c>
    </row>
    <row r="68" spans="1:19" x14ac:dyDescent="0.25">
      <c r="A68" s="4" t="s">
        <v>173</v>
      </c>
      <c r="B68" s="4">
        <v>12</v>
      </c>
      <c r="C68" s="4"/>
      <c r="D68" s="4" t="s">
        <v>167</v>
      </c>
      <c r="E68" s="4">
        <v>102</v>
      </c>
      <c r="H68" s="4" t="s">
        <v>180</v>
      </c>
      <c r="I68" s="4">
        <v>8</v>
      </c>
      <c r="J68" s="4"/>
      <c r="K68" s="4"/>
      <c r="L68" s="4"/>
      <c r="O68" s="4" t="s">
        <v>185</v>
      </c>
      <c r="P68" s="4">
        <v>12</v>
      </c>
      <c r="Q68" s="4"/>
      <c r="R68" s="4" t="s">
        <v>75</v>
      </c>
      <c r="S68" s="4">
        <v>11</v>
      </c>
    </row>
    <row r="69" spans="1:19" x14ac:dyDescent="0.25">
      <c r="A69" s="4" t="s">
        <v>174</v>
      </c>
      <c r="B69" s="4">
        <v>11</v>
      </c>
      <c r="C69" s="4"/>
      <c r="D69" s="4"/>
      <c r="E69" s="4"/>
      <c r="H69" s="4"/>
      <c r="I69" s="4">
        <f>SUM(I64:I68)</f>
        <v>50</v>
      </c>
      <c r="J69" s="4"/>
      <c r="K69" s="2" t="s">
        <v>99</v>
      </c>
      <c r="L69" s="2">
        <f>200+(15-9)*111/(2*15-9-12)</f>
        <v>274</v>
      </c>
      <c r="O69" s="4" t="s">
        <v>186</v>
      </c>
      <c r="P69" s="4">
        <v>4</v>
      </c>
      <c r="Q69" s="4"/>
      <c r="R69" s="4" t="s">
        <v>167</v>
      </c>
      <c r="S69" s="4">
        <v>55</v>
      </c>
    </row>
    <row r="70" spans="1:19" x14ac:dyDescent="0.25">
      <c r="A70" s="4"/>
      <c r="B70" s="2">
        <f>SUM(B64:B69)</f>
        <v>80</v>
      </c>
      <c r="C70" s="4"/>
      <c r="D70" s="4"/>
      <c r="E70" s="4"/>
      <c r="O70" s="4"/>
      <c r="P70" s="4">
        <f>SUM(P65:P69)</f>
        <v>40</v>
      </c>
      <c r="Q70" s="4"/>
      <c r="R70" s="4"/>
      <c r="S70" s="4"/>
    </row>
    <row r="71" spans="1:19" x14ac:dyDescent="0.25">
      <c r="A71" s="4"/>
      <c r="B71" s="4"/>
      <c r="C71" s="4"/>
      <c r="D71" s="2" t="s">
        <v>99</v>
      </c>
      <c r="E71" s="2">
        <f>102+(23-16)*7/(2*23-16-12)</f>
        <v>104.72222222222223</v>
      </c>
      <c r="O71" s="4"/>
      <c r="P71" s="4"/>
      <c r="Q71" s="4"/>
      <c r="R71" s="4"/>
      <c r="S71" s="4"/>
    </row>
    <row r="72" spans="1:19" x14ac:dyDescent="0.25">
      <c r="O72" s="4"/>
      <c r="P72" s="4"/>
      <c r="Q72" s="2" t="s">
        <v>99</v>
      </c>
      <c r="R72" s="2">
        <f>55+(12-8)*11/(2*12-8-4)</f>
        <v>58.666666666666664</v>
      </c>
      <c r="S72" s="4"/>
    </row>
    <row r="76" spans="1:19" x14ac:dyDescent="0.25">
      <c r="A76" s="14" t="s">
        <v>156</v>
      </c>
      <c r="B76" s="8"/>
      <c r="C76" s="8"/>
      <c r="D76" s="8"/>
      <c r="E76" s="8"/>
      <c r="G76" s="14" t="s">
        <v>157</v>
      </c>
      <c r="M76" s="14" t="s">
        <v>165</v>
      </c>
    </row>
    <row r="77" spans="1:19" x14ac:dyDescent="0.25">
      <c r="A77" s="25"/>
      <c r="B77" s="8"/>
      <c r="C77" s="8"/>
      <c r="D77" s="8"/>
      <c r="E77" s="8"/>
    </row>
    <row r="78" spans="1:19" x14ac:dyDescent="0.25">
      <c r="A78" s="2" t="s">
        <v>1</v>
      </c>
      <c r="B78" s="2" t="s">
        <v>2</v>
      </c>
      <c r="C78" s="3"/>
      <c r="D78" s="3"/>
      <c r="E78" s="3"/>
      <c r="G78" s="2" t="s">
        <v>1</v>
      </c>
      <c r="H78" s="2" t="s">
        <v>2</v>
      </c>
      <c r="I78" s="3"/>
      <c r="J78" s="3"/>
      <c r="K78" s="3"/>
      <c r="M78" s="2" t="s">
        <v>58</v>
      </c>
      <c r="N78" s="2" t="s">
        <v>2</v>
      </c>
      <c r="O78" s="3"/>
      <c r="P78" s="3" t="s">
        <v>96</v>
      </c>
      <c r="Q78" s="3">
        <v>85</v>
      </c>
    </row>
    <row r="79" spans="1:19" x14ac:dyDescent="0.25">
      <c r="A79" s="3" t="s">
        <v>70</v>
      </c>
      <c r="B79" s="3">
        <v>7</v>
      </c>
      <c r="C79" s="3"/>
      <c r="D79" s="3" t="s">
        <v>96</v>
      </c>
      <c r="E79" s="3">
        <v>12</v>
      </c>
      <c r="G79" s="3" t="s">
        <v>244</v>
      </c>
      <c r="H79" s="3">
        <v>12</v>
      </c>
      <c r="I79" s="3"/>
      <c r="J79" s="3" t="s">
        <v>96</v>
      </c>
      <c r="K79" s="3">
        <v>27</v>
      </c>
      <c r="M79" s="3" t="s">
        <v>272</v>
      </c>
      <c r="N79" s="3">
        <v>5</v>
      </c>
      <c r="O79" s="3"/>
      <c r="P79" s="3" t="s">
        <v>97</v>
      </c>
      <c r="Q79" s="3">
        <v>83</v>
      </c>
    </row>
    <row r="80" spans="1:19" x14ac:dyDescent="0.25">
      <c r="A80" s="3" t="s">
        <v>71</v>
      </c>
      <c r="B80" s="3">
        <v>5</v>
      </c>
      <c r="C80" s="3"/>
      <c r="D80" s="3" t="s">
        <v>97</v>
      </c>
      <c r="E80" s="3">
        <v>6</v>
      </c>
      <c r="G80" s="3" t="s">
        <v>267</v>
      </c>
      <c r="H80" s="3">
        <v>22</v>
      </c>
      <c r="I80" s="3"/>
      <c r="J80" s="3" t="s">
        <v>97</v>
      </c>
      <c r="K80" s="3">
        <v>22</v>
      </c>
      <c r="M80" s="3" t="s">
        <v>273</v>
      </c>
      <c r="N80" s="3">
        <v>9</v>
      </c>
      <c r="O80" s="3"/>
      <c r="P80" s="3" t="s">
        <v>98</v>
      </c>
      <c r="Q80" s="3">
        <v>0</v>
      </c>
    </row>
    <row r="81" spans="1:17" x14ac:dyDescent="0.25">
      <c r="A81" s="3" t="s">
        <v>35</v>
      </c>
      <c r="B81" s="3">
        <v>6</v>
      </c>
      <c r="C81" s="3"/>
      <c r="D81" s="3" t="s">
        <v>98</v>
      </c>
      <c r="E81" s="3">
        <v>8</v>
      </c>
      <c r="G81" s="4" t="s">
        <v>268</v>
      </c>
      <c r="H81" s="4">
        <v>27</v>
      </c>
      <c r="I81" s="3"/>
      <c r="J81" s="3" t="s">
        <v>98</v>
      </c>
      <c r="K81" s="3">
        <v>19</v>
      </c>
      <c r="M81" s="3" t="s">
        <v>274</v>
      </c>
      <c r="N81" s="3">
        <v>17</v>
      </c>
      <c r="O81" s="3"/>
      <c r="P81" s="3" t="s">
        <v>75</v>
      </c>
      <c r="Q81" s="3">
        <v>9</v>
      </c>
    </row>
    <row r="82" spans="1:17" x14ac:dyDescent="0.25">
      <c r="A82" s="3" t="s">
        <v>36</v>
      </c>
      <c r="B82" s="3">
        <v>12</v>
      </c>
      <c r="C82" s="3"/>
      <c r="D82" s="3" t="s">
        <v>75</v>
      </c>
      <c r="E82" s="3">
        <v>11</v>
      </c>
      <c r="G82" s="3" t="s">
        <v>269</v>
      </c>
      <c r="H82" s="3">
        <v>19</v>
      </c>
      <c r="I82" s="3"/>
      <c r="J82" s="3" t="s">
        <v>75</v>
      </c>
      <c r="K82" s="3">
        <v>3</v>
      </c>
      <c r="M82" s="3" t="s">
        <v>275</v>
      </c>
      <c r="N82" s="3">
        <v>29</v>
      </c>
      <c r="O82" s="3"/>
      <c r="P82" s="3" t="s">
        <v>73</v>
      </c>
      <c r="Q82" s="3">
        <v>91</v>
      </c>
    </row>
    <row r="83" spans="1:17" x14ac:dyDescent="0.25">
      <c r="A83" s="3" t="s">
        <v>72</v>
      </c>
      <c r="B83" s="3">
        <v>8</v>
      </c>
      <c r="C83" s="3"/>
      <c r="D83" s="3" t="s">
        <v>167</v>
      </c>
      <c r="E83" s="3">
        <v>30</v>
      </c>
      <c r="G83" s="3"/>
      <c r="H83" s="3"/>
      <c r="I83" s="3"/>
      <c r="J83" s="3" t="s">
        <v>73</v>
      </c>
      <c r="K83" s="3">
        <v>5</v>
      </c>
      <c r="M83" s="3" t="s">
        <v>276</v>
      </c>
      <c r="N83" s="3">
        <v>45</v>
      </c>
      <c r="O83" s="3"/>
      <c r="P83" s="3"/>
      <c r="Q83" s="3"/>
    </row>
    <row r="84" spans="1:17" x14ac:dyDescent="0.25">
      <c r="A84" s="3" t="s">
        <v>134</v>
      </c>
      <c r="B84" s="3">
        <v>2</v>
      </c>
      <c r="C84" s="3"/>
      <c r="D84" s="3"/>
      <c r="E84" s="3"/>
      <c r="G84" s="3"/>
      <c r="H84" s="3"/>
      <c r="I84" s="3"/>
      <c r="J84" s="3"/>
      <c r="K84" s="3"/>
      <c r="M84" s="3" t="s">
        <v>277</v>
      </c>
      <c r="N84" s="3">
        <v>60</v>
      </c>
      <c r="O84" s="3"/>
      <c r="P84" s="2" t="s">
        <v>99</v>
      </c>
      <c r="Q84" s="2">
        <f>Q82+(Q78-Q79)*Q81/(2*Q78-Q79-Q80)</f>
        <v>91.206896551724142</v>
      </c>
    </row>
    <row r="85" spans="1:17" x14ac:dyDescent="0.25">
      <c r="A85" s="3"/>
      <c r="B85" s="3"/>
      <c r="C85" s="3"/>
      <c r="D85" s="2" t="s">
        <v>99</v>
      </c>
      <c r="E85" s="2">
        <f>30+(12-6)*11/(2*12-6-8)</f>
        <v>36.6</v>
      </c>
      <c r="G85" s="3"/>
      <c r="H85" s="3"/>
      <c r="I85" s="3"/>
      <c r="J85" s="2" t="s">
        <v>99</v>
      </c>
      <c r="K85" s="2">
        <f>K83+(K79-K80)*K82/(2*K79-K80-K81)</f>
        <v>6.1538461538461533</v>
      </c>
      <c r="M85" s="3" t="s">
        <v>278</v>
      </c>
      <c r="N85" s="3">
        <v>70</v>
      </c>
      <c r="O85" s="3"/>
      <c r="P85" s="3"/>
      <c r="Q85" s="3"/>
    </row>
    <row r="86" spans="1:17" x14ac:dyDescent="0.25">
      <c r="M86" s="3" t="s">
        <v>279</v>
      </c>
      <c r="N86" s="3">
        <v>78</v>
      </c>
      <c r="O86" s="3"/>
      <c r="P86" s="3"/>
      <c r="Q86" s="3"/>
    </row>
    <row r="87" spans="1:17" x14ac:dyDescent="0.25">
      <c r="M87" s="3" t="s">
        <v>280</v>
      </c>
      <c r="N87" s="3">
        <v>83</v>
      </c>
      <c r="O87" s="3"/>
      <c r="P87" s="3"/>
      <c r="Q87" s="3"/>
    </row>
    <row r="88" spans="1:17" x14ac:dyDescent="0.25">
      <c r="M88" s="3" t="s">
        <v>281</v>
      </c>
      <c r="N88" s="3">
        <v>85</v>
      </c>
      <c r="O88" s="3"/>
      <c r="P88" s="3"/>
      <c r="Q8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88EC-2579-4C26-BC3F-20E4F419D788}">
  <dimension ref="A1:N51"/>
  <sheetViews>
    <sheetView topLeftCell="A22" workbookViewId="0">
      <selection activeCell="A51" sqref="A51"/>
    </sheetView>
  </sheetViews>
  <sheetFormatPr defaultRowHeight="15" x14ac:dyDescent="0.25"/>
  <sheetData>
    <row r="1" spans="1:14" x14ac:dyDescent="0.25">
      <c r="A1" s="30" t="s">
        <v>0</v>
      </c>
      <c r="B1" s="8"/>
      <c r="C1" s="8"/>
      <c r="D1" s="3"/>
      <c r="E1" s="2" t="s">
        <v>103</v>
      </c>
      <c r="F1" s="2" t="s">
        <v>105</v>
      </c>
      <c r="G1" s="2" t="s">
        <v>107</v>
      </c>
      <c r="J1" s="13" t="s">
        <v>16</v>
      </c>
      <c r="K1" s="3"/>
      <c r="L1" s="2" t="s">
        <v>103</v>
      </c>
      <c r="M1" s="2" t="s">
        <v>105</v>
      </c>
      <c r="N1" s="2" t="s">
        <v>107</v>
      </c>
    </row>
    <row r="2" spans="1:14" x14ac:dyDescent="0.25">
      <c r="A2" s="3"/>
      <c r="B2" s="3"/>
      <c r="C2" s="20"/>
      <c r="D2" s="3"/>
      <c r="E2" s="3">
        <f>(12+1)*1/4</f>
        <v>3.25</v>
      </c>
      <c r="F2" s="3">
        <f>(12+1)*2/4</f>
        <v>6.5</v>
      </c>
      <c r="G2" s="3">
        <f>(12+1)*3/4</f>
        <v>9.75</v>
      </c>
      <c r="K2" s="3"/>
      <c r="L2" s="4">
        <f>(6+1)*1/4</f>
        <v>1.75</v>
      </c>
      <c r="M2" s="4">
        <f>(6+1)*2/4</f>
        <v>3.5</v>
      </c>
      <c r="N2" s="4">
        <f>(6+1)*3/4</f>
        <v>5.25</v>
      </c>
    </row>
    <row r="3" spans="1:14" x14ac:dyDescent="0.25">
      <c r="A3" s="31">
        <v>20</v>
      </c>
      <c r="B3" s="23"/>
      <c r="C3" s="23">
        <v>16</v>
      </c>
      <c r="D3" s="15"/>
      <c r="E3" s="15" t="s">
        <v>104</v>
      </c>
      <c r="F3" s="15" t="s">
        <v>106</v>
      </c>
      <c r="G3" s="15" t="s">
        <v>109</v>
      </c>
      <c r="J3" s="12">
        <v>3</v>
      </c>
      <c r="K3" s="3"/>
      <c r="L3" s="4" t="s">
        <v>112</v>
      </c>
      <c r="M3" s="4" t="s">
        <v>113</v>
      </c>
      <c r="N3" s="4" t="s">
        <v>114</v>
      </c>
    </row>
    <row r="4" spans="1:14" x14ac:dyDescent="0.25">
      <c r="A4" s="12">
        <v>32</v>
      </c>
      <c r="B4" s="4"/>
      <c r="C4" s="4">
        <v>20</v>
      </c>
      <c r="D4" s="3"/>
      <c r="E4" s="3"/>
      <c r="F4" s="3"/>
      <c r="G4" s="3"/>
      <c r="J4" s="12">
        <v>9</v>
      </c>
      <c r="K4" s="3"/>
      <c r="L4" s="4"/>
      <c r="M4" s="4"/>
      <c r="N4" s="4"/>
    </row>
    <row r="5" spans="1:14" x14ac:dyDescent="0.25">
      <c r="A5" s="12">
        <v>49</v>
      </c>
      <c r="B5" s="4"/>
      <c r="C5" s="4">
        <v>25</v>
      </c>
      <c r="D5" s="3"/>
      <c r="E5" s="2" t="s">
        <v>108</v>
      </c>
      <c r="F5" s="2"/>
      <c r="G5" s="2">
        <f>(64-25)</f>
        <v>39</v>
      </c>
      <c r="J5" s="12">
        <v>12</v>
      </c>
      <c r="K5" s="3"/>
      <c r="L5" s="2" t="s">
        <v>108</v>
      </c>
      <c r="M5" s="2"/>
      <c r="N5" s="2">
        <f>(15-9)</f>
        <v>6</v>
      </c>
    </row>
    <row r="6" spans="1:14" x14ac:dyDescent="0.25">
      <c r="A6" s="12">
        <v>61</v>
      </c>
      <c r="B6" s="4"/>
      <c r="C6" s="4">
        <v>32</v>
      </c>
      <c r="D6" s="3"/>
      <c r="E6" s="2" t="s">
        <v>110</v>
      </c>
      <c r="F6" s="2"/>
      <c r="G6" s="2">
        <f>(64-25)/2</f>
        <v>19.5</v>
      </c>
      <c r="J6" s="12">
        <v>14</v>
      </c>
      <c r="K6" s="3"/>
      <c r="L6" s="2" t="s">
        <v>110</v>
      </c>
      <c r="M6" s="2"/>
      <c r="N6" s="2">
        <f>(15-9)/2</f>
        <v>3</v>
      </c>
    </row>
    <row r="7" spans="1:14" x14ac:dyDescent="0.25">
      <c r="A7" s="12">
        <v>72</v>
      </c>
      <c r="B7" s="4"/>
      <c r="C7" s="4">
        <v>38</v>
      </c>
      <c r="J7" s="4">
        <v>15</v>
      </c>
    </row>
    <row r="8" spans="1:14" x14ac:dyDescent="0.25">
      <c r="A8" s="12">
        <v>80</v>
      </c>
      <c r="B8" s="4"/>
      <c r="C8" s="4">
        <v>45</v>
      </c>
      <c r="J8" s="4">
        <v>17</v>
      </c>
    </row>
    <row r="9" spans="1:14" x14ac:dyDescent="0.25">
      <c r="A9" s="12">
        <v>45</v>
      </c>
      <c r="B9" s="4"/>
      <c r="C9" s="4">
        <v>49</v>
      </c>
      <c r="J9" s="4" t="s">
        <v>111</v>
      </c>
    </row>
    <row r="10" spans="1:14" x14ac:dyDescent="0.25">
      <c r="A10" s="12">
        <v>38</v>
      </c>
      <c r="B10" s="4"/>
      <c r="C10" s="4">
        <v>54</v>
      </c>
    </row>
    <row r="11" spans="1:14" x14ac:dyDescent="0.25">
      <c r="A11" s="12">
        <v>25</v>
      </c>
      <c r="B11" s="4"/>
      <c r="C11" s="4">
        <v>63</v>
      </c>
    </row>
    <row r="12" spans="1:14" x14ac:dyDescent="0.25">
      <c r="A12" s="12">
        <v>54</v>
      </c>
      <c r="B12" s="4"/>
      <c r="C12" s="4">
        <v>64</v>
      </c>
    </row>
    <row r="13" spans="1:14" x14ac:dyDescent="0.25">
      <c r="A13" s="12">
        <v>64</v>
      </c>
      <c r="B13" s="4"/>
      <c r="C13" s="4">
        <v>72</v>
      </c>
    </row>
    <row r="14" spans="1:14" x14ac:dyDescent="0.25">
      <c r="A14" s="12">
        <v>16</v>
      </c>
      <c r="B14" s="4"/>
      <c r="C14" s="4">
        <v>80</v>
      </c>
    </row>
    <row r="15" spans="1:14" x14ac:dyDescent="0.25">
      <c r="A15" s="12"/>
      <c r="B15" s="4" t="s">
        <v>14</v>
      </c>
      <c r="C15" s="4">
        <v>12</v>
      </c>
    </row>
    <row r="19" spans="1:5" x14ac:dyDescent="0.25">
      <c r="A19" s="14" t="s">
        <v>23</v>
      </c>
    </row>
    <row r="20" spans="1:5" x14ac:dyDescent="0.25">
      <c r="C20" s="2" t="s">
        <v>103</v>
      </c>
      <c r="D20" s="2" t="s">
        <v>105</v>
      </c>
      <c r="E20" s="2" t="s">
        <v>107</v>
      </c>
    </row>
    <row r="21" spans="1:5" x14ac:dyDescent="0.25">
      <c r="A21" s="4">
        <v>20</v>
      </c>
      <c r="C21" s="3">
        <f>(30+1)*1/4</f>
        <v>7.75</v>
      </c>
      <c r="D21" s="3">
        <f>(30+1)*2/4</f>
        <v>15.5</v>
      </c>
      <c r="E21" s="3">
        <f>(30+1)*3/4</f>
        <v>23.25</v>
      </c>
    </row>
    <row r="22" spans="1:5" x14ac:dyDescent="0.25">
      <c r="A22" s="4">
        <v>21</v>
      </c>
      <c r="C22" s="3" t="s">
        <v>116</v>
      </c>
      <c r="D22" s="3" t="s">
        <v>117</v>
      </c>
      <c r="E22" s="3" t="s">
        <v>118</v>
      </c>
    </row>
    <row r="23" spans="1:5" x14ac:dyDescent="0.25">
      <c r="A23" s="4">
        <v>22</v>
      </c>
      <c r="C23" s="3"/>
      <c r="D23" s="3"/>
      <c r="E23" s="3"/>
    </row>
    <row r="24" spans="1:5" x14ac:dyDescent="0.25">
      <c r="A24" s="4">
        <v>23</v>
      </c>
      <c r="C24" s="3"/>
      <c r="D24" s="3"/>
      <c r="E24" s="3"/>
    </row>
    <row r="25" spans="1:5" x14ac:dyDescent="0.25">
      <c r="A25" s="4">
        <v>23</v>
      </c>
      <c r="C25" s="2" t="s">
        <v>108</v>
      </c>
      <c r="D25" s="2"/>
      <c r="E25" s="2">
        <f>(31-24)</f>
        <v>7</v>
      </c>
    </row>
    <row r="26" spans="1:5" x14ac:dyDescent="0.25">
      <c r="A26" s="4">
        <v>23</v>
      </c>
      <c r="C26" s="2" t="s">
        <v>110</v>
      </c>
      <c r="D26" s="2"/>
      <c r="E26" s="2">
        <f>(31-24)/2</f>
        <v>3.5</v>
      </c>
    </row>
    <row r="27" spans="1:5" x14ac:dyDescent="0.25">
      <c r="A27" s="4">
        <v>23</v>
      </c>
    </row>
    <row r="28" spans="1:5" x14ac:dyDescent="0.25">
      <c r="A28" s="4">
        <v>24</v>
      </c>
    </row>
    <row r="29" spans="1:5" x14ac:dyDescent="0.25">
      <c r="A29" s="4">
        <v>25</v>
      </c>
    </row>
    <row r="30" spans="1:5" x14ac:dyDescent="0.25">
      <c r="A30" s="4">
        <v>26</v>
      </c>
    </row>
    <row r="31" spans="1:5" x14ac:dyDescent="0.25">
      <c r="A31" s="4">
        <v>26</v>
      </c>
    </row>
    <row r="32" spans="1:5" x14ac:dyDescent="0.25">
      <c r="A32" s="4">
        <v>27</v>
      </c>
    </row>
    <row r="33" spans="1:1" x14ac:dyDescent="0.25">
      <c r="A33" s="4">
        <v>27</v>
      </c>
    </row>
    <row r="34" spans="1:1" x14ac:dyDescent="0.25">
      <c r="A34" s="4">
        <v>27</v>
      </c>
    </row>
    <row r="35" spans="1:1" x14ac:dyDescent="0.25">
      <c r="A35" s="4">
        <v>27</v>
      </c>
    </row>
    <row r="36" spans="1:1" x14ac:dyDescent="0.25">
      <c r="A36" s="4">
        <v>28</v>
      </c>
    </row>
    <row r="37" spans="1:1" x14ac:dyDescent="0.25">
      <c r="A37" s="4">
        <v>28</v>
      </c>
    </row>
    <row r="38" spans="1:1" x14ac:dyDescent="0.25">
      <c r="A38" s="4">
        <v>28</v>
      </c>
    </row>
    <row r="39" spans="1:1" x14ac:dyDescent="0.25">
      <c r="A39" s="4">
        <v>29</v>
      </c>
    </row>
    <row r="40" spans="1:1" x14ac:dyDescent="0.25">
      <c r="A40" s="4">
        <v>29</v>
      </c>
    </row>
    <row r="41" spans="1:1" x14ac:dyDescent="0.25">
      <c r="A41" s="4">
        <v>31</v>
      </c>
    </row>
    <row r="42" spans="1:1" x14ac:dyDescent="0.25">
      <c r="A42" s="4">
        <v>31</v>
      </c>
    </row>
    <row r="43" spans="1:1" x14ac:dyDescent="0.25">
      <c r="A43" s="4">
        <v>31</v>
      </c>
    </row>
    <row r="44" spans="1:1" x14ac:dyDescent="0.25">
      <c r="A44" s="4">
        <v>32</v>
      </c>
    </row>
    <row r="45" spans="1:1" x14ac:dyDescent="0.25">
      <c r="A45" s="4">
        <v>33</v>
      </c>
    </row>
    <row r="46" spans="1:1" x14ac:dyDescent="0.25">
      <c r="A46" s="4">
        <v>33</v>
      </c>
    </row>
    <row r="47" spans="1:1" x14ac:dyDescent="0.25">
      <c r="A47" s="4">
        <v>33</v>
      </c>
    </row>
    <row r="48" spans="1:1" x14ac:dyDescent="0.25">
      <c r="A48" s="4">
        <v>34</v>
      </c>
    </row>
    <row r="49" spans="1:1" x14ac:dyDescent="0.25">
      <c r="A49" s="4">
        <v>35</v>
      </c>
    </row>
    <row r="50" spans="1:1" x14ac:dyDescent="0.25">
      <c r="A50" s="4">
        <v>35</v>
      </c>
    </row>
    <row r="51" spans="1:1" x14ac:dyDescent="0.25">
      <c r="A51" s="2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0C82-E8E6-45BF-8CF0-F558A1AE1497}">
  <dimension ref="A1:S35"/>
  <sheetViews>
    <sheetView topLeftCell="A19" workbookViewId="0">
      <selection activeCell="N40" sqref="N40"/>
    </sheetView>
  </sheetViews>
  <sheetFormatPr defaultRowHeight="15" x14ac:dyDescent="0.25"/>
  <sheetData>
    <row r="1" spans="1:19" x14ac:dyDescent="0.25">
      <c r="A1" s="2" t="s">
        <v>119</v>
      </c>
      <c r="B1" s="2" t="s">
        <v>2</v>
      </c>
      <c r="C1" s="2" t="s">
        <v>120</v>
      </c>
      <c r="D1" s="2" t="s">
        <v>121</v>
      </c>
      <c r="E1" s="2" t="s">
        <v>122</v>
      </c>
      <c r="H1" s="14" t="s">
        <v>0</v>
      </c>
      <c r="O1" s="14" t="s">
        <v>16</v>
      </c>
    </row>
    <row r="2" spans="1:19" x14ac:dyDescent="0.25">
      <c r="A2" s="4">
        <v>24</v>
      </c>
      <c r="B2" s="4">
        <v>14</v>
      </c>
      <c r="C2" s="4">
        <f>(24*14)</f>
        <v>336</v>
      </c>
      <c r="D2" s="4">
        <f>(24-60.05479)</f>
        <v>-36.054789999999997</v>
      </c>
      <c r="E2" s="4">
        <f>(14*36.0548)</f>
        <v>504.7672</v>
      </c>
    </row>
    <row r="3" spans="1:19" x14ac:dyDescent="0.25">
      <c r="A3" s="4">
        <v>36</v>
      </c>
      <c r="B3" s="4">
        <v>28</v>
      </c>
      <c r="C3" s="4">
        <f>(36*28)</f>
        <v>1008</v>
      </c>
      <c r="D3" s="4">
        <f>(36-60.05479)</f>
        <v>-24.054789999999997</v>
      </c>
      <c r="E3" s="4">
        <f>(28*24.0548)</f>
        <v>673.53440000000001</v>
      </c>
      <c r="H3" s="2" t="s">
        <v>119</v>
      </c>
      <c r="I3" s="2" t="s">
        <v>2</v>
      </c>
      <c r="J3" s="2" t="s">
        <v>131</v>
      </c>
      <c r="K3" s="2" t="s">
        <v>121</v>
      </c>
      <c r="L3" s="2" t="s">
        <v>149</v>
      </c>
      <c r="O3" s="2" t="s">
        <v>119</v>
      </c>
      <c r="P3" s="2" t="s">
        <v>2</v>
      </c>
      <c r="Q3" s="2" t="s">
        <v>131</v>
      </c>
      <c r="R3" s="2" t="s">
        <v>121</v>
      </c>
      <c r="S3" s="2" t="s">
        <v>149</v>
      </c>
    </row>
    <row r="4" spans="1:19" x14ac:dyDescent="0.25">
      <c r="A4" s="4">
        <v>56</v>
      </c>
      <c r="B4" s="4">
        <v>42</v>
      </c>
      <c r="C4" s="4">
        <f>(56*42)</f>
        <v>2352</v>
      </c>
      <c r="D4" s="4">
        <f>(56-60.05479)</f>
        <v>-4.054789999999997</v>
      </c>
      <c r="E4" s="4">
        <f>(42*4.05479)</f>
        <v>170.30117999999999</v>
      </c>
      <c r="H4" s="4">
        <v>0</v>
      </c>
      <c r="I4" s="4">
        <v>2</v>
      </c>
      <c r="J4" s="4">
        <v>0</v>
      </c>
      <c r="K4" s="4">
        <f>(0-5.74)</f>
        <v>-5.74</v>
      </c>
      <c r="L4" s="4">
        <f>2*5.74</f>
        <v>11.48</v>
      </c>
      <c r="O4" s="4">
        <v>1</v>
      </c>
      <c r="P4" s="4">
        <v>3</v>
      </c>
      <c r="Q4" s="4">
        <v>3</v>
      </c>
      <c r="R4" s="4">
        <f>1-3.041667</f>
        <v>-2.0416669999999999</v>
      </c>
      <c r="S4" s="4">
        <f>3*2.04167</f>
        <v>6.1250099999999996</v>
      </c>
    </row>
    <row r="5" spans="1:19" x14ac:dyDescent="0.25">
      <c r="A5" s="4">
        <v>80</v>
      </c>
      <c r="B5" s="4">
        <v>34</v>
      </c>
      <c r="C5" s="4">
        <f>(80*34)</f>
        <v>2720</v>
      </c>
      <c r="D5" s="4">
        <f>(80-60.05479)</f>
        <v>19.945210000000003</v>
      </c>
      <c r="E5" s="4">
        <f>(34*19.94521)</f>
        <v>678.13713999999993</v>
      </c>
      <c r="H5" s="4">
        <v>1</v>
      </c>
      <c r="I5" s="4">
        <v>4</v>
      </c>
      <c r="J5" s="4">
        <v>4</v>
      </c>
      <c r="K5" s="4">
        <f>(1-5.74)</f>
        <v>-4.74</v>
      </c>
      <c r="L5" s="4">
        <f>4*4.74</f>
        <v>18.96</v>
      </c>
      <c r="O5" s="4">
        <v>2</v>
      </c>
      <c r="P5" s="4">
        <v>8</v>
      </c>
      <c r="Q5" s="4">
        <v>16</v>
      </c>
      <c r="R5" s="4">
        <f>2-3.041667</f>
        <v>-1.0416669999999999</v>
      </c>
      <c r="S5" s="4">
        <f>8*1.04167</f>
        <v>8.3333600000000008</v>
      </c>
    </row>
    <row r="6" spans="1:19" x14ac:dyDescent="0.25">
      <c r="A6" s="4">
        <v>84</v>
      </c>
      <c r="B6" s="4">
        <v>28</v>
      </c>
      <c r="C6" s="4">
        <f>(84*28)</f>
        <v>2352</v>
      </c>
      <c r="D6" s="4">
        <f>(84-60.05479)</f>
        <v>23.945210000000003</v>
      </c>
      <c r="E6" s="4">
        <f>(28*23.94521)</f>
        <v>670.46587999999997</v>
      </c>
      <c r="H6" s="4">
        <v>2</v>
      </c>
      <c r="I6" s="4">
        <v>7</v>
      </c>
      <c r="J6" s="4">
        <v>14</v>
      </c>
      <c r="K6" s="4">
        <f>2-5.74</f>
        <v>-3.74</v>
      </c>
      <c r="L6" s="4">
        <f>7*3.74</f>
        <v>26.18</v>
      </c>
      <c r="O6" s="4">
        <v>3</v>
      </c>
      <c r="P6" s="4">
        <v>5</v>
      </c>
      <c r="Q6" s="4">
        <v>15</v>
      </c>
      <c r="R6" s="4">
        <f>3-3.041667</f>
        <v>-4.1666999999999899E-2</v>
      </c>
      <c r="S6" s="4">
        <f>5*0.04167</f>
        <v>0.20834999999999998</v>
      </c>
    </row>
    <row r="7" spans="1:19" x14ac:dyDescent="0.25">
      <c r="A7" s="2" t="s">
        <v>123</v>
      </c>
      <c r="B7" s="2">
        <f>SUM(B2:B6)</f>
        <v>146</v>
      </c>
      <c r="C7" s="2">
        <f>SUM(C2:C6)</f>
        <v>8768</v>
      </c>
      <c r="D7" s="4"/>
      <c r="E7" s="2">
        <f>SUM(E2:E6)</f>
        <v>2697.2057999999997</v>
      </c>
      <c r="H7" s="4">
        <v>3</v>
      </c>
      <c r="I7" s="4">
        <v>4</v>
      </c>
      <c r="J7" s="4">
        <v>12</v>
      </c>
      <c r="K7" s="4">
        <f>3-5.74</f>
        <v>-2.74</v>
      </c>
      <c r="L7" s="4">
        <f>4*2.74</f>
        <v>10.96</v>
      </c>
      <c r="O7" s="4">
        <v>4</v>
      </c>
      <c r="P7" s="4">
        <v>4</v>
      </c>
      <c r="Q7" s="4">
        <v>16</v>
      </c>
      <c r="R7" s="4">
        <f>4-3.041667</f>
        <v>0.9583330000000001</v>
      </c>
      <c r="S7" s="4">
        <f>4*0.958333</f>
        <v>3.833332</v>
      </c>
    </row>
    <row r="8" spans="1:19" x14ac:dyDescent="0.25">
      <c r="A8" s="4"/>
      <c r="B8" s="4"/>
      <c r="C8" s="4"/>
      <c r="D8" s="4"/>
      <c r="E8" s="4"/>
      <c r="H8" s="4">
        <v>4</v>
      </c>
      <c r="I8" s="4">
        <v>2</v>
      </c>
      <c r="J8" s="4">
        <v>8</v>
      </c>
      <c r="K8" s="4">
        <f>4-5.74</f>
        <v>-1.7400000000000002</v>
      </c>
      <c r="L8" s="4">
        <f>2*1.74</f>
        <v>3.48</v>
      </c>
      <c r="O8" s="4">
        <v>5</v>
      </c>
      <c r="P8" s="4">
        <v>2</v>
      </c>
      <c r="Q8" s="4">
        <v>10</v>
      </c>
      <c r="R8" s="4">
        <f>5-3.041667</f>
        <v>1.9583330000000001</v>
      </c>
      <c r="S8" s="4">
        <f>2*1.958333</f>
        <v>3.9166660000000002</v>
      </c>
    </row>
    <row r="9" spans="1:19" x14ac:dyDescent="0.25">
      <c r="A9" s="4"/>
      <c r="B9" s="4"/>
      <c r="C9" s="4"/>
      <c r="D9" s="4"/>
      <c r="E9" s="4"/>
      <c r="H9" s="4">
        <v>5</v>
      </c>
      <c r="I9" s="4">
        <v>0</v>
      </c>
      <c r="J9" s="4">
        <v>0</v>
      </c>
      <c r="K9" s="4">
        <f>5-5.74</f>
        <v>-0.74000000000000021</v>
      </c>
      <c r="L9" s="4">
        <f>0*0.74</f>
        <v>0</v>
      </c>
      <c r="O9" s="4">
        <v>6</v>
      </c>
      <c r="P9" s="4">
        <v>1</v>
      </c>
      <c r="Q9" s="4">
        <v>6</v>
      </c>
      <c r="R9" s="4">
        <f>6-3.041667</f>
        <v>2.9583330000000001</v>
      </c>
      <c r="S9" s="4">
        <f>1*2.958333</f>
        <v>2.9583330000000001</v>
      </c>
    </row>
    <row r="10" spans="1:19" x14ac:dyDescent="0.25">
      <c r="A10" s="4"/>
      <c r="B10" s="4"/>
      <c r="C10" s="4"/>
      <c r="D10" s="4"/>
      <c r="E10" s="4"/>
      <c r="H10" s="4">
        <v>6</v>
      </c>
      <c r="I10" s="4">
        <v>1</v>
      </c>
      <c r="J10" s="4">
        <v>6</v>
      </c>
      <c r="K10" s="4">
        <f>6-5.74</f>
        <v>0.25999999999999979</v>
      </c>
      <c r="L10" s="4">
        <f>1*0.26</f>
        <v>0.26</v>
      </c>
      <c r="O10" s="4">
        <v>7</v>
      </c>
      <c r="P10" s="4">
        <v>1</v>
      </c>
      <c r="Q10" s="4">
        <v>7</v>
      </c>
      <c r="R10" s="4">
        <f>7-3.041667</f>
        <v>3.9583330000000001</v>
      </c>
      <c r="S10" s="4">
        <f>1*3.958333</f>
        <v>3.9583330000000001</v>
      </c>
    </row>
    <row r="11" spans="1:19" x14ac:dyDescent="0.25">
      <c r="A11" s="4"/>
      <c r="B11" s="2" t="s">
        <v>124</v>
      </c>
      <c r="C11" s="2">
        <f>(8768/146)</f>
        <v>60.054794520547944</v>
      </c>
      <c r="D11" s="4"/>
      <c r="E11" s="4"/>
      <c r="H11" s="4">
        <v>7</v>
      </c>
      <c r="I11" s="4">
        <v>8</v>
      </c>
      <c r="J11" s="4">
        <f>(7*8)</f>
        <v>56</v>
      </c>
      <c r="K11" s="4">
        <f>7-5.74</f>
        <v>1.2599999999999998</v>
      </c>
      <c r="L11" s="4">
        <f>8*1.26</f>
        <v>10.08</v>
      </c>
      <c r="O11" s="2" t="s">
        <v>123</v>
      </c>
      <c r="P11" s="2">
        <f>SUM(P4:P10)</f>
        <v>24</v>
      </c>
      <c r="Q11" s="2">
        <f>SUM(Q4:Q10)</f>
        <v>73</v>
      </c>
      <c r="R11" s="4"/>
      <c r="S11" s="2">
        <f>SUM(S4:S10)</f>
        <v>29.333383999999999</v>
      </c>
    </row>
    <row r="12" spans="1:19" x14ac:dyDescent="0.25">
      <c r="A12" s="4"/>
      <c r="B12" s="2" t="s">
        <v>125</v>
      </c>
      <c r="C12" s="2">
        <f>(2697.206/146)</f>
        <v>18.474013698630138</v>
      </c>
      <c r="D12" s="4"/>
      <c r="E12" s="4"/>
      <c r="H12" s="4">
        <v>8</v>
      </c>
      <c r="I12" s="4">
        <v>13</v>
      </c>
      <c r="J12" s="4">
        <f>(13*8)</f>
        <v>104</v>
      </c>
      <c r="K12" s="4">
        <f>8-5.74</f>
        <v>2.2599999999999998</v>
      </c>
      <c r="L12" s="4">
        <f>13*2.26</f>
        <v>29.379999999999995</v>
      </c>
      <c r="O12" s="4"/>
      <c r="P12" s="4"/>
      <c r="Q12" s="4"/>
      <c r="R12" s="4"/>
      <c r="S12" s="4"/>
    </row>
    <row r="13" spans="1:19" x14ac:dyDescent="0.25">
      <c r="H13" s="4">
        <v>9</v>
      </c>
      <c r="I13" s="4">
        <v>7</v>
      </c>
      <c r="J13" s="4">
        <f>(9*7)</f>
        <v>63</v>
      </c>
      <c r="K13" s="4">
        <f>9-5.74</f>
        <v>3.26</v>
      </c>
      <c r="L13" s="4">
        <f>7*3.26</f>
        <v>22.82</v>
      </c>
      <c r="O13" s="4"/>
      <c r="P13" s="4"/>
      <c r="Q13" s="4"/>
      <c r="R13" s="4"/>
      <c r="S13" s="4"/>
    </row>
    <row r="14" spans="1:19" x14ac:dyDescent="0.25">
      <c r="H14" s="4">
        <v>10</v>
      </c>
      <c r="I14" s="4">
        <v>2</v>
      </c>
      <c r="J14" s="4">
        <v>20</v>
      </c>
      <c r="K14" s="4">
        <f>10-5.74</f>
        <v>4.26</v>
      </c>
      <c r="L14" s="4">
        <f>2*4.26</f>
        <v>8.52</v>
      </c>
      <c r="O14" s="2" t="s">
        <v>150</v>
      </c>
      <c r="P14" s="2">
        <f>73/24</f>
        <v>3.0416666666666665</v>
      </c>
      <c r="Q14" s="4"/>
      <c r="R14" s="4"/>
      <c r="S14" s="4"/>
    </row>
    <row r="15" spans="1:19" x14ac:dyDescent="0.25">
      <c r="H15" s="4"/>
      <c r="I15" s="2">
        <f>SUM(I4:I14)</f>
        <v>50</v>
      </c>
      <c r="J15" s="2">
        <f>SUM(J4:J14)</f>
        <v>287</v>
      </c>
      <c r="K15" s="4"/>
      <c r="L15" s="2">
        <f>SUM(L4:L14)</f>
        <v>142.12000000000003</v>
      </c>
      <c r="O15" s="6" t="s">
        <v>125</v>
      </c>
      <c r="P15" s="6">
        <f>29.33338/24</f>
        <v>1.2222241666666667</v>
      </c>
      <c r="Q15" s="21"/>
      <c r="R15" s="21"/>
      <c r="S15" s="21"/>
    </row>
    <row r="16" spans="1:19" x14ac:dyDescent="0.25">
      <c r="H16" s="4"/>
      <c r="I16" s="4"/>
      <c r="J16" s="4"/>
      <c r="K16" s="4"/>
      <c r="L16" s="4"/>
      <c r="O16" s="4"/>
      <c r="P16" s="3"/>
      <c r="Q16" s="4"/>
      <c r="R16" s="4"/>
      <c r="S16" s="4"/>
    </row>
    <row r="17" spans="1:19" x14ac:dyDescent="0.25">
      <c r="H17" s="4"/>
      <c r="I17" s="2" t="s">
        <v>150</v>
      </c>
      <c r="J17" s="2">
        <f>(287/50)</f>
        <v>5.74</v>
      </c>
      <c r="K17" s="4"/>
      <c r="L17" s="4"/>
      <c r="Q17" s="24"/>
      <c r="R17" s="24"/>
      <c r="S17" s="24"/>
    </row>
    <row r="18" spans="1:19" x14ac:dyDescent="0.25">
      <c r="H18" s="4"/>
      <c r="I18" s="2" t="s">
        <v>125</v>
      </c>
      <c r="J18" s="2">
        <f>(142.12/50)</f>
        <v>2.8424</v>
      </c>
      <c r="K18" s="4"/>
      <c r="L18" s="4"/>
      <c r="Q18" s="24"/>
      <c r="R18" s="24"/>
      <c r="S18" s="24"/>
    </row>
    <row r="22" spans="1:19" x14ac:dyDescent="0.25">
      <c r="A22" s="14" t="s">
        <v>23</v>
      </c>
    </row>
    <row r="23" spans="1:19" x14ac:dyDescent="0.25">
      <c r="B23" s="24"/>
      <c r="C23" s="24"/>
      <c r="D23" s="24"/>
      <c r="E23" s="24"/>
      <c r="H23" s="14" t="s">
        <v>24</v>
      </c>
    </row>
    <row r="24" spans="1:19" x14ac:dyDescent="0.25">
      <c r="A24" s="24"/>
      <c r="B24" s="24"/>
      <c r="C24" s="24"/>
      <c r="D24" s="24"/>
      <c r="E24" s="24"/>
    </row>
    <row r="25" spans="1:19" x14ac:dyDescent="0.25">
      <c r="A25" s="2" t="s">
        <v>119</v>
      </c>
      <c r="B25" s="2" t="s">
        <v>2</v>
      </c>
      <c r="C25" s="2" t="s">
        <v>131</v>
      </c>
      <c r="D25" s="2" t="s">
        <v>121</v>
      </c>
      <c r="E25" s="2" t="s">
        <v>149</v>
      </c>
      <c r="H25" s="2" t="s">
        <v>119</v>
      </c>
      <c r="I25" s="2" t="s">
        <v>2</v>
      </c>
      <c r="J25" s="2" t="s">
        <v>131</v>
      </c>
      <c r="K25" s="2" t="s">
        <v>121</v>
      </c>
      <c r="L25" s="2" t="s">
        <v>149</v>
      </c>
    </row>
    <row r="26" spans="1:19" x14ac:dyDescent="0.25">
      <c r="A26" s="4">
        <v>10</v>
      </c>
      <c r="B26" s="4">
        <v>2</v>
      </c>
      <c r="C26" s="4">
        <v>20</v>
      </c>
      <c r="D26" s="4">
        <f>10-12.55</f>
        <v>-2.5500000000000007</v>
      </c>
      <c r="E26" s="4">
        <f>2*2.55</f>
        <v>5.0999999999999996</v>
      </c>
      <c r="H26" s="4">
        <v>20</v>
      </c>
      <c r="I26" s="4">
        <v>6</v>
      </c>
      <c r="J26" s="4">
        <f>20*6</f>
        <v>120</v>
      </c>
      <c r="K26" s="4">
        <f>20-21.65</f>
        <v>-1.6499999999999986</v>
      </c>
      <c r="L26" s="4">
        <f>6*1.65</f>
        <v>9.8999999999999986</v>
      </c>
    </row>
    <row r="27" spans="1:19" x14ac:dyDescent="0.25">
      <c r="A27" s="4">
        <v>11</v>
      </c>
      <c r="B27" s="4">
        <v>3</v>
      </c>
      <c r="C27" s="4">
        <v>33</v>
      </c>
      <c r="D27" s="4">
        <f>11-12.55</f>
        <v>-1.5500000000000007</v>
      </c>
      <c r="E27" s="4">
        <f>3*1.55</f>
        <v>4.6500000000000004</v>
      </c>
      <c r="H27" s="4">
        <v>21</v>
      </c>
      <c r="I27" s="4">
        <v>4</v>
      </c>
      <c r="J27" s="4">
        <f>21*4</f>
        <v>84</v>
      </c>
      <c r="K27" s="4">
        <f>21-21.65</f>
        <v>-0.64999999999999858</v>
      </c>
      <c r="L27" s="4">
        <f>4*0.65</f>
        <v>2.6</v>
      </c>
    </row>
    <row r="28" spans="1:19" x14ac:dyDescent="0.25">
      <c r="A28" s="4">
        <v>12</v>
      </c>
      <c r="B28" s="4">
        <v>8</v>
      </c>
      <c r="C28" s="4">
        <f>12*8</f>
        <v>96</v>
      </c>
      <c r="D28" s="4">
        <f>12-12.55</f>
        <v>-0.55000000000000071</v>
      </c>
      <c r="E28" s="4">
        <f>8*0.55</f>
        <v>4.4000000000000004</v>
      </c>
      <c r="H28" s="4">
        <v>22</v>
      </c>
      <c r="I28" s="4">
        <v>5</v>
      </c>
      <c r="J28" s="4">
        <f>22*5</f>
        <v>110</v>
      </c>
      <c r="K28" s="4">
        <f>22-21.65</f>
        <v>0.35000000000000142</v>
      </c>
      <c r="L28" s="4">
        <f>5*0.35</f>
        <v>1.75</v>
      </c>
    </row>
    <row r="29" spans="1:19" x14ac:dyDescent="0.25">
      <c r="A29" s="4">
        <v>14</v>
      </c>
      <c r="B29" s="4">
        <v>3</v>
      </c>
      <c r="C29" s="4">
        <f>14*3</f>
        <v>42</v>
      </c>
      <c r="D29" s="4">
        <f>14-12.55</f>
        <v>1.4499999999999993</v>
      </c>
      <c r="E29" s="4">
        <f>3*1.45</f>
        <v>4.3499999999999996</v>
      </c>
      <c r="H29" s="4">
        <v>23</v>
      </c>
      <c r="I29" s="4">
        <v>1</v>
      </c>
      <c r="J29" s="4">
        <f>23*1</f>
        <v>23</v>
      </c>
      <c r="K29" s="4">
        <f>23-21.65</f>
        <v>1.3500000000000014</v>
      </c>
      <c r="L29" s="4">
        <f>1*1.35</f>
        <v>1.35</v>
      </c>
    </row>
    <row r="30" spans="1:19" x14ac:dyDescent="0.25">
      <c r="A30" s="4">
        <v>15</v>
      </c>
      <c r="B30" s="4">
        <v>4</v>
      </c>
      <c r="C30" s="4">
        <f>15*4</f>
        <v>60</v>
      </c>
      <c r="D30" s="4">
        <f>15-12.55</f>
        <v>2.4499999999999993</v>
      </c>
      <c r="E30" s="4">
        <f>4*2.45</f>
        <v>9.8000000000000007</v>
      </c>
      <c r="H30" s="4">
        <v>24</v>
      </c>
      <c r="I30" s="4">
        <v>4</v>
      </c>
      <c r="J30" s="4">
        <f>24*4</f>
        <v>96</v>
      </c>
      <c r="K30" s="4">
        <f>24-21.65</f>
        <v>2.3500000000000014</v>
      </c>
      <c r="L30" s="4">
        <f>4*2.35</f>
        <v>9.4</v>
      </c>
    </row>
    <row r="31" spans="1:19" x14ac:dyDescent="0.25">
      <c r="A31" s="4"/>
      <c r="B31" s="2">
        <f>SUM(B26:B30)</f>
        <v>20</v>
      </c>
      <c r="C31" s="2">
        <f>SUM(C26:C30)</f>
        <v>251</v>
      </c>
      <c r="D31" s="2">
        <f>SUM(D26:D30)</f>
        <v>-0.75000000000000355</v>
      </c>
      <c r="E31" s="2">
        <f>SUM(E26:E30)</f>
        <v>28.3</v>
      </c>
      <c r="H31" s="4"/>
      <c r="I31" s="2">
        <f>SUM(I26:I30)</f>
        <v>20</v>
      </c>
      <c r="J31" s="2">
        <f>SUM(J26:J30)</f>
        <v>433</v>
      </c>
      <c r="K31" s="2">
        <f>SUM(K26:K30)</f>
        <v>1.7500000000000071</v>
      </c>
      <c r="L31" s="2">
        <f>SUM(L26:L30)</f>
        <v>25</v>
      </c>
    </row>
    <row r="32" spans="1:19" x14ac:dyDescent="0.25">
      <c r="A32" s="4"/>
      <c r="B32" s="4"/>
      <c r="C32" s="4"/>
      <c r="D32" s="4"/>
      <c r="E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H33" s="4"/>
      <c r="I33" s="4"/>
      <c r="J33" s="4"/>
      <c r="K33" s="4"/>
      <c r="L33" s="4"/>
    </row>
    <row r="34" spans="1:12" x14ac:dyDescent="0.25">
      <c r="A34" s="4"/>
      <c r="B34" s="2" t="s">
        <v>150</v>
      </c>
      <c r="C34" s="2">
        <f>251/20</f>
        <v>12.55</v>
      </c>
      <c r="D34" s="4"/>
      <c r="E34" s="4"/>
      <c r="H34" s="4"/>
      <c r="I34" s="2" t="s">
        <v>150</v>
      </c>
      <c r="J34" s="2">
        <f>433/20</f>
        <v>21.65</v>
      </c>
      <c r="K34" s="4"/>
      <c r="L34" s="4"/>
    </row>
    <row r="35" spans="1:12" x14ac:dyDescent="0.25">
      <c r="A35" s="4"/>
      <c r="B35" s="2" t="s">
        <v>125</v>
      </c>
      <c r="C35" s="2">
        <f>0.75/20</f>
        <v>3.7499999999999999E-2</v>
      </c>
      <c r="D35" s="4"/>
      <c r="E35" s="4"/>
      <c r="H35" s="4"/>
      <c r="I35" s="2" t="s">
        <v>125</v>
      </c>
      <c r="J35" s="2">
        <f>1.75/20</f>
        <v>8.7499999999999994E-2</v>
      </c>
      <c r="K35" s="4"/>
      <c r="L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911C-4A8F-46A1-BD6B-BCA4FD4C3F24}">
  <dimension ref="A1:S102"/>
  <sheetViews>
    <sheetView topLeftCell="A22" workbookViewId="0">
      <selection activeCell="K89" sqref="K89"/>
    </sheetView>
  </sheetViews>
  <sheetFormatPr defaultRowHeight="15" x14ac:dyDescent="0.25"/>
  <cols>
    <col min="15" max="15" width="11" bestFit="1" customWidth="1"/>
  </cols>
  <sheetData>
    <row r="1" spans="1:16" x14ac:dyDescent="0.25">
      <c r="A1" s="14" t="s">
        <v>126</v>
      </c>
      <c r="B1" s="2"/>
      <c r="C1" s="4"/>
      <c r="F1" s="14" t="s">
        <v>130</v>
      </c>
      <c r="G1" s="2"/>
      <c r="H1" s="4"/>
      <c r="I1" s="4"/>
      <c r="L1" s="14" t="s">
        <v>133</v>
      </c>
      <c r="M1" s="14"/>
      <c r="N1" s="1"/>
      <c r="O1" s="1"/>
      <c r="P1" s="1"/>
    </row>
    <row r="2" spans="1:16" x14ac:dyDescent="0.25">
      <c r="A2" s="4"/>
      <c r="B2" s="4"/>
      <c r="C2" s="4"/>
      <c r="F2" s="4"/>
      <c r="G2" s="4"/>
      <c r="H2" s="4"/>
      <c r="I2" s="4"/>
      <c r="L2" s="1"/>
      <c r="M2" s="1"/>
      <c r="N2" s="1"/>
      <c r="O2" s="1"/>
      <c r="P2" s="1"/>
    </row>
    <row r="3" spans="1:16" x14ac:dyDescent="0.25">
      <c r="A3" s="4"/>
      <c r="B3" s="2" t="s">
        <v>1</v>
      </c>
      <c r="C3" s="2" t="s">
        <v>128</v>
      </c>
      <c r="F3" s="2" t="s">
        <v>1</v>
      </c>
      <c r="G3" s="2" t="s">
        <v>2</v>
      </c>
      <c r="H3" s="2" t="s">
        <v>131</v>
      </c>
      <c r="I3" s="2" t="s">
        <v>132</v>
      </c>
      <c r="L3" s="2" t="s">
        <v>1</v>
      </c>
      <c r="M3" s="2" t="s">
        <v>2</v>
      </c>
      <c r="N3" s="2" t="s">
        <v>119</v>
      </c>
      <c r="O3" s="2" t="s">
        <v>135</v>
      </c>
      <c r="P3" s="2" t="s">
        <v>136</v>
      </c>
    </row>
    <row r="4" spans="1:16" x14ac:dyDescent="0.25">
      <c r="A4" s="4"/>
      <c r="B4" s="4">
        <v>4</v>
      </c>
      <c r="C4" s="4">
        <f>(4*4)</f>
        <v>16</v>
      </c>
      <c r="F4" s="4">
        <v>4</v>
      </c>
      <c r="G4" s="4">
        <v>2</v>
      </c>
      <c r="H4" s="4">
        <v>8</v>
      </c>
      <c r="I4" s="4">
        <f>(4*4)*2</f>
        <v>32</v>
      </c>
      <c r="L4" s="4" t="s">
        <v>70</v>
      </c>
      <c r="M4" s="4">
        <v>2</v>
      </c>
      <c r="N4" s="4">
        <f>(0+10)/2</f>
        <v>5</v>
      </c>
      <c r="O4" s="4">
        <v>10</v>
      </c>
      <c r="P4" s="4">
        <f>(5*5)*2</f>
        <v>50</v>
      </c>
    </row>
    <row r="5" spans="1:16" x14ac:dyDescent="0.25">
      <c r="A5" s="4"/>
      <c r="B5" s="4">
        <v>7</v>
      </c>
      <c r="C5" s="4">
        <f>(7*7)</f>
        <v>49</v>
      </c>
      <c r="F5" s="4">
        <v>7</v>
      </c>
      <c r="G5" s="4">
        <v>5</v>
      </c>
      <c r="H5" s="4">
        <v>35</v>
      </c>
      <c r="I5" s="4">
        <f>(7*7)*5</f>
        <v>245</v>
      </c>
      <c r="L5" s="4" t="s">
        <v>71</v>
      </c>
      <c r="M5" s="4">
        <v>4</v>
      </c>
      <c r="N5" s="4">
        <f>(10+20)/2</f>
        <v>15</v>
      </c>
      <c r="O5" s="4">
        <f>(4*15)</f>
        <v>60</v>
      </c>
      <c r="P5" s="4">
        <f>(15*15)*4</f>
        <v>900</v>
      </c>
    </row>
    <row r="6" spans="1:16" x14ac:dyDescent="0.25">
      <c r="A6" s="4"/>
      <c r="B6" s="4">
        <v>7</v>
      </c>
      <c r="C6" s="4">
        <v>49</v>
      </c>
      <c r="F6" s="4">
        <v>7</v>
      </c>
      <c r="G6" s="4">
        <v>4</v>
      </c>
      <c r="H6" s="4">
        <v>28</v>
      </c>
      <c r="I6" s="4">
        <f>(7*7)*4</f>
        <v>196</v>
      </c>
      <c r="L6" s="4" t="s">
        <v>35</v>
      </c>
      <c r="M6" s="4">
        <v>6</v>
      </c>
      <c r="N6" s="4">
        <f>(20+30)/2</f>
        <v>25</v>
      </c>
      <c r="O6" s="4">
        <f>(6*25)</f>
        <v>150</v>
      </c>
      <c r="P6" s="4">
        <f>(25*25)*6</f>
        <v>3750</v>
      </c>
    </row>
    <row r="7" spans="1:16" x14ac:dyDescent="0.25">
      <c r="A7" s="4"/>
      <c r="B7" s="4">
        <v>8</v>
      </c>
      <c r="C7" s="4">
        <f>(8*8)</f>
        <v>64</v>
      </c>
      <c r="F7" s="4">
        <v>8</v>
      </c>
      <c r="G7" s="4">
        <v>5</v>
      </c>
      <c r="H7" s="4">
        <v>40</v>
      </c>
      <c r="I7" s="4">
        <f>(8*8)*5</f>
        <v>320</v>
      </c>
      <c r="L7" s="4" t="s">
        <v>36</v>
      </c>
      <c r="M7" s="4">
        <v>8</v>
      </c>
      <c r="N7" s="4">
        <f>(30+40)/2</f>
        <v>35</v>
      </c>
      <c r="O7" s="4">
        <f>(8*35)</f>
        <v>280</v>
      </c>
      <c r="P7" s="4">
        <f>(35*35)*8</f>
        <v>9800</v>
      </c>
    </row>
    <row r="8" spans="1:16" x14ac:dyDescent="0.25">
      <c r="A8" s="4"/>
      <c r="B8" s="4">
        <v>10</v>
      </c>
      <c r="C8" s="4">
        <f>(10*10)</f>
        <v>100</v>
      </c>
      <c r="F8" s="4">
        <v>10</v>
      </c>
      <c r="G8" s="4">
        <v>3</v>
      </c>
      <c r="H8" s="4">
        <v>30</v>
      </c>
      <c r="I8" s="4">
        <f>(10*10)*3</f>
        <v>300</v>
      </c>
      <c r="L8" s="4" t="s">
        <v>72</v>
      </c>
      <c r="M8" s="4">
        <v>4</v>
      </c>
      <c r="N8" s="4">
        <f>(40+50)/2</f>
        <v>45</v>
      </c>
      <c r="O8" s="4">
        <f>(4*45)</f>
        <v>180</v>
      </c>
      <c r="P8" s="4">
        <f>(45*45)*4</f>
        <v>8100</v>
      </c>
    </row>
    <row r="9" spans="1:16" x14ac:dyDescent="0.25">
      <c r="A9" s="4"/>
      <c r="B9" s="4">
        <v>12</v>
      </c>
      <c r="C9" s="4">
        <f>(12*12)</f>
        <v>144</v>
      </c>
      <c r="F9" s="4">
        <v>12</v>
      </c>
      <c r="G9" s="4">
        <v>6</v>
      </c>
      <c r="H9" s="4">
        <f>(12*6)</f>
        <v>72</v>
      </c>
      <c r="I9" s="4">
        <f>(12*12)*6</f>
        <v>864</v>
      </c>
      <c r="L9" s="4" t="s">
        <v>134</v>
      </c>
      <c r="M9" s="4">
        <v>10</v>
      </c>
      <c r="N9" s="4">
        <f>(50+60)/2</f>
        <v>55</v>
      </c>
      <c r="O9" s="4">
        <f>(10*55)</f>
        <v>550</v>
      </c>
      <c r="P9" s="4">
        <f>(55*55)*10</f>
        <v>30250</v>
      </c>
    </row>
    <row r="10" spans="1:16" x14ac:dyDescent="0.25">
      <c r="A10" s="4"/>
      <c r="B10" s="4">
        <v>15</v>
      </c>
      <c r="C10" s="4">
        <f>(15*15)</f>
        <v>225</v>
      </c>
      <c r="F10" s="4">
        <v>15</v>
      </c>
      <c r="G10" s="4">
        <v>7</v>
      </c>
      <c r="H10" s="4">
        <f>(15*7)</f>
        <v>105</v>
      </c>
      <c r="I10" s="4">
        <f>(15*15)*7</f>
        <v>1575</v>
      </c>
      <c r="L10" s="2" t="s">
        <v>123</v>
      </c>
      <c r="M10" s="2">
        <f>SUM(M4:M9)</f>
        <v>34</v>
      </c>
      <c r="N10" s="4"/>
      <c r="O10" s="2">
        <f>SUM(O4:O9)</f>
        <v>1230</v>
      </c>
      <c r="P10" s="2">
        <f>SUM(P4:P9)</f>
        <v>52850</v>
      </c>
    </row>
    <row r="11" spans="1:16" x14ac:dyDescent="0.25">
      <c r="A11" s="4"/>
      <c r="B11" s="4">
        <v>19</v>
      </c>
      <c r="C11" s="4">
        <f>(19*19)</f>
        <v>361</v>
      </c>
      <c r="F11" s="4">
        <v>19</v>
      </c>
      <c r="G11" s="4">
        <v>6</v>
      </c>
      <c r="H11" s="4">
        <f>(19*6)</f>
        <v>114</v>
      </c>
      <c r="I11" s="4">
        <f>(19*19)*6</f>
        <v>2166</v>
      </c>
      <c r="L11" s="4"/>
      <c r="M11" s="4"/>
      <c r="N11" s="4"/>
      <c r="O11" s="4"/>
      <c r="P11" s="4"/>
    </row>
    <row r="12" spans="1:16" x14ac:dyDescent="0.25">
      <c r="A12" s="2" t="s">
        <v>123</v>
      </c>
      <c r="B12" s="2">
        <f>SUM(B4:B11)</f>
        <v>82</v>
      </c>
      <c r="C12" s="2">
        <f>SUM(C4:C11)</f>
        <v>1008</v>
      </c>
      <c r="F12" s="2" t="s">
        <v>123</v>
      </c>
      <c r="G12" s="2">
        <f>SUM(G4:G11)</f>
        <v>38</v>
      </c>
      <c r="H12" s="2">
        <f>SUM(H4:H11)</f>
        <v>432</v>
      </c>
      <c r="I12" s="2">
        <f>SUM(I4:I11)</f>
        <v>5698</v>
      </c>
      <c r="L12" s="4" t="s">
        <v>14</v>
      </c>
      <c r="M12" s="4">
        <v>34</v>
      </c>
      <c r="N12" s="4"/>
      <c r="O12" s="4"/>
      <c r="P12" s="4"/>
    </row>
    <row r="13" spans="1:16" x14ac:dyDescent="0.25">
      <c r="A13" s="2" t="s">
        <v>127</v>
      </c>
      <c r="B13" s="2">
        <v>8</v>
      </c>
      <c r="C13" s="4"/>
      <c r="F13" s="4"/>
      <c r="G13" s="4"/>
      <c r="H13" s="4"/>
      <c r="I13" s="4"/>
      <c r="L13" s="4" t="s">
        <v>143</v>
      </c>
      <c r="M13" s="4">
        <v>52850</v>
      </c>
      <c r="N13" s="4"/>
      <c r="O13" s="2" t="s">
        <v>129</v>
      </c>
      <c r="P13" s="2">
        <v>156.74</v>
      </c>
    </row>
    <row r="14" spans="1:16" x14ac:dyDescent="0.25">
      <c r="A14" s="4"/>
      <c r="B14" s="4"/>
      <c r="C14" s="4"/>
      <c r="F14" s="4"/>
      <c r="G14" s="4"/>
      <c r="H14" s="4"/>
      <c r="I14" s="4"/>
      <c r="L14" s="4" t="s">
        <v>144</v>
      </c>
      <c r="M14" s="4">
        <f>(52850/34)</f>
        <v>1554.4117647058824</v>
      </c>
      <c r="N14" s="4"/>
      <c r="O14" s="4"/>
      <c r="P14" s="4"/>
    </row>
    <row r="15" spans="1:16" x14ac:dyDescent="0.25">
      <c r="A15" s="2" t="s">
        <v>129</v>
      </c>
      <c r="B15" s="2">
        <v>4.5757510000000003</v>
      </c>
      <c r="C15" s="4"/>
      <c r="F15" s="2" t="s">
        <v>129</v>
      </c>
      <c r="G15" s="2">
        <v>4.5504290000000003</v>
      </c>
      <c r="H15" s="4"/>
      <c r="I15" s="4"/>
      <c r="L15" s="4" t="s">
        <v>145</v>
      </c>
      <c r="M15" s="4">
        <v>1230</v>
      </c>
      <c r="N15" s="4"/>
      <c r="O15" s="4"/>
      <c r="P15" s="4"/>
    </row>
    <row r="16" spans="1:16" x14ac:dyDescent="0.25">
      <c r="L16" s="4" t="s">
        <v>146</v>
      </c>
      <c r="M16" s="4">
        <f>(1230/34)^2</f>
        <v>1308.7370242214536</v>
      </c>
      <c r="N16" s="4"/>
      <c r="O16" s="4"/>
      <c r="P16" s="4"/>
    </row>
    <row r="23" spans="1:19" x14ac:dyDescent="0.25">
      <c r="I23" s="14" t="s">
        <v>16</v>
      </c>
      <c r="J23" s="1"/>
      <c r="K23" s="1"/>
      <c r="L23" s="1"/>
      <c r="M23" s="1"/>
      <c r="N23" s="1"/>
      <c r="P23" s="14" t="s">
        <v>23</v>
      </c>
      <c r="Q23" s="1"/>
      <c r="R23" s="1"/>
      <c r="S23" s="1"/>
    </row>
    <row r="24" spans="1:19" x14ac:dyDescent="0.25">
      <c r="A24" s="14" t="s">
        <v>0</v>
      </c>
      <c r="B24" s="1"/>
      <c r="C24" s="1"/>
      <c r="D24" s="1"/>
      <c r="I24" s="1"/>
      <c r="J24" s="1"/>
      <c r="K24" s="1"/>
      <c r="L24" s="1"/>
      <c r="M24" s="1"/>
      <c r="N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I25" s="2" t="s">
        <v>1</v>
      </c>
      <c r="J25" s="2" t="s">
        <v>2</v>
      </c>
      <c r="K25" s="2" t="s">
        <v>119</v>
      </c>
      <c r="L25" s="2" t="s">
        <v>135</v>
      </c>
      <c r="M25" s="2" t="s">
        <v>136</v>
      </c>
      <c r="N25" s="4"/>
      <c r="P25" s="2" t="s">
        <v>1</v>
      </c>
      <c r="Q25" s="2" t="s">
        <v>2</v>
      </c>
      <c r="R25" s="2" t="s">
        <v>155</v>
      </c>
      <c r="S25" s="2" t="s">
        <v>132</v>
      </c>
    </row>
    <row r="26" spans="1:19" x14ac:dyDescent="0.25">
      <c r="A26" s="2" t="s">
        <v>1</v>
      </c>
      <c r="B26" s="2" t="s">
        <v>2</v>
      </c>
      <c r="C26" s="2" t="s">
        <v>131</v>
      </c>
      <c r="D26" s="2" t="s">
        <v>132</v>
      </c>
      <c r="I26" s="4" t="s">
        <v>71</v>
      </c>
      <c r="J26" s="4">
        <v>3</v>
      </c>
      <c r="K26" s="4">
        <f>(10+20)/2</f>
        <v>15</v>
      </c>
      <c r="L26" s="4">
        <f>3*15</f>
        <v>45</v>
      </c>
      <c r="M26" s="4">
        <f>(15*15)*3</f>
        <v>675</v>
      </c>
      <c r="N26" s="4"/>
      <c r="P26" s="4">
        <v>10</v>
      </c>
      <c r="Q26" s="4">
        <v>2</v>
      </c>
      <c r="R26" s="4">
        <v>20</v>
      </c>
      <c r="S26" s="4">
        <f>(10*10)*2</f>
        <v>200</v>
      </c>
    </row>
    <row r="27" spans="1:19" x14ac:dyDescent="0.25">
      <c r="A27" s="4">
        <v>0</v>
      </c>
      <c r="B27" s="4">
        <v>2</v>
      </c>
      <c r="C27" s="4">
        <v>0</v>
      </c>
      <c r="D27" s="4">
        <f>(0*0)*2</f>
        <v>0</v>
      </c>
      <c r="I27" s="4" t="s">
        <v>35</v>
      </c>
      <c r="J27" s="4">
        <v>9</v>
      </c>
      <c r="K27" s="4">
        <f>(20+30)/2</f>
        <v>25</v>
      </c>
      <c r="L27" s="4">
        <f>9*25</f>
        <v>225</v>
      </c>
      <c r="M27" s="4">
        <f>(25*25)*9</f>
        <v>5625</v>
      </c>
      <c r="N27" s="4"/>
      <c r="P27" s="4">
        <v>11</v>
      </c>
      <c r="Q27" s="4">
        <v>3</v>
      </c>
      <c r="R27" s="4">
        <v>33</v>
      </c>
      <c r="S27" s="4">
        <f>(11*11)*3</f>
        <v>363</v>
      </c>
    </row>
    <row r="28" spans="1:19" x14ac:dyDescent="0.25">
      <c r="A28" s="4">
        <v>1</v>
      </c>
      <c r="B28" s="4">
        <v>4</v>
      </c>
      <c r="C28" s="4">
        <v>4</v>
      </c>
      <c r="D28" s="4">
        <f>(1*1)*4</f>
        <v>4</v>
      </c>
      <c r="I28" s="4" t="s">
        <v>36</v>
      </c>
      <c r="J28" s="4">
        <v>12</v>
      </c>
      <c r="K28" s="4">
        <f>(30+40)/2</f>
        <v>35</v>
      </c>
      <c r="L28" s="4">
        <f>12*35</f>
        <v>420</v>
      </c>
      <c r="M28" s="4">
        <f>(35*35)*12</f>
        <v>14700</v>
      </c>
      <c r="N28" s="4"/>
      <c r="P28" s="4">
        <v>12</v>
      </c>
      <c r="Q28" s="4">
        <v>8</v>
      </c>
      <c r="R28" s="4">
        <f>12*8</f>
        <v>96</v>
      </c>
      <c r="S28" s="4">
        <f>(12*12)*8</f>
        <v>1152</v>
      </c>
    </row>
    <row r="29" spans="1:19" x14ac:dyDescent="0.25">
      <c r="A29" s="4">
        <v>2</v>
      </c>
      <c r="B29" s="4">
        <v>7</v>
      </c>
      <c r="C29" s="4">
        <v>14</v>
      </c>
      <c r="D29" s="4">
        <f>(2*2)*7</f>
        <v>28</v>
      </c>
      <c r="I29" s="4" t="s">
        <v>72</v>
      </c>
      <c r="J29" s="4">
        <v>20</v>
      </c>
      <c r="K29" s="4">
        <f>(40+50)/2</f>
        <v>45</v>
      </c>
      <c r="L29" s="4">
        <f>20*45</f>
        <v>900</v>
      </c>
      <c r="M29" s="4">
        <f>(45*45)*20</f>
        <v>40500</v>
      </c>
      <c r="N29" s="4"/>
      <c r="P29" s="4">
        <v>14</v>
      </c>
      <c r="Q29" s="4">
        <v>3</v>
      </c>
      <c r="R29" s="4">
        <f>14*3</f>
        <v>42</v>
      </c>
      <c r="S29" s="4">
        <f>(14*14)*3</f>
        <v>588</v>
      </c>
    </row>
    <row r="30" spans="1:19" x14ac:dyDescent="0.25">
      <c r="A30" s="4">
        <v>3</v>
      </c>
      <c r="B30" s="4">
        <v>4</v>
      </c>
      <c r="C30" s="4">
        <v>12</v>
      </c>
      <c r="D30" s="4">
        <f>(3*3)*4</f>
        <v>36</v>
      </c>
      <c r="I30" s="4" t="s">
        <v>134</v>
      </c>
      <c r="J30" s="4">
        <v>6</v>
      </c>
      <c r="K30" s="4">
        <f>(50+60)/2</f>
        <v>55</v>
      </c>
      <c r="L30" s="4">
        <f>6*55</f>
        <v>330</v>
      </c>
      <c r="M30" s="4">
        <f>(55*55)*6</f>
        <v>18150</v>
      </c>
      <c r="N30" s="4"/>
      <c r="P30" s="4">
        <v>15</v>
      </c>
      <c r="Q30" s="4">
        <v>4</v>
      </c>
      <c r="R30" s="4">
        <f>15*4</f>
        <v>60</v>
      </c>
      <c r="S30" s="4">
        <f>(15*15)*4</f>
        <v>900</v>
      </c>
    </row>
    <row r="31" spans="1:19" x14ac:dyDescent="0.25">
      <c r="A31" s="4">
        <v>4</v>
      </c>
      <c r="B31" s="4">
        <v>2</v>
      </c>
      <c r="C31" s="4">
        <v>8</v>
      </c>
      <c r="D31" s="4">
        <f>(4*4)*2</f>
        <v>32</v>
      </c>
      <c r="I31" s="2" t="s">
        <v>123</v>
      </c>
      <c r="J31" s="2">
        <f>SUM(J26:J30)</f>
        <v>50</v>
      </c>
      <c r="K31" s="4"/>
      <c r="L31" s="2">
        <f>SUM(L26:L30)</f>
        <v>1920</v>
      </c>
      <c r="M31" s="2">
        <f>SUM(M26:M30)</f>
        <v>79650</v>
      </c>
      <c r="N31" s="4"/>
      <c r="P31" s="2" t="s">
        <v>123</v>
      </c>
      <c r="Q31" s="2">
        <f>SUM(Q26:Q30)</f>
        <v>20</v>
      </c>
      <c r="R31" s="2">
        <f>SUM(R26:R30)</f>
        <v>251</v>
      </c>
      <c r="S31" s="2">
        <f>SUM(S26:S30)</f>
        <v>3203</v>
      </c>
    </row>
    <row r="32" spans="1:19" x14ac:dyDescent="0.25">
      <c r="A32" s="4">
        <v>5</v>
      </c>
      <c r="B32" s="4">
        <v>0</v>
      </c>
      <c r="C32" s="4">
        <v>0</v>
      </c>
      <c r="D32" s="4">
        <f>(5*5)*0</f>
        <v>0</v>
      </c>
      <c r="I32" s="4"/>
      <c r="J32" s="4"/>
      <c r="K32" s="4"/>
      <c r="L32" s="4"/>
      <c r="M32" s="4"/>
      <c r="N32" s="4"/>
      <c r="P32" s="4"/>
      <c r="Q32" s="4"/>
      <c r="R32" s="4"/>
      <c r="S32" s="4"/>
    </row>
    <row r="33" spans="1:19" x14ac:dyDescent="0.25">
      <c r="A33" s="4">
        <v>6</v>
      </c>
      <c r="B33" s="4">
        <v>1</v>
      </c>
      <c r="C33" s="4">
        <v>6</v>
      </c>
      <c r="D33" s="4">
        <f>(6*6)*1</f>
        <v>36</v>
      </c>
      <c r="I33" s="4"/>
      <c r="J33" s="4"/>
      <c r="K33" s="4"/>
      <c r="L33" s="4"/>
      <c r="M33" s="4"/>
      <c r="N33" s="4"/>
      <c r="P33" s="4"/>
      <c r="Q33" s="4"/>
      <c r="R33" s="4"/>
      <c r="S33" s="4"/>
    </row>
    <row r="34" spans="1:19" x14ac:dyDescent="0.25">
      <c r="A34" s="4">
        <v>7</v>
      </c>
      <c r="B34" s="4">
        <v>8</v>
      </c>
      <c r="C34" s="4">
        <f>8*7</f>
        <v>56</v>
      </c>
      <c r="D34" s="4">
        <f>(7*7)*8</f>
        <v>392</v>
      </c>
      <c r="I34" s="4"/>
      <c r="J34" s="4" t="s">
        <v>14</v>
      </c>
      <c r="K34" s="4">
        <v>50</v>
      </c>
      <c r="L34" s="4"/>
      <c r="M34" s="2" t="s">
        <v>129</v>
      </c>
      <c r="N34" s="2">
        <f>SQRT(1302.84)</f>
        <v>36.094874982468077</v>
      </c>
      <c r="P34" s="4"/>
      <c r="Q34" s="4" t="s">
        <v>144</v>
      </c>
      <c r="R34" s="4">
        <f>3203/20</f>
        <v>160.15</v>
      </c>
      <c r="S34" s="4"/>
    </row>
    <row r="35" spans="1:19" x14ac:dyDescent="0.25">
      <c r="A35" s="4">
        <v>8</v>
      </c>
      <c r="B35" s="4">
        <v>13</v>
      </c>
      <c r="C35" s="4">
        <f>13*8</f>
        <v>104</v>
      </c>
      <c r="D35" s="4">
        <f>(8*8)*13</f>
        <v>832</v>
      </c>
      <c r="I35" s="4"/>
      <c r="J35" s="4" t="s">
        <v>143</v>
      </c>
      <c r="K35" s="4">
        <v>79650</v>
      </c>
      <c r="L35" s="4"/>
      <c r="M35" s="4"/>
      <c r="N35" s="4"/>
      <c r="P35" s="4"/>
      <c r="Q35" s="4" t="s">
        <v>151</v>
      </c>
      <c r="R35" s="4">
        <f>251/20</f>
        <v>12.55</v>
      </c>
      <c r="S35" s="4"/>
    </row>
    <row r="36" spans="1:19" x14ac:dyDescent="0.25">
      <c r="A36" s="4">
        <v>9</v>
      </c>
      <c r="B36" s="4">
        <v>7</v>
      </c>
      <c r="C36" s="4">
        <f>9*7</f>
        <v>63</v>
      </c>
      <c r="D36" s="4">
        <f>(9*9)*7</f>
        <v>567</v>
      </c>
      <c r="I36" s="4"/>
      <c r="J36" s="4" t="s">
        <v>144</v>
      </c>
      <c r="K36" s="4">
        <f>79650/50</f>
        <v>1593</v>
      </c>
      <c r="L36" s="4"/>
      <c r="M36" s="4"/>
      <c r="N36" s="4"/>
      <c r="P36" s="4"/>
      <c r="Q36" s="4"/>
      <c r="R36" s="4"/>
      <c r="S36" s="4"/>
    </row>
    <row r="37" spans="1:19" x14ac:dyDescent="0.25">
      <c r="A37" s="4">
        <v>10</v>
      </c>
      <c r="B37" s="4">
        <v>2</v>
      </c>
      <c r="C37" s="4">
        <v>20</v>
      </c>
      <c r="D37" s="4">
        <f>(10*10)*2</f>
        <v>200</v>
      </c>
      <c r="I37" s="4"/>
      <c r="J37" s="4" t="s">
        <v>145</v>
      </c>
      <c r="K37" s="4">
        <v>1920</v>
      </c>
      <c r="L37" s="4"/>
      <c r="M37" s="4"/>
      <c r="N37" s="4"/>
      <c r="P37" s="4"/>
      <c r="Q37" s="2" t="s">
        <v>129</v>
      </c>
      <c r="R37" s="2">
        <f>SQRT(147.6)</f>
        <v>12.149074038789951</v>
      </c>
      <c r="S37" s="4"/>
    </row>
    <row r="38" spans="1:19" x14ac:dyDescent="0.25">
      <c r="A38" s="2" t="s">
        <v>123</v>
      </c>
      <c r="B38" s="2">
        <f>SUM(B27:B37)</f>
        <v>50</v>
      </c>
      <c r="C38" s="2">
        <f>SUM(C27:C37)</f>
        <v>287</v>
      </c>
      <c r="D38" s="2">
        <f>SUM(D27:D37)</f>
        <v>2127</v>
      </c>
      <c r="I38" s="4"/>
      <c r="J38" s="4" t="s">
        <v>146</v>
      </c>
      <c r="K38" s="4">
        <f>(1920/50)^2</f>
        <v>1474.56</v>
      </c>
      <c r="L38" s="4"/>
      <c r="M38" s="4"/>
      <c r="N38" s="4"/>
      <c r="P38" s="1"/>
      <c r="Q38" s="1"/>
      <c r="R38" s="1"/>
      <c r="S38" s="1"/>
    </row>
    <row r="39" spans="1:19" x14ac:dyDescent="0.25">
      <c r="A39" s="4"/>
      <c r="B39" s="4"/>
      <c r="C39" s="3"/>
      <c r="D39" s="3"/>
      <c r="I39" s="1"/>
      <c r="J39" s="1"/>
      <c r="K39" s="1"/>
      <c r="L39" s="1"/>
      <c r="M39" s="1"/>
      <c r="N39" s="1"/>
    </row>
    <row r="40" spans="1:19" x14ac:dyDescent="0.25">
      <c r="A40" s="4"/>
      <c r="B40" s="4"/>
      <c r="C40" s="3"/>
      <c r="D40" s="3"/>
    </row>
    <row r="41" spans="1:19" x14ac:dyDescent="0.25">
      <c r="A41" s="4" t="s">
        <v>144</v>
      </c>
      <c r="B41" s="4">
        <f>2127/50</f>
        <v>42.54</v>
      </c>
      <c r="C41" s="3"/>
      <c r="D41" s="3"/>
    </row>
    <row r="42" spans="1:19" x14ac:dyDescent="0.25">
      <c r="A42" s="4" t="s">
        <v>151</v>
      </c>
      <c r="B42" s="4">
        <f>287/50</f>
        <v>5.74</v>
      </c>
      <c r="C42" s="3"/>
      <c r="D42" s="3"/>
      <c r="F42" s="14" t="s">
        <v>24</v>
      </c>
      <c r="G42" s="1"/>
      <c r="H42" s="1"/>
      <c r="I42" s="1"/>
      <c r="J42" s="1"/>
      <c r="M42" s="14" t="s">
        <v>26</v>
      </c>
      <c r="N42" s="1"/>
      <c r="O42" s="1"/>
      <c r="P42" s="1"/>
      <c r="Q42" s="1"/>
    </row>
    <row r="43" spans="1:19" x14ac:dyDescent="0.25">
      <c r="A43" s="4" t="s">
        <v>146</v>
      </c>
      <c r="B43" s="4">
        <f>5.74*5.74</f>
        <v>32.947600000000001</v>
      </c>
      <c r="C43" s="3"/>
      <c r="D43" s="3"/>
      <c r="F43" s="1"/>
      <c r="G43" s="1"/>
      <c r="H43" s="1"/>
      <c r="I43" s="1"/>
      <c r="J43" s="1"/>
      <c r="M43" s="1"/>
      <c r="N43" s="1"/>
      <c r="O43" s="1"/>
      <c r="P43" s="1"/>
      <c r="Q43" s="1"/>
    </row>
    <row r="44" spans="1:19" x14ac:dyDescent="0.25">
      <c r="A44" s="4"/>
      <c r="B44" s="4"/>
      <c r="C44" s="3"/>
      <c r="D44" s="3"/>
      <c r="F44" s="2" t="s">
        <v>1</v>
      </c>
      <c r="G44" s="2" t="s">
        <v>2</v>
      </c>
      <c r="H44" s="2" t="s">
        <v>119</v>
      </c>
      <c r="I44" s="2" t="s">
        <v>135</v>
      </c>
      <c r="J44" s="2" t="s">
        <v>136</v>
      </c>
      <c r="M44" s="2" t="s">
        <v>1</v>
      </c>
      <c r="N44" s="2" t="s">
        <v>2</v>
      </c>
      <c r="O44" s="2" t="s">
        <v>119</v>
      </c>
      <c r="P44" s="2" t="s">
        <v>135</v>
      </c>
      <c r="Q44" s="2" t="s">
        <v>136</v>
      </c>
      <c r="R44" s="8"/>
    </row>
    <row r="45" spans="1:19" x14ac:dyDescent="0.25">
      <c r="A45" s="2" t="s">
        <v>129</v>
      </c>
      <c r="B45" s="2">
        <v>3.0971600000000001</v>
      </c>
      <c r="C45" s="3"/>
      <c r="D45" s="3"/>
      <c r="F45" s="4" t="s">
        <v>158</v>
      </c>
      <c r="G45" s="4">
        <v>4</v>
      </c>
      <c r="H45" s="4">
        <f>(25+29)/2</f>
        <v>27</v>
      </c>
      <c r="I45" s="4">
        <f>14*27</f>
        <v>378</v>
      </c>
      <c r="J45" s="4">
        <f>(27*27)*4</f>
        <v>2916</v>
      </c>
      <c r="M45" s="4" t="s">
        <v>166</v>
      </c>
      <c r="N45" s="4">
        <v>20</v>
      </c>
      <c r="O45" s="4">
        <f>(0+10)/2</f>
        <v>5</v>
      </c>
      <c r="P45" s="4">
        <f>20*5</f>
        <v>100</v>
      </c>
      <c r="Q45" s="4">
        <f>(5*5)*20</f>
        <v>500</v>
      </c>
      <c r="R45" s="8"/>
    </row>
    <row r="46" spans="1:19" x14ac:dyDescent="0.25">
      <c r="F46" s="4" t="s">
        <v>159</v>
      </c>
      <c r="G46" s="4">
        <v>14</v>
      </c>
      <c r="H46" s="4">
        <f>(30+34)/2</f>
        <v>32</v>
      </c>
      <c r="I46" s="4">
        <f>14*32</f>
        <v>448</v>
      </c>
      <c r="J46" s="4">
        <f>(32^2)*14</f>
        <v>14336</v>
      </c>
      <c r="M46" s="4" t="s">
        <v>71</v>
      </c>
      <c r="N46" s="4">
        <v>24</v>
      </c>
      <c r="O46" s="4">
        <f>(10+20)/2</f>
        <v>15</v>
      </c>
      <c r="P46" s="4">
        <f>24*15</f>
        <v>360</v>
      </c>
      <c r="Q46" s="4">
        <f>(15*15)*24</f>
        <v>5400</v>
      </c>
      <c r="R46" s="8"/>
    </row>
    <row r="47" spans="1:19" x14ac:dyDescent="0.25">
      <c r="F47" s="4" t="s">
        <v>160</v>
      </c>
      <c r="G47" s="4">
        <v>22</v>
      </c>
      <c r="H47" s="4">
        <f>(35+39)/2</f>
        <v>37</v>
      </c>
      <c r="I47" s="4">
        <f>22*37</f>
        <v>814</v>
      </c>
      <c r="J47" s="4">
        <f>(37*37)*22</f>
        <v>30118</v>
      </c>
      <c r="M47" s="4" t="s">
        <v>35</v>
      </c>
      <c r="N47" s="4">
        <v>40</v>
      </c>
      <c r="O47" s="4">
        <f>(20+30)/2</f>
        <v>25</v>
      </c>
      <c r="P47" s="4">
        <f>40*25</f>
        <v>1000</v>
      </c>
      <c r="Q47" s="4">
        <f>(25*25)*40</f>
        <v>25000</v>
      </c>
      <c r="R47" s="8"/>
    </row>
    <row r="48" spans="1:19" x14ac:dyDescent="0.25">
      <c r="F48" s="4" t="s">
        <v>161</v>
      </c>
      <c r="G48" s="4">
        <v>16</v>
      </c>
      <c r="H48" s="4">
        <f>(40+44)/2</f>
        <v>42</v>
      </c>
      <c r="I48" s="4">
        <f>16*42</f>
        <v>672</v>
      </c>
      <c r="J48" s="4">
        <f>(42*42)*16</f>
        <v>28224</v>
      </c>
      <c r="M48" s="4" t="s">
        <v>36</v>
      </c>
      <c r="N48" s="4">
        <v>36</v>
      </c>
      <c r="O48" s="4">
        <f>(30+40)/2</f>
        <v>35</v>
      </c>
      <c r="P48" s="4">
        <f>36*35</f>
        <v>1260</v>
      </c>
      <c r="Q48" s="4">
        <f>(35*35)*36</f>
        <v>44100</v>
      </c>
      <c r="R48" s="8"/>
    </row>
    <row r="49" spans="6:18" x14ac:dyDescent="0.25">
      <c r="F49" s="4" t="s">
        <v>162</v>
      </c>
      <c r="G49" s="4">
        <v>6</v>
      </c>
      <c r="H49" s="4">
        <f>(45+49)/2</f>
        <v>47</v>
      </c>
      <c r="I49" s="4">
        <f>6*47</f>
        <v>282</v>
      </c>
      <c r="J49" s="4">
        <f>(47*47)*6</f>
        <v>13254</v>
      </c>
      <c r="M49" s="4" t="s">
        <v>72</v>
      </c>
      <c r="N49" s="4">
        <v>20</v>
      </c>
      <c r="O49" s="4">
        <f>(40+50)/2</f>
        <v>45</v>
      </c>
      <c r="P49" s="4">
        <f>20*45</f>
        <v>900</v>
      </c>
      <c r="Q49" s="4">
        <f>(45*45)*20</f>
        <v>40500</v>
      </c>
      <c r="R49" s="8"/>
    </row>
    <row r="50" spans="6:18" x14ac:dyDescent="0.25">
      <c r="F50" s="4" t="s">
        <v>163</v>
      </c>
      <c r="G50" s="4">
        <v>5</v>
      </c>
      <c r="H50" s="4">
        <f>(50+54)/2</f>
        <v>52</v>
      </c>
      <c r="I50" s="4">
        <f>5*52</f>
        <v>260</v>
      </c>
      <c r="J50" s="4">
        <f>(52*52)*5</f>
        <v>13520</v>
      </c>
      <c r="M50" s="4"/>
      <c r="N50" s="2">
        <f>SUM(N45:N49)</f>
        <v>140</v>
      </c>
      <c r="O50" s="4"/>
      <c r="P50" s="2">
        <f>SUM(P45:P49)</f>
        <v>3620</v>
      </c>
      <c r="Q50" s="2">
        <f>SUM(Q45:Q49)</f>
        <v>115500</v>
      </c>
      <c r="R50" s="8"/>
    </row>
    <row r="51" spans="6:18" x14ac:dyDescent="0.25">
      <c r="F51" s="4" t="s">
        <v>164</v>
      </c>
      <c r="G51" s="4">
        <v>3</v>
      </c>
      <c r="H51" s="4">
        <f>(55+59)/2</f>
        <v>57</v>
      </c>
      <c r="I51" s="4">
        <f>3*57</f>
        <v>171</v>
      </c>
      <c r="J51" s="4">
        <f>(57*57)*3</f>
        <v>9747</v>
      </c>
      <c r="M51" s="4"/>
      <c r="N51" s="4"/>
      <c r="O51" s="4"/>
      <c r="P51" s="1"/>
      <c r="Q51" s="1"/>
    </row>
    <row r="52" spans="6:18" x14ac:dyDescent="0.25">
      <c r="F52" s="4"/>
      <c r="G52" s="2">
        <f>SUM(G45:G51)</f>
        <v>70</v>
      </c>
      <c r="H52" s="4"/>
      <c r="I52" s="2">
        <f>SUM(I45:I51)</f>
        <v>3025</v>
      </c>
      <c r="J52" s="2">
        <f>SUM(J45:J51)</f>
        <v>112115</v>
      </c>
      <c r="M52" s="4"/>
      <c r="N52" s="4"/>
      <c r="O52" s="4"/>
      <c r="P52" s="1"/>
      <c r="Q52" s="1"/>
    </row>
    <row r="53" spans="6:18" x14ac:dyDescent="0.25">
      <c r="F53" s="4"/>
      <c r="G53" s="4"/>
      <c r="H53" s="4"/>
      <c r="I53" s="4"/>
      <c r="J53" s="4"/>
      <c r="M53" s="4"/>
      <c r="N53" s="4"/>
      <c r="O53" s="4"/>
      <c r="P53" s="1"/>
      <c r="Q53" s="1"/>
    </row>
    <row r="54" spans="6:18" x14ac:dyDescent="0.25">
      <c r="F54" s="4"/>
      <c r="G54" s="4"/>
      <c r="H54" s="4"/>
      <c r="I54" s="4"/>
      <c r="J54" s="4"/>
      <c r="M54" s="4"/>
      <c r="N54" s="4" t="s">
        <v>14</v>
      </c>
      <c r="O54" s="4">
        <v>140</v>
      </c>
      <c r="P54" s="1"/>
      <c r="Q54" s="1"/>
    </row>
    <row r="55" spans="6:18" x14ac:dyDescent="0.25">
      <c r="F55" s="4"/>
      <c r="G55" s="4"/>
      <c r="H55" s="4" t="s">
        <v>14</v>
      </c>
      <c r="I55" s="4">
        <v>70</v>
      </c>
      <c r="J55" s="4"/>
      <c r="M55" s="4"/>
      <c r="N55" s="4" t="s">
        <v>143</v>
      </c>
      <c r="O55" s="4">
        <v>115500</v>
      </c>
      <c r="P55" s="1"/>
      <c r="Q55" s="1"/>
    </row>
    <row r="56" spans="6:18" x14ac:dyDescent="0.25">
      <c r="F56" s="4"/>
      <c r="G56" s="4"/>
      <c r="H56" s="4" t="s">
        <v>143</v>
      </c>
      <c r="I56" s="4">
        <v>112115</v>
      </c>
      <c r="J56" s="4"/>
      <c r="M56" s="4"/>
      <c r="N56" s="4" t="s">
        <v>144</v>
      </c>
      <c r="O56" s="4">
        <f>115500/140</f>
        <v>825</v>
      </c>
      <c r="P56" s="1"/>
      <c r="Q56" s="1"/>
    </row>
    <row r="57" spans="6:18" x14ac:dyDescent="0.25">
      <c r="F57" s="4"/>
      <c r="G57" s="4"/>
      <c r="H57" s="4" t="s">
        <v>144</v>
      </c>
      <c r="I57" s="4">
        <f>112115/70</f>
        <v>1601.6428571428571</v>
      </c>
      <c r="J57" s="4"/>
      <c r="M57" s="4"/>
      <c r="N57" s="4" t="s">
        <v>145</v>
      </c>
      <c r="O57" s="4">
        <v>3620</v>
      </c>
      <c r="P57" s="1"/>
      <c r="Q57" s="1"/>
    </row>
    <row r="58" spans="6:18" x14ac:dyDescent="0.25">
      <c r="F58" s="4"/>
      <c r="G58" s="4"/>
      <c r="H58" s="4" t="s">
        <v>145</v>
      </c>
      <c r="I58" s="4">
        <v>3025</v>
      </c>
      <c r="J58" s="4"/>
      <c r="M58" s="4"/>
      <c r="N58" s="4" t="s">
        <v>146</v>
      </c>
      <c r="O58" s="4">
        <f>25.85714*25.85714</f>
        <v>668.59168897960001</v>
      </c>
      <c r="P58" s="1"/>
      <c r="Q58" s="1"/>
    </row>
    <row r="59" spans="6:18" x14ac:dyDescent="0.25">
      <c r="F59" s="4"/>
      <c r="G59" s="4"/>
      <c r="H59" s="4" t="s">
        <v>146</v>
      </c>
      <c r="I59" s="4">
        <f>43.21429^2</f>
        <v>1867.4748602040997</v>
      </c>
      <c r="J59" s="4"/>
      <c r="M59" s="4"/>
      <c r="N59" s="4"/>
      <c r="O59" s="4"/>
      <c r="P59" s="1"/>
      <c r="Q59" s="1"/>
    </row>
    <row r="60" spans="6:18" x14ac:dyDescent="0.25">
      <c r="F60" s="4"/>
      <c r="G60" s="4"/>
      <c r="H60" s="4"/>
      <c r="I60" s="4"/>
      <c r="J60" s="4"/>
      <c r="M60" s="4"/>
      <c r="N60" s="2" t="s">
        <v>129</v>
      </c>
      <c r="O60" s="2">
        <f>SQRT(1720.491)</f>
        <v>41.478801814902994</v>
      </c>
      <c r="P60" s="1"/>
      <c r="Q60" s="1"/>
    </row>
    <row r="61" spans="6:18" x14ac:dyDescent="0.25">
      <c r="F61" s="4"/>
      <c r="G61" s="4"/>
      <c r="H61" s="2" t="s">
        <v>129</v>
      </c>
      <c r="I61" s="2">
        <f>SQRT(1329.16)</f>
        <v>36.457646660200105</v>
      </c>
      <c r="J61" s="4"/>
    </row>
    <row r="66" spans="1:18" x14ac:dyDescent="0.25">
      <c r="A66" s="14" t="s">
        <v>33</v>
      </c>
      <c r="B66" s="1"/>
      <c r="C66" s="1"/>
      <c r="D66" s="1"/>
      <c r="E66" s="1"/>
      <c r="F66" s="1"/>
      <c r="G66" s="1"/>
      <c r="H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K67" s="14" t="s">
        <v>37</v>
      </c>
      <c r="L67" s="1"/>
      <c r="M67" s="1"/>
      <c r="N67" s="1"/>
      <c r="O67" s="1"/>
      <c r="P67" s="1"/>
      <c r="Q67" s="1"/>
      <c r="R67" s="1"/>
    </row>
    <row r="68" spans="1:18" x14ac:dyDescent="0.25">
      <c r="A68" s="2" t="s">
        <v>1</v>
      </c>
      <c r="B68" s="2" t="s">
        <v>2</v>
      </c>
      <c r="C68" s="2" t="s">
        <v>119</v>
      </c>
      <c r="D68" s="2" t="s">
        <v>135</v>
      </c>
      <c r="E68" s="2" t="s">
        <v>136</v>
      </c>
      <c r="F68" s="4"/>
      <c r="G68" s="4" t="s">
        <v>14</v>
      </c>
      <c r="H68" s="4">
        <v>80</v>
      </c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4" t="s">
        <v>169</v>
      </c>
      <c r="B69" s="4">
        <v>8</v>
      </c>
      <c r="C69" s="4">
        <f>(84+90)/2</f>
        <v>87</v>
      </c>
      <c r="D69" s="4">
        <f>8*87</f>
        <v>696</v>
      </c>
      <c r="E69" s="4">
        <f>8*(87^2)</f>
        <v>60552</v>
      </c>
      <c r="F69" s="4"/>
      <c r="G69" s="4" t="s">
        <v>143</v>
      </c>
      <c r="H69" s="4">
        <v>855864</v>
      </c>
      <c r="K69" s="2" t="s">
        <v>1</v>
      </c>
      <c r="L69" s="2" t="s">
        <v>2</v>
      </c>
      <c r="M69" s="2" t="s">
        <v>119</v>
      </c>
      <c r="N69" s="2" t="s">
        <v>135</v>
      </c>
      <c r="O69" s="2" t="s">
        <v>136</v>
      </c>
      <c r="P69" s="4"/>
      <c r="Q69" s="4" t="s">
        <v>14</v>
      </c>
      <c r="R69" s="4">
        <v>50</v>
      </c>
    </row>
    <row r="70" spans="1:18" x14ac:dyDescent="0.25">
      <c r="A70" s="4" t="s">
        <v>170</v>
      </c>
      <c r="B70" s="4">
        <v>10</v>
      </c>
      <c r="C70" s="4">
        <f>(90+96)/2</f>
        <v>93</v>
      </c>
      <c r="D70" s="4">
        <f>10*93</f>
        <v>930</v>
      </c>
      <c r="E70" s="4">
        <f>10*(93^2)</f>
        <v>86490</v>
      </c>
      <c r="F70" s="4"/>
      <c r="G70" s="4" t="s">
        <v>144</v>
      </c>
      <c r="H70" s="4">
        <f>H69/80</f>
        <v>10698.3</v>
      </c>
      <c r="K70" s="4" t="s">
        <v>176</v>
      </c>
      <c r="L70" s="4">
        <v>6</v>
      </c>
      <c r="M70" s="4">
        <v>50</v>
      </c>
      <c r="N70" s="4">
        <f>6*50</f>
        <v>300</v>
      </c>
      <c r="O70" s="4">
        <f>6*(50^2)</f>
        <v>15000</v>
      </c>
      <c r="P70" s="4"/>
      <c r="Q70" s="4" t="s">
        <v>143</v>
      </c>
      <c r="R70" s="4">
        <v>4245000</v>
      </c>
    </row>
    <row r="71" spans="1:18" x14ac:dyDescent="0.25">
      <c r="A71" s="4" t="s">
        <v>171</v>
      </c>
      <c r="B71" s="4">
        <v>16</v>
      </c>
      <c r="C71" s="4">
        <f>(96+102)/2</f>
        <v>99</v>
      </c>
      <c r="D71" s="4">
        <f>16*99</f>
        <v>1584</v>
      </c>
      <c r="E71" s="4">
        <f>16*(99^2)</f>
        <v>156816</v>
      </c>
      <c r="F71" s="4"/>
      <c r="G71" s="4" t="s">
        <v>145</v>
      </c>
      <c r="H71" s="4">
        <v>8244</v>
      </c>
      <c r="K71" s="4" t="s">
        <v>177</v>
      </c>
      <c r="L71" s="4">
        <v>9</v>
      </c>
      <c r="M71" s="4">
        <v>150</v>
      </c>
      <c r="N71" s="4">
        <f>9*150</f>
        <v>1350</v>
      </c>
      <c r="O71" s="4">
        <f>9*(150^2)</f>
        <v>202500</v>
      </c>
      <c r="P71" s="4"/>
      <c r="Q71" s="4" t="s">
        <v>144</v>
      </c>
      <c r="R71" s="4">
        <f>4245000/50</f>
        <v>84900</v>
      </c>
    </row>
    <row r="72" spans="1:18" x14ac:dyDescent="0.25">
      <c r="A72" s="4" t="s">
        <v>172</v>
      </c>
      <c r="B72" s="4">
        <v>23</v>
      </c>
      <c r="C72" s="4">
        <f>(102+108)/2</f>
        <v>105</v>
      </c>
      <c r="D72" s="4">
        <f>23*105</f>
        <v>2415</v>
      </c>
      <c r="E72" s="4">
        <f>23*(105^2)</f>
        <v>253575</v>
      </c>
      <c r="F72" s="4"/>
      <c r="G72" s="4" t="s">
        <v>146</v>
      </c>
      <c r="H72" s="4">
        <f>103.05^2</f>
        <v>10619.3025</v>
      </c>
      <c r="K72" s="4" t="s">
        <v>178</v>
      </c>
      <c r="L72" s="4">
        <v>15</v>
      </c>
      <c r="M72" s="4">
        <v>250</v>
      </c>
      <c r="N72" s="4">
        <f>15*250</f>
        <v>3750</v>
      </c>
      <c r="O72" s="4">
        <f>15*(250^2)</f>
        <v>937500</v>
      </c>
      <c r="P72" s="4"/>
      <c r="Q72" s="4" t="s">
        <v>145</v>
      </c>
      <c r="R72" s="4">
        <v>13200</v>
      </c>
    </row>
    <row r="73" spans="1:18" x14ac:dyDescent="0.25">
      <c r="A73" s="4" t="s">
        <v>173</v>
      </c>
      <c r="B73" s="4">
        <v>12</v>
      </c>
      <c r="C73" s="4">
        <f>(108+114)/2</f>
        <v>111</v>
      </c>
      <c r="D73" s="4">
        <f>12*111</f>
        <v>1332</v>
      </c>
      <c r="E73" s="4">
        <f>12*(111^2)</f>
        <v>147852</v>
      </c>
      <c r="F73" s="4"/>
      <c r="G73" s="4"/>
      <c r="H73" s="4"/>
      <c r="K73" s="4" t="s">
        <v>179</v>
      </c>
      <c r="L73" s="4">
        <v>12</v>
      </c>
      <c r="M73" s="4">
        <v>350</v>
      </c>
      <c r="N73" s="4">
        <f>12*350</f>
        <v>4200</v>
      </c>
      <c r="O73" s="4">
        <f>12*(350^2)</f>
        <v>1470000</v>
      </c>
      <c r="P73" s="4"/>
      <c r="Q73" s="4" t="s">
        <v>146</v>
      </c>
      <c r="R73" s="4">
        <f>264*264</f>
        <v>69696</v>
      </c>
    </row>
    <row r="74" spans="1:18" x14ac:dyDescent="0.25">
      <c r="A74" s="4" t="s">
        <v>174</v>
      </c>
      <c r="B74" s="4">
        <v>11</v>
      </c>
      <c r="C74" s="4">
        <f>(114+120)/2</f>
        <v>117</v>
      </c>
      <c r="D74" s="4">
        <f>11*117</f>
        <v>1287</v>
      </c>
      <c r="E74" s="4">
        <f>11*(117^2)</f>
        <v>150579</v>
      </c>
      <c r="F74" s="4"/>
      <c r="G74" s="4"/>
      <c r="H74" s="4"/>
      <c r="K74" s="4" t="s">
        <v>180</v>
      </c>
      <c r="L74" s="4">
        <v>8</v>
      </c>
      <c r="M74" s="4">
        <v>450</v>
      </c>
      <c r="N74" s="4">
        <f>8*450</f>
        <v>3600</v>
      </c>
      <c r="O74" s="4">
        <f>8*(450^2)</f>
        <v>1620000</v>
      </c>
      <c r="P74" s="4"/>
      <c r="Q74" s="4"/>
      <c r="R74" s="4"/>
    </row>
    <row r="75" spans="1:18" x14ac:dyDescent="0.25">
      <c r="A75" s="4"/>
      <c r="B75" s="2">
        <f>SUM(B69:B74)</f>
        <v>80</v>
      </c>
      <c r="C75" s="4"/>
      <c r="D75" s="2">
        <f>SUM(D69:D74)</f>
        <v>8244</v>
      </c>
      <c r="E75" s="2">
        <f>SUM(E69:E74)</f>
        <v>855864</v>
      </c>
      <c r="F75" s="4"/>
      <c r="G75" s="2" t="s">
        <v>129</v>
      </c>
      <c r="H75" s="2">
        <f>SQRT(553)</f>
        <v>23.515952032609693</v>
      </c>
      <c r="K75" s="4"/>
      <c r="L75" s="2">
        <f>SUM(L70:L74)</f>
        <v>50</v>
      </c>
      <c r="M75" s="4"/>
      <c r="N75" s="2">
        <f>SUM(N70:N74)</f>
        <v>13200</v>
      </c>
      <c r="O75" s="2">
        <f>SUM(O70:O74)</f>
        <v>4245000</v>
      </c>
      <c r="P75" s="4"/>
      <c r="Q75" s="2" t="s">
        <v>129</v>
      </c>
      <c r="R75" s="2">
        <v>408.95479999999998</v>
      </c>
    </row>
    <row r="78" spans="1:18" x14ac:dyDescent="0.25">
      <c r="A78" s="14" t="s">
        <v>39</v>
      </c>
      <c r="B78" s="1"/>
      <c r="C78" s="1"/>
      <c r="D78" s="1"/>
      <c r="E78" s="1"/>
      <c r="F78" s="1"/>
      <c r="G78" s="1"/>
      <c r="H78" s="1"/>
      <c r="I78" s="1"/>
      <c r="K78" s="14" t="s">
        <v>47</v>
      </c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2" t="s">
        <v>1</v>
      </c>
      <c r="B80" s="2" t="s">
        <v>2</v>
      </c>
      <c r="C80" s="2" t="s">
        <v>119</v>
      </c>
      <c r="D80" s="2" t="s">
        <v>135</v>
      </c>
      <c r="E80" s="2" t="s">
        <v>136</v>
      </c>
      <c r="F80" s="4"/>
      <c r="G80" s="4"/>
      <c r="H80" s="4"/>
      <c r="I80" s="1"/>
      <c r="K80" s="2" t="s">
        <v>1</v>
      </c>
      <c r="L80" s="2" t="s">
        <v>2</v>
      </c>
      <c r="M80" s="2" t="s">
        <v>119</v>
      </c>
      <c r="N80" s="2" t="s">
        <v>135</v>
      </c>
      <c r="O80" s="2" t="s">
        <v>136</v>
      </c>
      <c r="P80" s="4"/>
      <c r="Q80" s="4" t="s">
        <v>14</v>
      </c>
      <c r="R80" s="4">
        <v>40</v>
      </c>
    </row>
    <row r="81" spans="1:18" x14ac:dyDescent="0.25">
      <c r="A81" s="4" t="s">
        <v>182</v>
      </c>
      <c r="B81" s="4">
        <v>6</v>
      </c>
      <c r="C81" s="4">
        <f>(25+35)/2</f>
        <v>30</v>
      </c>
      <c r="D81" s="4">
        <f>6*30</f>
        <v>180</v>
      </c>
      <c r="E81" s="4">
        <f>6*(30^2)</f>
        <v>5400</v>
      </c>
      <c r="F81" s="4"/>
      <c r="G81" s="4" t="s">
        <v>14</v>
      </c>
      <c r="H81" s="4">
        <v>40</v>
      </c>
      <c r="I81" s="1"/>
      <c r="K81" s="4" t="s">
        <v>70</v>
      </c>
      <c r="L81" s="4">
        <v>7</v>
      </c>
      <c r="M81" s="4">
        <v>5</v>
      </c>
      <c r="N81" s="4">
        <v>35</v>
      </c>
      <c r="O81" s="4">
        <f>7*(35^2)</f>
        <v>8575</v>
      </c>
      <c r="P81" s="4"/>
      <c r="Q81" s="4" t="s">
        <v>143</v>
      </c>
      <c r="R81" s="4">
        <v>50400</v>
      </c>
    </row>
    <row r="82" spans="1:18" x14ac:dyDescent="0.25">
      <c r="A82" s="4" t="s">
        <v>183</v>
      </c>
      <c r="B82" s="4">
        <v>10</v>
      </c>
      <c r="C82" s="4">
        <f>(35+45)/2</f>
        <v>40</v>
      </c>
      <c r="D82" s="4">
        <f>10*40</f>
        <v>400</v>
      </c>
      <c r="E82" s="4">
        <f>10*(40^2)</f>
        <v>16000</v>
      </c>
      <c r="F82" s="4"/>
      <c r="G82" s="4" t="s">
        <v>143</v>
      </c>
      <c r="H82" s="4">
        <v>104200</v>
      </c>
      <c r="I82" s="1"/>
      <c r="K82" s="4" t="s">
        <v>71</v>
      </c>
      <c r="L82" s="4">
        <v>5</v>
      </c>
      <c r="M82" s="4">
        <v>15</v>
      </c>
      <c r="N82" s="4">
        <f>15*5</f>
        <v>75</v>
      </c>
      <c r="O82" s="4">
        <f>5*(15^2)</f>
        <v>1125</v>
      </c>
      <c r="P82" s="4"/>
      <c r="Q82" s="4" t="s">
        <v>144</v>
      </c>
      <c r="R82" s="4">
        <f>50400/40</f>
        <v>1260</v>
      </c>
    </row>
    <row r="83" spans="1:18" x14ac:dyDescent="0.25">
      <c r="A83" s="4" t="s">
        <v>184</v>
      </c>
      <c r="B83" s="4">
        <v>8</v>
      </c>
      <c r="C83" s="4">
        <f>(45+55)/2</f>
        <v>50</v>
      </c>
      <c r="D83" s="4">
        <f>8*50</f>
        <v>400</v>
      </c>
      <c r="E83" s="4">
        <f>8*(50^2)</f>
        <v>20000</v>
      </c>
      <c r="F83" s="4"/>
      <c r="G83" s="4" t="s">
        <v>144</v>
      </c>
      <c r="H83" s="4">
        <f>104200/40</f>
        <v>2605</v>
      </c>
      <c r="I83" s="1"/>
      <c r="K83" s="4" t="s">
        <v>35</v>
      </c>
      <c r="L83" s="4">
        <v>6</v>
      </c>
      <c r="M83" s="4">
        <v>25</v>
      </c>
      <c r="N83" s="4">
        <f>6*25</f>
        <v>150</v>
      </c>
      <c r="O83" s="4">
        <f>6*(25^2)</f>
        <v>3750</v>
      </c>
      <c r="P83" s="4"/>
      <c r="Q83" s="4" t="s">
        <v>145</v>
      </c>
      <c r="R83" s="4">
        <v>1150</v>
      </c>
    </row>
    <row r="84" spans="1:18" x14ac:dyDescent="0.25">
      <c r="A84" s="4" t="s">
        <v>185</v>
      </c>
      <c r="B84" s="4">
        <v>12</v>
      </c>
      <c r="C84" s="4">
        <f>(55+65)/2</f>
        <v>60</v>
      </c>
      <c r="D84" s="4">
        <f>12*60</f>
        <v>720</v>
      </c>
      <c r="E84" s="4">
        <f>12*(60^2)</f>
        <v>43200</v>
      </c>
      <c r="F84" s="4"/>
      <c r="G84" s="4" t="s">
        <v>145</v>
      </c>
      <c r="H84" s="4">
        <v>1980</v>
      </c>
      <c r="I84" s="1"/>
      <c r="K84" s="4" t="s">
        <v>36</v>
      </c>
      <c r="L84" s="4">
        <v>12</v>
      </c>
      <c r="M84" s="4">
        <v>35</v>
      </c>
      <c r="N84" s="4">
        <f>12*35</f>
        <v>420</v>
      </c>
      <c r="O84" s="4">
        <f>12*(35^2)</f>
        <v>14700</v>
      </c>
      <c r="P84" s="4"/>
      <c r="Q84" s="4" t="s">
        <v>146</v>
      </c>
      <c r="R84" s="4">
        <f>28.75*28.75</f>
        <v>826.5625</v>
      </c>
    </row>
    <row r="85" spans="1:18" x14ac:dyDescent="0.25">
      <c r="A85" s="4" t="s">
        <v>186</v>
      </c>
      <c r="B85" s="4">
        <v>4</v>
      </c>
      <c r="C85" s="4">
        <f>(65+75)/2</f>
        <v>70</v>
      </c>
      <c r="D85" s="4">
        <f>4*70</f>
        <v>280</v>
      </c>
      <c r="E85" s="4">
        <f>4*(70^2)</f>
        <v>19600</v>
      </c>
      <c r="F85" s="4"/>
      <c r="G85" s="4" t="s">
        <v>146</v>
      </c>
      <c r="H85" s="4">
        <f>49.5*49.5</f>
        <v>2450.25</v>
      </c>
      <c r="I85" s="1"/>
      <c r="K85" s="4" t="s">
        <v>72</v>
      </c>
      <c r="L85" s="4">
        <v>8</v>
      </c>
      <c r="M85" s="4">
        <v>45</v>
      </c>
      <c r="N85" s="4">
        <f>8*45</f>
        <v>360</v>
      </c>
      <c r="O85" s="4">
        <f>8*(45^2)</f>
        <v>16200</v>
      </c>
      <c r="P85" s="4"/>
      <c r="Q85" s="4"/>
      <c r="R85" s="4"/>
    </row>
    <row r="86" spans="1:18" x14ac:dyDescent="0.25">
      <c r="A86" s="4"/>
      <c r="B86" s="2">
        <f>SUM(B81:B85)</f>
        <v>40</v>
      </c>
      <c r="C86" s="4"/>
      <c r="D86" s="2">
        <f>SUM(D81:D85)</f>
        <v>1980</v>
      </c>
      <c r="E86" s="2">
        <f>SUM(E81:E85)</f>
        <v>104200</v>
      </c>
      <c r="F86" s="4"/>
      <c r="G86" s="4"/>
      <c r="H86" s="4"/>
      <c r="I86" s="1"/>
      <c r="K86" s="4" t="s">
        <v>134</v>
      </c>
      <c r="L86" s="4">
        <v>2</v>
      </c>
      <c r="M86" s="4">
        <v>55</v>
      </c>
      <c r="N86" s="4">
        <f>2*55</f>
        <v>110</v>
      </c>
      <c r="O86" s="4">
        <f>2*(55^2)</f>
        <v>6050</v>
      </c>
      <c r="P86" s="4"/>
      <c r="Q86" s="2" t="s">
        <v>129</v>
      </c>
      <c r="R86" s="2">
        <f>SQRT(4767.813)</f>
        <v>69.049351915857983</v>
      </c>
    </row>
    <row r="87" spans="1:18" x14ac:dyDescent="0.25">
      <c r="A87" s="4"/>
      <c r="B87" s="4"/>
      <c r="C87" s="4"/>
      <c r="D87" s="4"/>
      <c r="E87" s="4"/>
      <c r="F87" s="4"/>
      <c r="G87" s="2" t="s">
        <v>129</v>
      </c>
      <c r="H87" s="2">
        <f>SQRT(1702.25)</f>
        <v>41.258332491752498</v>
      </c>
      <c r="I87" s="1"/>
      <c r="K87" s="4"/>
      <c r="L87" s="2">
        <f>SUM(L81:L86)</f>
        <v>40</v>
      </c>
      <c r="M87" s="4"/>
      <c r="N87" s="2">
        <f>SUM(N81:N86)</f>
        <v>1150</v>
      </c>
      <c r="O87" s="2">
        <f>SUM(O81:O86)</f>
        <v>50400</v>
      </c>
      <c r="P87" s="4"/>
      <c r="Q87" s="4"/>
      <c r="R87" s="4"/>
    </row>
    <row r="89" spans="1:18" x14ac:dyDescent="0.25">
      <c r="A89" s="14" t="s">
        <v>57</v>
      </c>
      <c r="K89" s="14" t="s">
        <v>137</v>
      </c>
    </row>
    <row r="91" spans="1:18" x14ac:dyDescent="0.25">
      <c r="A91" s="2" t="s">
        <v>1</v>
      </c>
      <c r="B91" s="2" t="s">
        <v>2</v>
      </c>
      <c r="C91" s="2" t="s">
        <v>119</v>
      </c>
      <c r="D91" s="2" t="s">
        <v>135</v>
      </c>
      <c r="E91" s="2" t="s">
        <v>136</v>
      </c>
      <c r="F91" s="3"/>
      <c r="G91" s="4" t="s">
        <v>14</v>
      </c>
      <c r="H91" s="3">
        <v>80</v>
      </c>
      <c r="K91" s="2" t="s">
        <v>58</v>
      </c>
      <c r="L91" s="2" t="s">
        <v>2</v>
      </c>
      <c r="M91" s="2" t="s">
        <v>119</v>
      </c>
      <c r="N91" s="2" t="s">
        <v>135</v>
      </c>
      <c r="O91" s="2" t="s">
        <v>136</v>
      </c>
      <c r="P91" s="3"/>
      <c r="Q91" s="4" t="s">
        <v>14</v>
      </c>
      <c r="R91" s="3">
        <v>481</v>
      </c>
    </row>
    <row r="92" spans="1:18" x14ac:dyDescent="0.25">
      <c r="A92" s="3" t="s">
        <v>244</v>
      </c>
      <c r="B92" s="3">
        <v>12</v>
      </c>
      <c r="C92" s="3">
        <f>(1+3)/2</f>
        <v>2</v>
      </c>
      <c r="D92" s="3">
        <f>12*2</f>
        <v>24</v>
      </c>
      <c r="E92" s="3">
        <f>B92*(D92^2)</f>
        <v>6912</v>
      </c>
      <c r="F92" s="3"/>
      <c r="G92" s="3" t="s">
        <v>143</v>
      </c>
      <c r="H92" s="3">
        <v>1324844</v>
      </c>
      <c r="K92" s="3" t="s">
        <v>272</v>
      </c>
      <c r="L92" s="3">
        <v>5</v>
      </c>
      <c r="M92" s="3">
        <f>0+9/2</f>
        <v>4.5</v>
      </c>
      <c r="N92" s="3">
        <f>L92*M92</f>
        <v>22.5</v>
      </c>
      <c r="O92" s="3">
        <f t="shared" ref="O92:O101" si="0">L92*(M92^2)</f>
        <v>101.25</v>
      </c>
      <c r="P92" s="3"/>
      <c r="Q92" s="3" t="s">
        <v>143</v>
      </c>
      <c r="R92" s="3">
        <v>5257150.25</v>
      </c>
    </row>
    <row r="93" spans="1:18" x14ac:dyDescent="0.25">
      <c r="A93" s="3" t="s">
        <v>267</v>
      </c>
      <c r="B93" s="3">
        <v>22</v>
      </c>
      <c r="C93" s="3">
        <f>(3+5)/2</f>
        <v>4</v>
      </c>
      <c r="D93" s="3">
        <f>22*4</f>
        <v>88</v>
      </c>
      <c r="E93" s="3">
        <f>B93*(D93^2)</f>
        <v>170368</v>
      </c>
      <c r="F93" s="3"/>
      <c r="G93" s="3" t="s">
        <v>144</v>
      </c>
      <c r="H93" s="3">
        <f>H92/H91</f>
        <v>16560.55</v>
      </c>
      <c r="K93" s="3" t="s">
        <v>273</v>
      </c>
      <c r="L93" s="3">
        <v>9</v>
      </c>
      <c r="M93" s="3">
        <f>11+19/2</f>
        <v>20.5</v>
      </c>
      <c r="N93" s="3">
        <f>L93*M93</f>
        <v>184.5</v>
      </c>
      <c r="O93" s="3">
        <f t="shared" si="0"/>
        <v>3782.25</v>
      </c>
      <c r="P93" s="3"/>
      <c r="Q93" s="3" t="s">
        <v>144</v>
      </c>
      <c r="R93" s="3">
        <f>R92/R91</f>
        <v>10929.626299376299</v>
      </c>
    </row>
    <row r="94" spans="1:18" x14ac:dyDescent="0.25">
      <c r="A94" s="3" t="s">
        <v>268</v>
      </c>
      <c r="B94" s="3">
        <v>27</v>
      </c>
      <c r="C94" s="3">
        <f>(5+7)/2</f>
        <v>6</v>
      </c>
      <c r="D94" s="3">
        <f>27*6</f>
        <v>162</v>
      </c>
      <c r="E94" s="3">
        <f>B94*(D94^2)</f>
        <v>708588</v>
      </c>
      <c r="F94" s="3"/>
      <c r="G94" s="3" t="s">
        <v>145</v>
      </c>
      <c r="H94" s="3">
        <v>426</v>
      </c>
      <c r="K94" s="3" t="s">
        <v>274</v>
      </c>
      <c r="L94" s="3">
        <v>17</v>
      </c>
      <c r="M94" s="3">
        <f>21+29/2</f>
        <v>35.5</v>
      </c>
      <c r="N94" s="3">
        <f>L94*M94</f>
        <v>603.5</v>
      </c>
      <c r="O94" s="3">
        <f t="shared" si="0"/>
        <v>21424.25</v>
      </c>
      <c r="P94" s="3"/>
      <c r="Q94" s="3" t="s">
        <v>145</v>
      </c>
      <c r="R94" s="3">
        <v>49050.5</v>
      </c>
    </row>
    <row r="95" spans="1:18" x14ac:dyDescent="0.25">
      <c r="A95" s="3" t="s">
        <v>269</v>
      </c>
      <c r="B95" s="3">
        <v>19</v>
      </c>
      <c r="C95" s="3">
        <f>(7+9)/2</f>
        <v>8</v>
      </c>
      <c r="D95" s="3">
        <f>19*8</f>
        <v>152</v>
      </c>
      <c r="E95" s="3">
        <f>B95*(D95^2)</f>
        <v>438976</v>
      </c>
      <c r="F95" s="3"/>
      <c r="G95" s="3" t="s">
        <v>146</v>
      </c>
      <c r="H95" s="3">
        <f>5.325*5.325</f>
        <v>28.355625000000003</v>
      </c>
      <c r="K95" s="3" t="s">
        <v>275</v>
      </c>
      <c r="L95" s="3">
        <v>29</v>
      </c>
      <c r="M95" s="3">
        <f>31+39/2</f>
        <v>50.5</v>
      </c>
      <c r="N95" s="3">
        <f>L95*M96</f>
        <v>1899.5</v>
      </c>
      <c r="O95" s="3">
        <f t="shared" si="0"/>
        <v>73957.25</v>
      </c>
      <c r="P95" s="3"/>
      <c r="Q95" s="3" t="s">
        <v>146</v>
      </c>
      <c r="R95" s="3">
        <f>101.9761*101.9761</f>
        <v>10399.12497121</v>
      </c>
    </row>
    <row r="96" spans="1:18" x14ac:dyDescent="0.25">
      <c r="A96" s="3"/>
      <c r="B96" s="3"/>
      <c r="C96" s="3"/>
      <c r="D96" s="3"/>
      <c r="E96" s="3"/>
      <c r="F96" s="3"/>
      <c r="G96" s="3"/>
      <c r="H96" s="3"/>
      <c r="K96" s="3" t="s">
        <v>276</v>
      </c>
      <c r="L96" s="3">
        <v>45</v>
      </c>
      <c r="M96" s="3">
        <f>41+49/2</f>
        <v>65.5</v>
      </c>
      <c r="N96" s="3">
        <f>L96*M96</f>
        <v>2947.5</v>
      </c>
      <c r="O96" s="3">
        <f t="shared" si="0"/>
        <v>193061.25</v>
      </c>
      <c r="P96" s="3"/>
      <c r="Q96" s="3"/>
      <c r="R96" s="3"/>
    </row>
    <row r="97" spans="1:18" x14ac:dyDescent="0.25">
      <c r="A97" s="2" t="s">
        <v>123</v>
      </c>
      <c r="B97" s="2">
        <f>SUM(B92:B96)</f>
        <v>80</v>
      </c>
      <c r="C97" s="3"/>
      <c r="D97" s="2">
        <f>SUM(D92:D96)</f>
        <v>426</v>
      </c>
      <c r="E97" s="2">
        <f>SUM(E92:E96)</f>
        <v>1324844</v>
      </c>
      <c r="F97" s="3"/>
      <c r="G97" s="2" t="s">
        <v>129</v>
      </c>
      <c r="H97" s="2">
        <f>SQRT(33036)</f>
        <v>181.75808097578496</v>
      </c>
      <c r="K97" s="3" t="s">
        <v>277</v>
      </c>
      <c r="L97" s="3">
        <v>60</v>
      </c>
      <c r="M97" s="3">
        <f>51+59/2</f>
        <v>80.5</v>
      </c>
      <c r="N97" s="3">
        <f>L97*M98</f>
        <v>5730</v>
      </c>
      <c r="O97" s="3">
        <f t="shared" si="0"/>
        <v>388815</v>
      </c>
      <c r="P97" s="3"/>
      <c r="Q97" s="2" t="s">
        <v>129</v>
      </c>
      <c r="R97" s="2">
        <f>SQRT(82662.5)</f>
        <v>287.51086935975133</v>
      </c>
    </row>
    <row r="98" spans="1:18" x14ac:dyDescent="0.25">
      <c r="K98" s="3" t="s">
        <v>278</v>
      </c>
      <c r="L98" s="3">
        <v>70</v>
      </c>
      <c r="M98" s="3">
        <f>61+69/2</f>
        <v>95.5</v>
      </c>
      <c r="N98" s="3">
        <f>L98*M98</f>
        <v>6685</v>
      </c>
      <c r="O98" s="3">
        <f t="shared" si="0"/>
        <v>638417.5</v>
      </c>
    </row>
    <row r="99" spans="1:18" x14ac:dyDescent="0.25">
      <c r="K99" s="3" t="s">
        <v>279</v>
      </c>
      <c r="L99" s="3">
        <v>78</v>
      </c>
      <c r="M99" s="3">
        <f>71+79/2</f>
        <v>110.5</v>
      </c>
      <c r="N99" s="3">
        <f>L99*M99</f>
        <v>8619</v>
      </c>
      <c r="O99" s="3">
        <f t="shared" si="0"/>
        <v>952399.5</v>
      </c>
    </row>
    <row r="100" spans="1:18" x14ac:dyDescent="0.25">
      <c r="K100" s="3" t="s">
        <v>280</v>
      </c>
      <c r="L100" s="3">
        <v>83</v>
      </c>
      <c r="M100" s="3">
        <f>81+89/2</f>
        <v>125.5</v>
      </c>
      <c r="N100" s="3">
        <f>L100*M100</f>
        <v>10416.5</v>
      </c>
      <c r="O100" s="3">
        <f t="shared" si="0"/>
        <v>1307270.75</v>
      </c>
    </row>
    <row r="101" spans="1:18" x14ac:dyDescent="0.25">
      <c r="K101" s="3" t="s">
        <v>281</v>
      </c>
      <c r="L101" s="3">
        <v>85</v>
      </c>
      <c r="M101" s="3">
        <f>91+99/2</f>
        <v>140.5</v>
      </c>
      <c r="N101" s="3">
        <f>L101*M101</f>
        <v>11942.5</v>
      </c>
      <c r="O101" s="3">
        <f t="shared" si="0"/>
        <v>1677921.25</v>
      </c>
    </row>
    <row r="102" spans="1:18" x14ac:dyDescent="0.25">
      <c r="K102" s="3"/>
      <c r="L102" s="2">
        <f>SUM(L92:L101)</f>
        <v>481</v>
      </c>
      <c r="M102" s="3"/>
      <c r="N102" s="2">
        <f>SUM(N92:N101)</f>
        <v>49050.5</v>
      </c>
      <c r="O102" s="2">
        <f>SUM(O92:O101)</f>
        <v>5257150.25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DA38-2F3C-4776-A1CA-378F436623A2}">
  <dimension ref="A3:T109"/>
  <sheetViews>
    <sheetView topLeftCell="A91" zoomScaleNormal="100" workbookViewId="0">
      <selection activeCell="R52" sqref="R52"/>
    </sheetView>
  </sheetViews>
  <sheetFormatPr defaultRowHeight="15" x14ac:dyDescent="0.25"/>
  <cols>
    <col min="7" max="7" width="10" bestFit="1" customWidth="1"/>
    <col min="8" max="8" width="12" bestFit="1" customWidth="1"/>
  </cols>
  <sheetData>
    <row r="3" spans="1:20" x14ac:dyDescent="0.25">
      <c r="F3" s="8"/>
    </row>
    <row r="4" spans="1:20" x14ac:dyDescent="0.25">
      <c r="A4" s="2" t="s">
        <v>188</v>
      </c>
      <c r="B4" s="7" t="s">
        <v>189</v>
      </c>
      <c r="C4" s="2" t="s">
        <v>190</v>
      </c>
      <c r="D4" s="2" t="s">
        <v>128</v>
      </c>
      <c r="E4" s="2" t="s">
        <v>191</v>
      </c>
      <c r="F4" s="3"/>
      <c r="G4" s="3" t="s">
        <v>192</v>
      </c>
      <c r="H4" s="3">
        <f>10*3577</f>
        <v>35770</v>
      </c>
      <c r="L4" s="2" t="s">
        <v>1</v>
      </c>
      <c r="M4" s="2" t="s">
        <v>202</v>
      </c>
      <c r="N4" s="2" t="s">
        <v>203</v>
      </c>
      <c r="O4" s="2" t="s">
        <v>204</v>
      </c>
      <c r="P4" s="2" t="s">
        <v>205</v>
      </c>
      <c r="Q4" s="2" t="s">
        <v>206</v>
      </c>
      <c r="R4" s="3"/>
      <c r="S4" s="10" t="s">
        <v>210</v>
      </c>
      <c r="T4" s="3">
        <f>6*56</f>
        <v>336</v>
      </c>
    </row>
    <row r="5" spans="1:20" x14ac:dyDescent="0.25">
      <c r="A5" s="3">
        <v>11</v>
      </c>
      <c r="B5" s="3">
        <v>30</v>
      </c>
      <c r="C5" s="3">
        <f>11*30</f>
        <v>330</v>
      </c>
      <c r="D5" s="3">
        <f>(11^2)</f>
        <v>121</v>
      </c>
      <c r="E5" s="3">
        <f>30*30</f>
        <v>900</v>
      </c>
      <c r="F5" s="3"/>
      <c r="G5" s="3" t="s">
        <v>193</v>
      </c>
      <c r="H5" s="3">
        <v>155</v>
      </c>
      <c r="L5" s="3">
        <v>8</v>
      </c>
      <c r="M5" s="3">
        <v>101</v>
      </c>
      <c r="N5" s="3">
        <v>6</v>
      </c>
      <c r="O5" s="3">
        <v>3</v>
      </c>
      <c r="P5" s="3">
        <f>6-3</f>
        <v>3</v>
      </c>
      <c r="Q5" s="3">
        <v>9</v>
      </c>
      <c r="R5" s="3"/>
      <c r="S5" s="3" t="s">
        <v>208</v>
      </c>
      <c r="T5" s="3">
        <f>8*63</f>
        <v>504</v>
      </c>
    </row>
    <row r="6" spans="1:20" x14ac:dyDescent="0.25">
      <c r="A6" s="3">
        <v>12</v>
      </c>
      <c r="B6" s="3">
        <v>29</v>
      </c>
      <c r="C6" s="3">
        <f>12*29</f>
        <v>348</v>
      </c>
      <c r="D6" s="3">
        <f>12*12</f>
        <v>144</v>
      </c>
      <c r="E6" s="3">
        <f>29*29</f>
        <v>841</v>
      </c>
      <c r="F6" s="3"/>
      <c r="G6" s="3" t="s">
        <v>194</v>
      </c>
      <c r="H6" s="3">
        <v>239</v>
      </c>
      <c r="L6" s="3">
        <v>7</v>
      </c>
      <c r="M6" s="3">
        <v>98</v>
      </c>
      <c r="N6" s="3">
        <v>7</v>
      </c>
      <c r="O6" s="3">
        <v>4</v>
      </c>
      <c r="P6" s="9" t="s">
        <v>207</v>
      </c>
      <c r="Q6" s="3">
        <v>9</v>
      </c>
      <c r="R6" s="3"/>
      <c r="S6" s="2" t="s">
        <v>209</v>
      </c>
      <c r="T6" s="2">
        <f>1-(336/504)</f>
        <v>0.33333333333333337</v>
      </c>
    </row>
    <row r="7" spans="1:20" x14ac:dyDescent="0.25">
      <c r="A7" s="3">
        <v>13</v>
      </c>
      <c r="B7" s="3">
        <v>29</v>
      </c>
      <c r="C7" s="3">
        <f>13*29</f>
        <v>377</v>
      </c>
      <c r="D7" s="3">
        <f>13*13</f>
        <v>169</v>
      </c>
      <c r="E7" s="3">
        <v>841</v>
      </c>
      <c r="F7" s="3"/>
      <c r="G7" s="3" t="s">
        <v>195</v>
      </c>
      <c r="H7" s="3">
        <f>10*2485</f>
        <v>24850</v>
      </c>
      <c r="L7" s="3">
        <v>11</v>
      </c>
      <c r="M7" s="3">
        <v>96</v>
      </c>
      <c r="N7" s="3">
        <v>4</v>
      </c>
      <c r="O7" s="3">
        <v>6</v>
      </c>
      <c r="P7" s="3">
        <f>4-6</f>
        <v>-2</v>
      </c>
      <c r="Q7" s="3">
        <f>-2*-2</f>
        <v>4</v>
      </c>
    </row>
    <row r="8" spans="1:20" x14ac:dyDescent="0.25">
      <c r="A8" s="3">
        <v>14</v>
      </c>
      <c r="B8" s="3">
        <v>25</v>
      </c>
      <c r="C8" s="3">
        <f>14*25</f>
        <v>350</v>
      </c>
      <c r="D8" s="3">
        <f>14*14</f>
        <v>196</v>
      </c>
      <c r="E8" s="3">
        <f>25*25</f>
        <v>625</v>
      </c>
      <c r="F8" s="3"/>
      <c r="G8" s="3" t="s">
        <v>196</v>
      </c>
      <c r="H8" s="3">
        <f>155*155</f>
        <v>24025</v>
      </c>
      <c r="L8" s="3">
        <v>10</v>
      </c>
      <c r="M8" s="3">
        <v>105</v>
      </c>
      <c r="N8" s="3">
        <v>5</v>
      </c>
      <c r="O8" s="3">
        <v>2</v>
      </c>
      <c r="P8" s="3">
        <f>5-2</f>
        <v>3</v>
      </c>
      <c r="Q8" s="3">
        <v>9</v>
      </c>
    </row>
    <row r="9" spans="1:20" x14ac:dyDescent="0.25">
      <c r="A9" s="3">
        <v>15</v>
      </c>
      <c r="B9" s="3">
        <v>24</v>
      </c>
      <c r="C9" s="3">
        <f>15*24</f>
        <v>360</v>
      </c>
      <c r="D9" s="3">
        <f>15*15</f>
        <v>225</v>
      </c>
      <c r="E9" s="3">
        <f>24*24</f>
        <v>576</v>
      </c>
      <c r="F9" s="3"/>
      <c r="G9" s="3" t="s">
        <v>197</v>
      </c>
      <c r="H9" s="3">
        <f>10*5925</f>
        <v>59250</v>
      </c>
      <c r="L9" s="3">
        <v>19</v>
      </c>
      <c r="M9" s="3">
        <v>110</v>
      </c>
      <c r="N9" s="3">
        <v>1</v>
      </c>
      <c r="O9" s="3">
        <v>1</v>
      </c>
      <c r="P9" s="3">
        <f>1-1</f>
        <v>0</v>
      </c>
      <c r="Q9" s="3">
        <v>0</v>
      </c>
    </row>
    <row r="10" spans="1:20" x14ac:dyDescent="0.25">
      <c r="A10" s="3">
        <v>16</v>
      </c>
      <c r="B10" s="3">
        <v>24</v>
      </c>
      <c r="C10" s="3">
        <f>16*24</f>
        <v>384</v>
      </c>
      <c r="D10" s="3">
        <f>16*16</f>
        <v>256</v>
      </c>
      <c r="E10" s="3">
        <v>576</v>
      </c>
      <c r="F10" s="3"/>
      <c r="G10" s="3" t="s">
        <v>198</v>
      </c>
      <c r="H10" s="3">
        <f>5925*5925</f>
        <v>35105625</v>
      </c>
      <c r="L10" s="3">
        <v>14</v>
      </c>
      <c r="M10" s="3">
        <v>97</v>
      </c>
      <c r="N10" s="3">
        <v>2</v>
      </c>
      <c r="O10" s="3">
        <v>5</v>
      </c>
      <c r="P10" s="3">
        <f>2-5</f>
        <v>-3</v>
      </c>
      <c r="Q10" s="3">
        <v>9</v>
      </c>
    </row>
    <row r="11" spans="1:20" x14ac:dyDescent="0.25">
      <c r="A11" s="3">
        <v>17</v>
      </c>
      <c r="B11" s="3">
        <v>24</v>
      </c>
      <c r="C11" s="3">
        <f>17*24</f>
        <v>408</v>
      </c>
      <c r="D11" s="3">
        <f>17*17</f>
        <v>289</v>
      </c>
      <c r="E11" s="3">
        <v>576</v>
      </c>
      <c r="F11" s="3"/>
      <c r="G11" s="3"/>
      <c r="H11" s="3"/>
      <c r="L11" s="3">
        <v>6</v>
      </c>
      <c r="M11" s="3">
        <v>11</v>
      </c>
      <c r="N11" s="3">
        <v>8</v>
      </c>
      <c r="O11" s="3">
        <v>8</v>
      </c>
      <c r="P11" s="3">
        <v>0</v>
      </c>
      <c r="Q11" s="3">
        <v>0</v>
      </c>
    </row>
    <row r="12" spans="1:20" x14ac:dyDescent="0.25">
      <c r="A12" s="3">
        <v>18</v>
      </c>
      <c r="B12" s="3">
        <v>21</v>
      </c>
      <c r="C12" s="3">
        <f>18*21</f>
        <v>378</v>
      </c>
      <c r="D12" s="3">
        <f>18*18</f>
        <v>324</v>
      </c>
      <c r="E12" s="3">
        <f>21*21</f>
        <v>441</v>
      </c>
      <c r="F12" s="3"/>
      <c r="G12" s="2" t="s">
        <v>199</v>
      </c>
      <c r="H12" s="2">
        <f>35770-37045</f>
        <v>-1275</v>
      </c>
      <c r="L12" s="3">
        <v>13</v>
      </c>
      <c r="M12" s="3">
        <v>50</v>
      </c>
      <c r="N12" s="3">
        <v>3</v>
      </c>
      <c r="O12" s="3">
        <v>7</v>
      </c>
      <c r="P12" s="3">
        <f>3-7</f>
        <v>-4</v>
      </c>
      <c r="Q12" s="3">
        <v>16</v>
      </c>
    </row>
    <row r="13" spans="1:20" x14ac:dyDescent="0.25">
      <c r="A13" s="3">
        <v>19</v>
      </c>
      <c r="B13" s="3">
        <v>18</v>
      </c>
      <c r="C13" s="3">
        <f>19*18</f>
        <v>342</v>
      </c>
      <c r="D13" s="3">
        <f>19*19</f>
        <v>361</v>
      </c>
      <c r="E13" s="3">
        <f>18*18</f>
        <v>324</v>
      </c>
      <c r="F13" s="3"/>
      <c r="G13" s="11" t="s">
        <v>200</v>
      </c>
      <c r="H13" s="2">
        <v>1325</v>
      </c>
      <c r="L13" s="3"/>
      <c r="M13" s="3"/>
      <c r="N13" s="3"/>
      <c r="O13" s="3"/>
      <c r="P13" s="3"/>
      <c r="Q13" s="2">
        <f>SUM(Q5:Q12)</f>
        <v>56</v>
      </c>
    </row>
    <row r="14" spans="1:20" x14ac:dyDescent="0.25">
      <c r="A14" s="3">
        <v>20</v>
      </c>
      <c r="B14" s="3">
        <v>15</v>
      </c>
      <c r="C14" s="3">
        <f>20*15</f>
        <v>300</v>
      </c>
      <c r="D14" s="3">
        <f>20*20</f>
        <v>400</v>
      </c>
      <c r="E14" s="3">
        <f>15*15</f>
        <v>225</v>
      </c>
      <c r="F14" s="3"/>
      <c r="G14" s="2" t="s">
        <v>201</v>
      </c>
      <c r="H14" s="2">
        <f>-1275/1325.302</f>
        <v>-0.96204487731852817</v>
      </c>
    </row>
    <row r="15" spans="1:20" x14ac:dyDescent="0.25">
      <c r="A15" s="2">
        <f>SUM(A5:A14)</f>
        <v>155</v>
      </c>
      <c r="B15" s="2">
        <f>SUM(B5:B14)</f>
        <v>239</v>
      </c>
      <c r="C15" s="2">
        <f>SUM(C5:C14)</f>
        <v>3577</v>
      </c>
      <c r="D15" s="2">
        <f>SUM(D5:D14)</f>
        <v>2485</v>
      </c>
      <c r="E15" s="2">
        <f>SUM(E5:E14)</f>
        <v>5925</v>
      </c>
      <c r="F15" s="3"/>
      <c r="G15" s="3"/>
      <c r="H15" s="3"/>
    </row>
    <row r="18" spans="1:16" x14ac:dyDescent="0.25">
      <c r="I18" s="14" t="s">
        <v>0</v>
      </c>
      <c r="K18" s="18" t="s">
        <v>218</v>
      </c>
    </row>
    <row r="20" spans="1:16" x14ac:dyDescent="0.25">
      <c r="A20" s="2" t="s">
        <v>1</v>
      </c>
      <c r="B20" s="2" t="s">
        <v>202</v>
      </c>
      <c r="C20" s="2" t="s">
        <v>203</v>
      </c>
      <c r="D20" s="2" t="s">
        <v>204</v>
      </c>
      <c r="E20" s="2" t="s">
        <v>205</v>
      </c>
      <c r="F20" s="2" t="s">
        <v>206</v>
      </c>
      <c r="H20" s="1"/>
      <c r="I20" s="2" t="s">
        <v>1</v>
      </c>
      <c r="J20" s="2" t="s">
        <v>202</v>
      </c>
      <c r="K20" s="2" t="s">
        <v>190</v>
      </c>
      <c r="L20" s="2" t="s">
        <v>128</v>
      </c>
      <c r="M20" s="2" t="s">
        <v>191</v>
      </c>
      <c r="N20" s="4"/>
      <c r="O20" s="4" t="s">
        <v>211</v>
      </c>
      <c r="P20" s="3">
        <f>10*285</f>
        <v>2850</v>
      </c>
    </row>
    <row r="21" spans="1:16" x14ac:dyDescent="0.25">
      <c r="A21" s="3">
        <v>10</v>
      </c>
      <c r="B21" s="4">
        <v>4</v>
      </c>
      <c r="C21" s="3">
        <v>4.5</v>
      </c>
      <c r="D21" s="3">
        <v>6</v>
      </c>
      <c r="E21" s="3">
        <f>4.5-6</f>
        <v>-1.5</v>
      </c>
      <c r="F21" s="3">
        <f>(-1.5*-1.5)</f>
        <v>2.25</v>
      </c>
      <c r="I21" s="3">
        <v>5</v>
      </c>
      <c r="J21" s="3">
        <v>5</v>
      </c>
      <c r="K21" s="3">
        <f>5*5</f>
        <v>25</v>
      </c>
      <c r="L21" s="3">
        <f>5^2</f>
        <v>25</v>
      </c>
      <c r="M21" s="3">
        <f>5^2</f>
        <v>25</v>
      </c>
      <c r="N21" s="3"/>
      <c r="O21" s="3" t="s">
        <v>212</v>
      </c>
      <c r="P21" s="3">
        <v>64</v>
      </c>
    </row>
    <row r="22" spans="1:16" x14ac:dyDescent="0.25">
      <c r="A22" s="3">
        <v>11</v>
      </c>
      <c r="B22" s="4">
        <v>5</v>
      </c>
      <c r="C22" s="3">
        <v>3</v>
      </c>
      <c r="D22" s="3">
        <v>4</v>
      </c>
      <c r="E22" s="3">
        <f>3-4</f>
        <v>-1</v>
      </c>
      <c r="F22" s="3">
        <f>-1*-1</f>
        <v>1</v>
      </c>
      <c r="H22" s="1"/>
      <c r="I22" s="3">
        <v>10</v>
      </c>
      <c r="J22" s="3">
        <v>2</v>
      </c>
      <c r="K22" s="3">
        <v>20</v>
      </c>
      <c r="L22" s="3">
        <f>10^2</f>
        <v>100</v>
      </c>
      <c r="M22" s="3">
        <f>2^2</f>
        <v>4</v>
      </c>
      <c r="N22" s="3"/>
      <c r="O22" s="3" t="s">
        <v>213</v>
      </c>
      <c r="P22" s="3">
        <v>56</v>
      </c>
    </row>
    <row r="23" spans="1:16" x14ac:dyDescent="0.25">
      <c r="A23" s="3">
        <v>12</v>
      </c>
      <c r="B23" s="4">
        <v>6</v>
      </c>
      <c r="C23" s="3">
        <v>2</v>
      </c>
      <c r="D23" s="3">
        <v>2</v>
      </c>
      <c r="E23" s="3">
        <v>0</v>
      </c>
      <c r="F23" s="3">
        <v>0</v>
      </c>
      <c r="I23" s="3">
        <v>4</v>
      </c>
      <c r="J23" s="3">
        <v>8</v>
      </c>
      <c r="K23" s="3">
        <f>4*8</f>
        <v>32</v>
      </c>
      <c r="L23" s="3">
        <f>4^2</f>
        <v>16</v>
      </c>
      <c r="M23" s="3">
        <f>8^2</f>
        <v>64</v>
      </c>
      <c r="N23" s="3"/>
      <c r="O23" s="3" t="s">
        <v>214</v>
      </c>
      <c r="P23" s="3">
        <f>10*520</f>
        <v>5200</v>
      </c>
    </row>
    <row r="24" spans="1:16" x14ac:dyDescent="0.25">
      <c r="A24" s="3">
        <v>8</v>
      </c>
      <c r="B24" s="4">
        <v>5</v>
      </c>
      <c r="C24" s="3">
        <v>6</v>
      </c>
      <c r="D24" s="3">
        <v>4</v>
      </c>
      <c r="E24" s="3">
        <v>2</v>
      </c>
      <c r="F24" s="3">
        <v>4</v>
      </c>
      <c r="H24" s="1"/>
      <c r="I24" s="4">
        <v>8</v>
      </c>
      <c r="J24" s="4">
        <v>3</v>
      </c>
      <c r="K24" s="4">
        <v>24</v>
      </c>
      <c r="L24" s="3">
        <f>8^2</f>
        <v>64</v>
      </c>
      <c r="M24" s="3">
        <f>3^2</f>
        <v>9</v>
      </c>
      <c r="N24" s="3"/>
      <c r="O24" s="3" t="s">
        <v>215</v>
      </c>
      <c r="P24" s="3">
        <f>64*64</f>
        <v>4096</v>
      </c>
    </row>
    <row r="25" spans="1:16" x14ac:dyDescent="0.25">
      <c r="A25" s="3">
        <v>10</v>
      </c>
      <c r="B25" s="4">
        <v>5</v>
      </c>
      <c r="C25" s="3">
        <v>4.5</v>
      </c>
      <c r="D25" s="3">
        <v>4</v>
      </c>
      <c r="E25" s="3">
        <f>4.5-4</f>
        <v>0.5</v>
      </c>
      <c r="F25" s="3">
        <f>0.5*0.5</f>
        <v>0.25</v>
      </c>
      <c r="H25" s="1"/>
      <c r="I25" s="4">
        <v>2</v>
      </c>
      <c r="J25" s="4">
        <v>8</v>
      </c>
      <c r="K25" s="3">
        <v>16</v>
      </c>
      <c r="L25" s="3">
        <f>2^2</f>
        <v>4</v>
      </c>
      <c r="M25" s="3">
        <f>8^2</f>
        <v>64</v>
      </c>
      <c r="N25" s="3"/>
      <c r="O25" s="16" t="s">
        <v>199</v>
      </c>
      <c r="P25" s="2">
        <v>-606</v>
      </c>
    </row>
    <row r="26" spans="1:16" x14ac:dyDescent="0.25">
      <c r="A26" s="3">
        <v>15</v>
      </c>
      <c r="B26" s="4">
        <v>3</v>
      </c>
      <c r="C26" s="3">
        <v>1</v>
      </c>
      <c r="D26" s="3">
        <v>7</v>
      </c>
      <c r="E26" s="3">
        <f>1-7</f>
        <v>-6</v>
      </c>
      <c r="F26" s="3">
        <f>-6*-6</f>
        <v>36</v>
      </c>
      <c r="I26" s="4">
        <v>7</v>
      </c>
      <c r="J26" s="4">
        <v>5</v>
      </c>
      <c r="K26" s="3">
        <v>35</v>
      </c>
      <c r="L26" s="3">
        <f>7^2</f>
        <v>49</v>
      </c>
      <c r="M26" s="3">
        <f>5^2</f>
        <v>25</v>
      </c>
      <c r="N26" s="3"/>
      <c r="O26" s="17" t="s">
        <v>216</v>
      </c>
      <c r="P26" s="2">
        <v>816.58799999999997</v>
      </c>
    </row>
    <row r="27" spans="1:16" x14ac:dyDescent="0.25">
      <c r="A27" s="3">
        <v>7</v>
      </c>
      <c r="B27" s="4">
        <v>7</v>
      </c>
      <c r="C27" s="3">
        <v>7</v>
      </c>
      <c r="D27" s="3">
        <v>1</v>
      </c>
      <c r="E27" s="3">
        <v>6</v>
      </c>
      <c r="F27" s="3">
        <v>36</v>
      </c>
      <c r="I27" s="4">
        <v>9</v>
      </c>
      <c r="J27" s="4">
        <v>5</v>
      </c>
      <c r="K27" s="4">
        <v>45</v>
      </c>
      <c r="L27" s="3">
        <f>9^2</f>
        <v>81</v>
      </c>
      <c r="M27" s="3">
        <v>25</v>
      </c>
      <c r="N27" s="3"/>
      <c r="O27" s="2" t="s">
        <v>217</v>
      </c>
      <c r="P27" s="2">
        <f>-0.74211</f>
        <v>-0.74211000000000005</v>
      </c>
    </row>
    <row r="28" spans="1:16" x14ac:dyDescent="0.25">
      <c r="A28" s="3"/>
      <c r="B28" s="3"/>
      <c r="C28" s="3"/>
      <c r="D28" s="3"/>
      <c r="E28" s="3"/>
      <c r="F28" s="2">
        <f>SUM(F21:F27)</f>
        <v>79.5</v>
      </c>
      <c r="I28" s="4">
        <v>6</v>
      </c>
      <c r="J28" s="4">
        <v>7</v>
      </c>
      <c r="K28" s="3">
        <f>6*7</f>
        <v>42</v>
      </c>
      <c r="L28" s="3">
        <f>6^2</f>
        <v>36</v>
      </c>
      <c r="M28" s="15">
        <f>7^2</f>
        <v>49</v>
      </c>
    </row>
    <row r="29" spans="1:16" x14ac:dyDescent="0.25">
      <c r="A29" s="3"/>
      <c r="B29" s="3"/>
      <c r="C29" s="3"/>
      <c r="D29" s="3"/>
      <c r="E29" s="3"/>
      <c r="F29" s="3"/>
      <c r="I29" s="4">
        <v>1</v>
      </c>
      <c r="J29" s="4">
        <v>10</v>
      </c>
      <c r="K29" s="3">
        <v>10</v>
      </c>
      <c r="L29" s="3">
        <f>1^2</f>
        <v>1</v>
      </c>
      <c r="M29" s="3">
        <f>10^2</f>
        <v>100</v>
      </c>
    </row>
    <row r="30" spans="1:16" x14ac:dyDescent="0.25">
      <c r="A30" s="3"/>
      <c r="B30" s="3"/>
      <c r="C30" s="3"/>
      <c r="D30" s="3"/>
      <c r="E30" s="2" t="s">
        <v>226</v>
      </c>
      <c r="F30" s="16">
        <v>-0.46428571400000002</v>
      </c>
      <c r="H30" s="1"/>
      <c r="I30" s="4">
        <v>12</v>
      </c>
      <c r="J30" s="4">
        <v>3</v>
      </c>
      <c r="K30" s="3">
        <f>12*3</f>
        <v>36</v>
      </c>
      <c r="L30" s="3">
        <f>12^2</f>
        <v>144</v>
      </c>
      <c r="M30" s="3">
        <f>3^2</f>
        <v>9</v>
      </c>
    </row>
    <row r="31" spans="1:16" x14ac:dyDescent="0.25">
      <c r="I31" s="2">
        <f>SUM(I21:I30)</f>
        <v>64</v>
      </c>
      <c r="J31" s="2">
        <f>SUM(J21:J30)</f>
        <v>56</v>
      </c>
      <c r="K31" s="2">
        <f>SUM(K21:K30)</f>
        <v>285</v>
      </c>
      <c r="L31" s="2">
        <f>SUM(L21:L30)</f>
        <v>520</v>
      </c>
      <c r="M31" s="2">
        <f>SUM(M21:M30)</f>
        <v>374</v>
      </c>
    </row>
    <row r="35" spans="1:20" x14ac:dyDescent="0.25">
      <c r="A35" s="19" t="s">
        <v>235</v>
      </c>
      <c r="L35" s="14" t="s">
        <v>16</v>
      </c>
    </row>
    <row r="37" spans="1:20" x14ac:dyDescent="0.25">
      <c r="A37" s="2" t="s">
        <v>1</v>
      </c>
      <c r="B37" s="2" t="s">
        <v>202</v>
      </c>
      <c r="C37" s="2" t="s">
        <v>203</v>
      </c>
      <c r="D37" s="2" t="s">
        <v>204</v>
      </c>
      <c r="E37" s="2" t="s">
        <v>205</v>
      </c>
      <c r="F37" s="2" t="s">
        <v>206</v>
      </c>
      <c r="G37" s="3"/>
      <c r="H37" s="4" t="s">
        <v>222</v>
      </c>
      <c r="I37" s="3">
        <v>959</v>
      </c>
      <c r="L37" s="2" t="s">
        <v>1</v>
      </c>
      <c r="M37" s="2" t="s">
        <v>202</v>
      </c>
      <c r="N37" s="2" t="s">
        <v>203</v>
      </c>
      <c r="O37" s="2" t="s">
        <v>204</v>
      </c>
      <c r="P37" s="2" t="s">
        <v>205</v>
      </c>
      <c r="Q37" s="2" t="s">
        <v>206</v>
      </c>
      <c r="R37" s="3"/>
      <c r="S37" s="4" t="s">
        <v>222</v>
      </c>
      <c r="T37" s="3">
        <v>485</v>
      </c>
    </row>
    <row r="38" spans="1:20" x14ac:dyDescent="0.25">
      <c r="A38" s="4">
        <v>5</v>
      </c>
      <c r="B38" s="4">
        <v>5</v>
      </c>
      <c r="C38" s="3">
        <v>7</v>
      </c>
      <c r="D38" s="3">
        <v>5</v>
      </c>
      <c r="E38" s="3">
        <f>7-5</f>
        <v>2</v>
      </c>
      <c r="F38" s="3">
        <f>2^2</f>
        <v>4</v>
      </c>
      <c r="G38" s="3"/>
      <c r="H38" s="3" t="s">
        <v>219</v>
      </c>
      <c r="I38" s="3">
        <f>122/12</f>
        <v>10.166666666666666</v>
      </c>
      <c r="L38" s="3">
        <v>35</v>
      </c>
      <c r="M38" s="3">
        <v>26</v>
      </c>
      <c r="N38" s="3">
        <v>3</v>
      </c>
      <c r="O38" s="4">
        <v>3.5</v>
      </c>
      <c r="P38" s="3">
        <f>3-3.5</f>
        <v>-0.5</v>
      </c>
      <c r="Q38" s="3">
        <f>-0.5^2</f>
        <v>0.25</v>
      </c>
      <c r="R38" s="3"/>
      <c r="S38" s="3" t="s">
        <v>219</v>
      </c>
      <c r="T38" s="3">
        <f>40.875/12</f>
        <v>3.40625</v>
      </c>
    </row>
    <row r="39" spans="1:20" x14ac:dyDescent="0.25">
      <c r="A39" s="3">
        <v>10</v>
      </c>
      <c r="B39" s="4">
        <v>2</v>
      </c>
      <c r="C39" s="3">
        <v>2</v>
      </c>
      <c r="D39" s="3">
        <v>10</v>
      </c>
      <c r="E39" s="3">
        <f>2-10</f>
        <v>-8</v>
      </c>
      <c r="F39" s="3">
        <f>-8^2</f>
        <v>64</v>
      </c>
      <c r="G39" s="3"/>
      <c r="H39" s="3" t="s">
        <v>220</v>
      </c>
      <c r="I39" s="3">
        <f>510/12</f>
        <v>42.5</v>
      </c>
      <c r="L39" s="3">
        <v>29</v>
      </c>
      <c r="M39" s="3">
        <v>22</v>
      </c>
      <c r="N39" s="3">
        <v>1</v>
      </c>
      <c r="O39" s="4">
        <v>1.5</v>
      </c>
      <c r="P39" s="3">
        <f>1-1.5</f>
        <v>-0.5</v>
      </c>
      <c r="Q39" s="3">
        <v>0.25</v>
      </c>
      <c r="R39" s="3"/>
      <c r="S39" s="3" t="s">
        <v>220</v>
      </c>
      <c r="T39" s="3">
        <f>1.375/12</f>
        <v>0.11458333333333333</v>
      </c>
    </row>
    <row r="40" spans="1:20" x14ac:dyDescent="0.25">
      <c r="A40" s="3">
        <v>4</v>
      </c>
      <c r="B40" s="4">
        <v>8</v>
      </c>
      <c r="C40" s="3">
        <v>8</v>
      </c>
      <c r="D40" s="3">
        <v>8</v>
      </c>
      <c r="E40" s="3">
        <v>0</v>
      </c>
      <c r="F40" s="3">
        <v>0</v>
      </c>
      <c r="G40" s="3"/>
      <c r="H40" s="3" t="s">
        <v>221</v>
      </c>
      <c r="I40" s="3">
        <f>25/12</f>
        <v>2.0833333333333335</v>
      </c>
      <c r="L40" s="3">
        <v>41</v>
      </c>
      <c r="M40" s="3">
        <v>32</v>
      </c>
      <c r="N40" s="3">
        <v>5</v>
      </c>
      <c r="O40" s="4">
        <v>10.5</v>
      </c>
      <c r="P40" s="3">
        <f>5-10.5</f>
        <v>-5.5</v>
      </c>
      <c r="Q40" s="3">
        <f>-5.5^2</f>
        <v>30.25</v>
      </c>
      <c r="R40" s="3"/>
      <c r="S40" s="3" t="s">
        <v>221</v>
      </c>
      <c r="T40" s="3">
        <f>1155.625/12</f>
        <v>96.302083333333329</v>
      </c>
    </row>
    <row r="41" spans="1:20" x14ac:dyDescent="0.25">
      <c r="A41" s="3">
        <v>8</v>
      </c>
      <c r="B41" s="4">
        <v>3</v>
      </c>
      <c r="C41" s="3">
        <v>4</v>
      </c>
      <c r="D41" s="3">
        <v>3</v>
      </c>
      <c r="E41" s="3">
        <v>1</v>
      </c>
      <c r="F41" s="3">
        <v>1</v>
      </c>
      <c r="G41" s="3"/>
      <c r="H41" s="3" t="s">
        <v>223</v>
      </c>
      <c r="I41" s="3">
        <f>959+10.16667+42.5+2.083333</f>
        <v>1013.750003</v>
      </c>
      <c r="L41" s="3">
        <v>66</v>
      </c>
      <c r="M41" s="3">
        <v>28</v>
      </c>
      <c r="N41" s="3">
        <v>11</v>
      </c>
      <c r="O41" s="4">
        <v>6</v>
      </c>
      <c r="P41" s="3">
        <f>11-6</f>
        <v>5</v>
      </c>
      <c r="Q41" s="3">
        <f>5^2</f>
        <v>25</v>
      </c>
      <c r="R41" s="3"/>
      <c r="S41" s="3" t="s">
        <v>227</v>
      </c>
      <c r="T41" s="3">
        <f>419.875/12</f>
        <v>34.989583333333336</v>
      </c>
    </row>
    <row r="42" spans="1:20" x14ac:dyDescent="0.25">
      <c r="A42" s="3">
        <v>2</v>
      </c>
      <c r="B42" s="4">
        <v>8</v>
      </c>
      <c r="C42" s="3">
        <v>9</v>
      </c>
      <c r="D42" s="3">
        <v>8</v>
      </c>
      <c r="E42" s="3">
        <v>1</v>
      </c>
      <c r="F42" s="3">
        <v>1</v>
      </c>
      <c r="G42" s="3"/>
      <c r="H42" s="3" t="s">
        <v>14</v>
      </c>
      <c r="I42" s="3">
        <v>10</v>
      </c>
      <c r="L42" s="3">
        <v>53</v>
      </c>
      <c r="M42" s="3">
        <v>31</v>
      </c>
      <c r="N42" s="3">
        <v>8</v>
      </c>
      <c r="O42" s="4">
        <v>9</v>
      </c>
      <c r="P42" s="3">
        <f>8-9</f>
        <v>-1</v>
      </c>
      <c r="Q42" s="3">
        <f>1^2</f>
        <v>1</v>
      </c>
      <c r="R42" s="3"/>
      <c r="S42" s="3" t="s">
        <v>208</v>
      </c>
      <c r="T42" s="3">
        <f>11*120</f>
        <v>1320</v>
      </c>
    </row>
    <row r="43" spans="1:20" x14ac:dyDescent="0.25">
      <c r="A43" s="3">
        <v>7</v>
      </c>
      <c r="B43" s="4">
        <v>5</v>
      </c>
      <c r="C43" s="3">
        <v>5</v>
      </c>
      <c r="D43" s="3">
        <v>5</v>
      </c>
      <c r="E43" s="3">
        <v>0</v>
      </c>
      <c r="F43" s="3">
        <v>0</v>
      </c>
      <c r="G43" s="3"/>
      <c r="H43" s="3" t="s">
        <v>224</v>
      </c>
      <c r="I43" s="3">
        <v>100</v>
      </c>
      <c r="L43" s="3">
        <v>48</v>
      </c>
      <c r="M43" s="3">
        <v>26</v>
      </c>
      <c r="N43" s="3">
        <v>7</v>
      </c>
      <c r="O43" s="4">
        <v>3.5</v>
      </c>
      <c r="P43" s="3">
        <f>7-3.5</f>
        <v>3.5</v>
      </c>
      <c r="Q43" s="3">
        <f>3.5^2</f>
        <v>12.25</v>
      </c>
      <c r="R43" s="3"/>
      <c r="S43" s="3"/>
      <c r="T43" s="3"/>
    </row>
    <row r="44" spans="1:20" x14ac:dyDescent="0.25">
      <c r="A44" s="3">
        <v>9</v>
      </c>
      <c r="B44" s="4">
        <v>5</v>
      </c>
      <c r="C44" s="3">
        <v>3</v>
      </c>
      <c r="D44" s="3">
        <v>5</v>
      </c>
      <c r="E44" s="3">
        <f>3-5</f>
        <v>-2</v>
      </c>
      <c r="F44" s="3">
        <f>-2^2</f>
        <v>4</v>
      </c>
      <c r="G44" s="3"/>
      <c r="H44" s="3" t="s">
        <v>225</v>
      </c>
      <c r="I44" s="3">
        <f>100-1</f>
        <v>99</v>
      </c>
      <c r="L44" s="3">
        <v>60</v>
      </c>
      <c r="M44" s="3">
        <v>30</v>
      </c>
      <c r="N44" s="3">
        <v>10</v>
      </c>
      <c r="O44" s="4">
        <v>7.5</v>
      </c>
      <c r="P44" s="3">
        <f>10-7.5</f>
        <v>2.5</v>
      </c>
      <c r="Q44" s="3">
        <f>2.5^2</f>
        <v>6.25</v>
      </c>
      <c r="R44" s="3"/>
      <c r="S44" s="2" t="s">
        <v>228</v>
      </c>
      <c r="T44" s="2">
        <f>T37+T38+T39+T40+T41</f>
        <v>619.8125</v>
      </c>
    </row>
    <row r="45" spans="1:20" x14ac:dyDescent="0.25">
      <c r="A45" s="3">
        <v>6</v>
      </c>
      <c r="B45" s="4">
        <v>7</v>
      </c>
      <c r="C45" s="3">
        <v>6</v>
      </c>
      <c r="D45" s="3">
        <v>7</v>
      </c>
      <c r="E45" s="3">
        <f>6-7</f>
        <v>-1</v>
      </c>
      <c r="F45" s="3">
        <f>1^2</f>
        <v>1</v>
      </c>
      <c r="G45" s="3"/>
      <c r="H45" s="3" t="s">
        <v>208</v>
      </c>
      <c r="I45" s="3">
        <f>10*99</f>
        <v>990</v>
      </c>
      <c r="L45" s="3">
        <v>46</v>
      </c>
      <c r="M45" s="3">
        <v>30</v>
      </c>
      <c r="N45" s="3">
        <v>6</v>
      </c>
      <c r="O45" s="4">
        <v>7.5</v>
      </c>
      <c r="P45" s="3">
        <f>6-7.5</f>
        <v>-1.5</v>
      </c>
      <c r="Q45" s="3">
        <f>-1.5^2</f>
        <v>2.25</v>
      </c>
      <c r="R45" s="3"/>
      <c r="S45" s="16" t="s">
        <v>216</v>
      </c>
      <c r="T45" s="2">
        <v>1320</v>
      </c>
    </row>
    <row r="46" spans="1:20" x14ac:dyDescent="0.25">
      <c r="A46" s="3">
        <v>1</v>
      </c>
      <c r="B46" s="4">
        <v>10</v>
      </c>
      <c r="C46" s="3">
        <v>10</v>
      </c>
      <c r="D46" s="3">
        <v>1</v>
      </c>
      <c r="E46" s="3">
        <v>9</v>
      </c>
      <c r="F46" s="3">
        <f>9^2</f>
        <v>81</v>
      </c>
      <c r="G46" s="3"/>
      <c r="H46" s="3" t="s">
        <v>200</v>
      </c>
      <c r="I46" s="3">
        <v>990</v>
      </c>
      <c r="L46" s="3">
        <v>30</v>
      </c>
      <c r="M46" s="3">
        <v>22</v>
      </c>
      <c r="N46" s="3">
        <v>2</v>
      </c>
      <c r="O46" s="4">
        <v>1.5</v>
      </c>
      <c r="P46" s="3">
        <f>2-1.5</f>
        <v>0.5</v>
      </c>
      <c r="Q46" s="3">
        <f>0.5^2</f>
        <v>0.25</v>
      </c>
      <c r="R46" s="3"/>
      <c r="S46" s="2" t="s">
        <v>229</v>
      </c>
      <c r="T46" s="2">
        <f>619.8125/1320</f>
        <v>0.46955492424242423</v>
      </c>
    </row>
    <row r="47" spans="1:20" x14ac:dyDescent="0.25">
      <c r="A47" s="3">
        <v>12</v>
      </c>
      <c r="B47" s="4">
        <v>3</v>
      </c>
      <c r="C47" s="3">
        <v>1</v>
      </c>
      <c r="D47" s="3">
        <v>3</v>
      </c>
      <c r="E47" s="3">
        <f>1-3</f>
        <v>-2</v>
      </c>
      <c r="F47" s="3">
        <f>-2^2</f>
        <v>4</v>
      </c>
      <c r="G47" s="3"/>
      <c r="H47" s="3"/>
      <c r="I47" s="3"/>
      <c r="L47" s="3">
        <v>36</v>
      </c>
      <c r="M47" s="3">
        <v>27</v>
      </c>
      <c r="N47" s="3">
        <v>4</v>
      </c>
      <c r="O47" s="4">
        <v>5</v>
      </c>
      <c r="P47" s="3">
        <f>4-5</f>
        <v>-1</v>
      </c>
      <c r="Q47" s="3">
        <f>-1^2</f>
        <v>1</v>
      </c>
    </row>
    <row r="48" spans="1:20" x14ac:dyDescent="0.25">
      <c r="A48" s="3"/>
      <c r="B48" s="3"/>
      <c r="C48" s="3"/>
      <c r="D48" s="3"/>
      <c r="E48" s="3"/>
      <c r="F48" s="2">
        <f>SUM(F38:F47)</f>
        <v>160</v>
      </c>
      <c r="G48" s="3"/>
      <c r="H48" s="2" t="s">
        <v>226</v>
      </c>
      <c r="I48" s="2">
        <f>1013.75/990</f>
        <v>1.023989898989899</v>
      </c>
      <c r="L48" s="3">
        <v>58</v>
      </c>
      <c r="M48" s="3">
        <v>32</v>
      </c>
      <c r="N48" s="3">
        <v>9</v>
      </c>
      <c r="O48" s="4">
        <v>10.5</v>
      </c>
      <c r="P48" s="3">
        <f>9-10.5</f>
        <v>-1.5</v>
      </c>
      <c r="Q48" s="3">
        <f>-1.5^2</f>
        <v>2.25</v>
      </c>
    </row>
    <row r="49" spans="1:20" x14ac:dyDescent="0.25">
      <c r="L49" s="3"/>
      <c r="M49" s="3"/>
      <c r="N49" s="3"/>
      <c r="O49" s="3"/>
      <c r="P49" s="3"/>
      <c r="Q49" s="2">
        <f>SUM(Q38:Q48)</f>
        <v>81</v>
      </c>
    </row>
    <row r="52" spans="1:20" x14ac:dyDescent="0.25">
      <c r="A52" s="14" t="s">
        <v>23</v>
      </c>
      <c r="K52" s="14" t="s">
        <v>236</v>
      </c>
    </row>
    <row r="54" spans="1:20" x14ac:dyDescent="0.25">
      <c r="A54" s="2" t="s">
        <v>1</v>
      </c>
      <c r="B54" s="2" t="s">
        <v>202</v>
      </c>
      <c r="C54" s="2" t="s">
        <v>190</v>
      </c>
      <c r="D54" s="2" t="s">
        <v>128</v>
      </c>
      <c r="E54" s="2" t="s">
        <v>191</v>
      </c>
      <c r="F54" s="3"/>
      <c r="G54" s="4" t="s">
        <v>14</v>
      </c>
      <c r="H54" s="3">
        <v>15</v>
      </c>
      <c r="K54" s="2" t="s">
        <v>1</v>
      </c>
      <c r="L54" s="2" t="s">
        <v>202</v>
      </c>
      <c r="M54" s="2" t="s">
        <v>203</v>
      </c>
      <c r="N54" s="2" t="s">
        <v>204</v>
      </c>
      <c r="O54" s="2" t="s">
        <v>205</v>
      </c>
      <c r="P54" s="2" t="s">
        <v>206</v>
      </c>
      <c r="Q54" s="3"/>
      <c r="R54" s="4" t="s">
        <v>237</v>
      </c>
      <c r="S54" s="4">
        <v>509</v>
      </c>
      <c r="T54" s="4"/>
    </row>
    <row r="55" spans="1:20" x14ac:dyDescent="0.25">
      <c r="A55" s="3">
        <v>80</v>
      </c>
      <c r="B55" s="3">
        <v>5</v>
      </c>
      <c r="C55" s="3">
        <f>80*5</f>
        <v>400</v>
      </c>
      <c r="D55" s="3">
        <f>80^2</f>
        <v>6400</v>
      </c>
      <c r="E55" s="3">
        <f>5*5</f>
        <v>25</v>
      </c>
      <c r="F55" s="3"/>
      <c r="G55" s="3" t="s">
        <v>211</v>
      </c>
      <c r="H55" s="3">
        <f>15*20264</f>
        <v>303960</v>
      </c>
      <c r="K55" s="4">
        <v>80</v>
      </c>
      <c r="L55" s="4">
        <v>5</v>
      </c>
      <c r="M55" s="3">
        <v>5</v>
      </c>
      <c r="N55" s="3">
        <v>13</v>
      </c>
      <c r="O55" s="3">
        <f>5-13</f>
        <v>-8</v>
      </c>
      <c r="P55" s="3">
        <f>-8*-8</f>
        <v>64</v>
      </c>
      <c r="Q55" s="3"/>
      <c r="R55" s="3" t="s">
        <v>219</v>
      </c>
      <c r="S55" s="4">
        <v>12165</v>
      </c>
      <c r="T55" s="4"/>
    </row>
    <row r="56" spans="1:20" x14ac:dyDescent="0.25">
      <c r="A56" s="3">
        <v>78</v>
      </c>
      <c r="B56" s="3">
        <v>23</v>
      </c>
      <c r="C56" s="3">
        <f>78*23</f>
        <v>1794</v>
      </c>
      <c r="D56" s="3">
        <f>78*78</f>
        <v>6084</v>
      </c>
      <c r="E56" s="3">
        <f>23*23</f>
        <v>529</v>
      </c>
      <c r="F56" s="3"/>
      <c r="G56" s="3" t="s">
        <v>212</v>
      </c>
      <c r="H56" s="3">
        <v>1113</v>
      </c>
      <c r="K56" s="4">
        <v>78</v>
      </c>
      <c r="L56" s="4">
        <v>23</v>
      </c>
      <c r="M56" s="3">
        <v>7</v>
      </c>
      <c r="N56" s="3">
        <v>11.5</v>
      </c>
      <c r="O56" s="3">
        <f>7-11.5</f>
        <v>-4.5</v>
      </c>
      <c r="P56" s="3">
        <f>-4.5</f>
        <v>-4.5</v>
      </c>
      <c r="Q56" s="3"/>
      <c r="R56" s="3" t="s">
        <v>220</v>
      </c>
      <c r="S56" s="4">
        <v>62</v>
      </c>
      <c r="T56" s="4"/>
    </row>
    <row r="57" spans="1:20" x14ac:dyDescent="0.25">
      <c r="A57" s="3">
        <v>60</v>
      </c>
      <c r="B57" s="3">
        <v>25</v>
      </c>
      <c r="C57" s="3">
        <f>60*25</f>
        <v>1500</v>
      </c>
      <c r="D57" s="3">
        <f>60*60</f>
        <v>3600</v>
      </c>
      <c r="E57" s="3">
        <f>25*25</f>
        <v>625</v>
      </c>
      <c r="F57" s="3"/>
      <c r="G57" s="3" t="s">
        <v>213</v>
      </c>
      <c r="H57" s="3">
        <v>291</v>
      </c>
      <c r="K57" s="4">
        <v>60</v>
      </c>
      <c r="L57" s="4">
        <v>25</v>
      </c>
      <c r="M57" s="3">
        <v>12</v>
      </c>
      <c r="N57" s="3">
        <v>5</v>
      </c>
      <c r="O57" s="3">
        <f>12-5</f>
        <v>7</v>
      </c>
      <c r="P57" s="3">
        <v>49</v>
      </c>
      <c r="Q57" s="3"/>
      <c r="R57" s="3" t="s">
        <v>14</v>
      </c>
      <c r="S57" s="3">
        <v>15</v>
      </c>
      <c r="T57" s="3"/>
    </row>
    <row r="58" spans="1:20" x14ac:dyDescent="0.25">
      <c r="A58" s="3">
        <v>53</v>
      </c>
      <c r="B58" s="3">
        <v>48</v>
      </c>
      <c r="C58" s="3">
        <f>53*48</f>
        <v>2544</v>
      </c>
      <c r="D58" s="3">
        <f>53*53</f>
        <v>2809</v>
      </c>
      <c r="E58" s="3">
        <f>48*48</f>
        <v>2304</v>
      </c>
      <c r="F58" s="3"/>
      <c r="G58" s="3" t="s">
        <v>230</v>
      </c>
      <c r="H58" s="3">
        <f>1113*291</f>
        <v>323883</v>
      </c>
      <c r="K58" s="4">
        <v>53</v>
      </c>
      <c r="L58" s="4">
        <v>48</v>
      </c>
      <c r="M58" s="3">
        <v>14</v>
      </c>
      <c r="N58" s="3">
        <v>1</v>
      </c>
      <c r="O58" s="3">
        <v>13</v>
      </c>
      <c r="P58" s="3">
        <f>M59-N59</f>
        <v>-7</v>
      </c>
      <c r="Q58" s="3"/>
      <c r="R58" s="3" t="s">
        <v>208</v>
      </c>
      <c r="S58" s="3">
        <f>15*224</f>
        <v>3360</v>
      </c>
      <c r="T58" s="3"/>
    </row>
    <row r="59" spans="1:20" x14ac:dyDescent="0.25">
      <c r="A59" s="3">
        <v>85</v>
      </c>
      <c r="B59" s="3">
        <v>17</v>
      </c>
      <c r="C59" s="3">
        <f>85*17</f>
        <v>1445</v>
      </c>
      <c r="D59" s="3">
        <f>85*85</f>
        <v>7225</v>
      </c>
      <c r="E59" s="3">
        <f>17*17</f>
        <v>289</v>
      </c>
      <c r="F59" s="3"/>
      <c r="G59" s="3"/>
      <c r="H59" s="3"/>
      <c r="K59" s="4">
        <v>85</v>
      </c>
      <c r="L59" s="4">
        <v>17</v>
      </c>
      <c r="M59" s="3">
        <v>2</v>
      </c>
      <c r="N59" s="3">
        <v>9</v>
      </c>
      <c r="O59" s="3">
        <f>2-9</f>
        <v>-7</v>
      </c>
      <c r="P59" s="3">
        <f t="shared" ref="P59:P69" si="0">M60-N60</f>
        <v>-9</v>
      </c>
      <c r="Q59" s="3"/>
      <c r="R59" s="3"/>
      <c r="S59" s="3"/>
      <c r="T59" s="3"/>
    </row>
    <row r="60" spans="1:20" x14ac:dyDescent="0.25">
      <c r="A60" s="3">
        <v>84</v>
      </c>
      <c r="B60" s="3">
        <v>8</v>
      </c>
      <c r="C60" s="3">
        <f>84*8</f>
        <v>672</v>
      </c>
      <c r="D60" s="3">
        <f>84*84</f>
        <v>7056</v>
      </c>
      <c r="E60" s="3">
        <f>8*8</f>
        <v>64</v>
      </c>
      <c r="F60" s="3"/>
      <c r="G60" s="3" t="s">
        <v>231</v>
      </c>
      <c r="H60" s="3">
        <f>15*84191</f>
        <v>1262865</v>
      </c>
      <c r="K60" s="4">
        <v>84</v>
      </c>
      <c r="L60" s="4">
        <v>8</v>
      </c>
      <c r="M60" s="3">
        <v>3</v>
      </c>
      <c r="N60" s="3">
        <v>12</v>
      </c>
      <c r="O60" s="3">
        <f>3-12</f>
        <v>-9</v>
      </c>
      <c r="P60" s="3">
        <f t="shared" si="0"/>
        <v>-5.5</v>
      </c>
      <c r="Q60" s="3"/>
      <c r="R60" s="2" t="s">
        <v>228</v>
      </c>
      <c r="S60" s="2">
        <f>509+1013.75+5.166667</f>
        <v>1527.916667</v>
      </c>
      <c r="T60" s="3"/>
    </row>
    <row r="61" spans="1:20" x14ac:dyDescent="0.25">
      <c r="A61" s="3">
        <v>73</v>
      </c>
      <c r="B61" s="3">
        <v>4</v>
      </c>
      <c r="C61" s="3">
        <f>73*4</f>
        <v>292</v>
      </c>
      <c r="D61" s="3">
        <f>73*73</f>
        <v>5329</v>
      </c>
      <c r="E61" s="3">
        <v>16</v>
      </c>
      <c r="F61" s="3"/>
      <c r="G61" s="3" t="s">
        <v>215</v>
      </c>
      <c r="H61" s="3">
        <f>1113*1113</f>
        <v>1238769</v>
      </c>
      <c r="K61" s="4">
        <v>73</v>
      </c>
      <c r="L61" s="4">
        <v>4</v>
      </c>
      <c r="M61" s="3">
        <v>9</v>
      </c>
      <c r="N61" s="3">
        <v>14.5</v>
      </c>
      <c r="O61" s="3">
        <f>9-14.5</f>
        <v>-5.5</v>
      </c>
      <c r="P61" s="3">
        <f t="shared" si="0"/>
        <v>2</v>
      </c>
      <c r="Q61" s="3"/>
      <c r="R61" s="2" t="s">
        <v>238</v>
      </c>
      <c r="S61" s="2">
        <v>3360</v>
      </c>
      <c r="T61" s="3"/>
    </row>
    <row r="62" spans="1:20" x14ac:dyDescent="0.25">
      <c r="A62" s="3">
        <v>79</v>
      </c>
      <c r="B62" s="3">
        <v>26</v>
      </c>
      <c r="C62" s="3">
        <f>79*26</f>
        <v>2054</v>
      </c>
      <c r="D62" s="3">
        <f>79*79</f>
        <v>6241</v>
      </c>
      <c r="E62" s="3">
        <f>26*26</f>
        <v>676</v>
      </c>
      <c r="F62" s="3"/>
      <c r="G62" s="3"/>
      <c r="H62" s="3">
        <f>H60-H61</f>
        <v>24096</v>
      </c>
      <c r="K62" s="4">
        <v>79</v>
      </c>
      <c r="L62" s="4">
        <v>26</v>
      </c>
      <c r="M62" s="3">
        <v>6</v>
      </c>
      <c r="N62" s="3">
        <v>4</v>
      </c>
      <c r="O62" s="3">
        <v>2</v>
      </c>
      <c r="P62" s="3">
        <f t="shared" si="0"/>
        <v>-7</v>
      </c>
      <c r="Q62" s="3"/>
      <c r="R62" s="2" t="s">
        <v>217</v>
      </c>
      <c r="S62" s="2">
        <f>S60/S61</f>
        <v>0.45473710327380951</v>
      </c>
      <c r="T62" s="3"/>
    </row>
    <row r="63" spans="1:20" x14ac:dyDescent="0.25">
      <c r="A63" s="3">
        <v>81</v>
      </c>
      <c r="B63" s="3">
        <v>11</v>
      </c>
      <c r="C63" s="3">
        <f>81*11</f>
        <v>891</v>
      </c>
      <c r="D63" s="3">
        <f>81*81</f>
        <v>6561</v>
      </c>
      <c r="E63" s="3">
        <f>11*11</f>
        <v>121</v>
      </c>
      <c r="F63" s="3"/>
      <c r="G63" s="3" t="s">
        <v>232</v>
      </c>
      <c r="H63" s="3">
        <f>15*7817</f>
        <v>117255</v>
      </c>
      <c r="K63" s="4">
        <v>81</v>
      </c>
      <c r="L63" s="4">
        <v>11</v>
      </c>
      <c r="M63" s="3">
        <v>4</v>
      </c>
      <c r="N63" s="3">
        <v>11</v>
      </c>
      <c r="O63" s="3">
        <f>4-11</f>
        <v>-7</v>
      </c>
      <c r="P63" s="3">
        <f t="shared" si="0"/>
        <v>1</v>
      </c>
    </row>
    <row r="64" spans="1:20" x14ac:dyDescent="0.25">
      <c r="A64" s="3">
        <v>75</v>
      </c>
      <c r="B64" s="3">
        <v>19</v>
      </c>
      <c r="C64" s="3">
        <f>75*19</f>
        <v>1425</v>
      </c>
      <c r="D64" s="3">
        <f>75*75</f>
        <v>5625</v>
      </c>
      <c r="E64" s="3">
        <f>19*19</f>
        <v>361</v>
      </c>
      <c r="F64" s="3"/>
      <c r="G64" s="3" t="s">
        <v>233</v>
      </c>
      <c r="H64" s="3">
        <f>291*291</f>
        <v>84681</v>
      </c>
      <c r="K64" s="4">
        <v>75</v>
      </c>
      <c r="L64" s="4">
        <v>19</v>
      </c>
      <c r="M64" s="3">
        <v>9</v>
      </c>
      <c r="N64" s="3">
        <v>8</v>
      </c>
      <c r="O64" s="3">
        <f>9-8</f>
        <v>1</v>
      </c>
      <c r="P64" s="3">
        <f t="shared" si="0"/>
        <v>1</v>
      </c>
    </row>
    <row r="65" spans="1:19" x14ac:dyDescent="0.25">
      <c r="A65" s="3">
        <v>68</v>
      </c>
      <c r="B65" s="3">
        <v>14</v>
      </c>
      <c r="C65" s="3">
        <f>68*14</f>
        <v>952</v>
      </c>
      <c r="D65" s="3">
        <f>68*68</f>
        <v>4624</v>
      </c>
      <c r="E65" s="3">
        <f>14*14</f>
        <v>196</v>
      </c>
      <c r="F65" s="3"/>
      <c r="G65" s="3"/>
      <c r="H65" s="3">
        <f>H63-H64</f>
        <v>32574</v>
      </c>
      <c r="K65" s="4">
        <v>68</v>
      </c>
      <c r="L65" s="4">
        <v>14</v>
      </c>
      <c r="M65" s="3">
        <v>11</v>
      </c>
      <c r="N65" s="3">
        <v>10</v>
      </c>
      <c r="O65" s="3">
        <f>11-10</f>
        <v>1</v>
      </c>
      <c r="P65" s="3">
        <f t="shared" si="0"/>
        <v>8</v>
      </c>
    </row>
    <row r="66" spans="1:19" x14ac:dyDescent="0.25">
      <c r="A66" s="3">
        <v>72</v>
      </c>
      <c r="B66" s="3">
        <v>35</v>
      </c>
      <c r="C66" s="3">
        <f>72*35</f>
        <v>2520</v>
      </c>
      <c r="D66" s="3">
        <f>72*72</f>
        <v>5184</v>
      </c>
      <c r="E66" s="3">
        <f>35*35</f>
        <v>1225</v>
      </c>
      <c r="F66" s="3"/>
      <c r="G66" s="2" t="s">
        <v>199</v>
      </c>
      <c r="H66" s="2">
        <f>303960-323883</f>
        <v>-19923</v>
      </c>
      <c r="K66" s="4">
        <v>72</v>
      </c>
      <c r="L66" s="4">
        <v>35</v>
      </c>
      <c r="M66" s="3">
        <v>10</v>
      </c>
      <c r="N66" s="3">
        <v>2</v>
      </c>
      <c r="O66" s="3">
        <v>8</v>
      </c>
      <c r="P66" s="3">
        <f t="shared" si="0"/>
        <v>10</v>
      </c>
    </row>
    <row r="67" spans="1:19" x14ac:dyDescent="0.25">
      <c r="A67" s="3">
        <v>58</v>
      </c>
      <c r="B67" s="3">
        <v>29</v>
      </c>
      <c r="C67" s="3">
        <f>58*29</f>
        <v>1682</v>
      </c>
      <c r="D67" s="3">
        <f>58*58</f>
        <v>3364</v>
      </c>
      <c r="E67" s="3">
        <f>29*29</f>
        <v>841</v>
      </c>
      <c r="F67" s="3"/>
      <c r="G67" s="2" t="s">
        <v>234</v>
      </c>
      <c r="H67" s="2">
        <v>28016.122220000001</v>
      </c>
      <c r="K67" s="4">
        <v>58</v>
      </c>
      <c r="L67" s="4">
        <v>29</v>
      </c>
      <c r="M67" s="3">
        <v>13</v>
      </c>
      <c r="N67" s="3">
        <v>3</v>
      </c>
      <c r="O67" s="3">
        <v>10</v>
      </c>
      <c r="P67" s="3">
        <f t="shared" si="0"/>
        <v>-13.5</v>
      </c>
    </row>
    <row r="68" spans="1:19" x14ac:dyDescent="0.25">
      <c r="A68" s="3">
        <v>92</v>
      </c>
      <c r="B68" s="3">
        <v>4</v>
      </c>
      <c r="C68" s="3">
        <f>92*4</f>
        <v>368</v>
      </c>
      <c r="D68" s="3">
        <f>92*92</f>
        <v>8464</v>
      </c>
      <c r="E68" s="3">
        <v>16</v>
      </c>
      <c r="F68" s="3"/>
      <c r="G68" s="2" t="s">
        <v>229</v>
      </c>
      <c r="H68" s="2">
        <f>H66/H67</f>
        <v>-0.71112625236113058</v>
      </c>
      <c r="K68" s="4">
        <v>92</v>
      </c>
      <c r="L68" s="4">
        <v>4</v>
      </c>
      <c r="M68" s="3">
        <v>1</v>
      </c>
      <c r="N68" s="3">
        <v>14.5</v>
      </c>
      <c r="O68" s="3">
        <v>3</v>
      </c>
      <c r="P68" s="3">
        <f t="shared" si="0"/>
        <v>-3.5</v>
      </c>
    </row>
    <row r="69" spans="1:19" x14ac:dyDescent="0.25">
      <c r="A69" s="3">
        <v>75</v>
      </c>
      <c r="B69" s="3">
        <v>23</v>
      </c>
      <c r="C69" s="3">
        <f>75*23</f>
        <v>1725</v>
      </c>
      <c r="D69" s="3">
        <f>75*75</f>
        <v>5625</v>
      </c>
      <c r="E69" s="3">
        <f>23*23</f>
        <v>529</v>
      </c>
      <c r="K69" s="4">
        <v>75</v>
      </c>
      <c r="L69" s="4">
        <v>23</v>
      </c>
      <c r="M69" s="3">
        <v>8</v>
      </c>
      <c r="N69" s="3">
        <v>11.5</v>
      </c>
      <c r="O69" s="3">
        <f>23-8</f>
        <v>15</v>
      </c>
      <c r="P69" s="3">
        <f t="shared" si="0"/>
        <v>0</v>
      </c>
    </row>
    <row r="70" spans="1:19" x14ac:dyDescent="0.25">
      <c r="A70" s="2">
        <f>SUM(A55:A69)</f>
        <v>1113</v>
      </c>
      <c r="B70" s="2">
        <f>SUM(B55:B69)</f>
        <v>291</v>
      </c>
      <c r="C70" s="2">
        <f>SUM(C55:C69)</f>
        <v>20264</v>
      </c>
      <c r="D70" s="2">
        <f>SUM(D55:D69)</f>
        <v>84191</v>
      </c>
      <c r="E70" s="2">
        <f>SUM(E55:E69)</f>
        <v>7817</v>
      </c>
      <c r="K70" s="3"/>
      <c r="L70" s="3"/>
      <c r="M70" s="3"/>
      <c r="N70" s="3"/>
      <c r="O70" s="3"/>
      <c r="P70" s="2">
        <f>SUM(P55:P69)</f>
        <v>85</v>
      </c>
    </row>
    <row r="74" spans="1:19" x14ac:dyDescent="0.25">
      <c r="A74" s="14" t="s">
        <v>24</v>
      </c>
      <c r="K74" s="14" t="s">
        <v>240</v>
      </c>
    </row>
    <row r="76" spans="1:19" x14ac:dyDescent="0.25">
      <c r="A76" s="2" t="s">
        <v>1</v>
      </c>
      <c r="B76" s="2" t="s">
        <v>202</v>
      </c>
      <c r="C76" s="2" t="s">
        <v>190</v>
      </c>
      <c r="D76" s="2" t="s">
        <v>128</v>
      </c>
      <c r="E76" s="13" t="s">
        <v>191</v>
      </c>
      <c r="F76" s="3"/>
      <c r="G76" s="4" t="s">
        <v>14</v>
      </c>
      <c r="H76" s="3">
        <v>6</v>
      </c>
      <c r="K76" s="2" t="s">
        <v>1</v>
      </c>
      <c r="L76" s="2" t="s">
        <v>202</v>
      </c>
      <c r="M76" s="2" t="s">
        <v>203</v>
      </c>
      <c r="N76" s="2" t="s">
        <v>204</v>
      </c>
      <c r="O76" s="2" t="s">
        <v>205</v>
      </c>
      <c r="P76" s="13" t="s">
        <v>206</v>
      </c>
      <c r="Q76" s="3"/>
      <c r="R76" s="4" t="s">
        <v>241</v>
      </c>
      <c r="S76" s="3">
        <v>-14112.5</v>
      </c>
    </row>
    <row r="77" spans="1:19" x14ac:dyDescent="0.25">
      <c r="A77" s="3">
        <v>3</v>
      </c>
      <c r="B77" s="3">
        <v>1</v>
      </c>
      <c r="C77" s="3">
        <f>A77*B77</f>
        <v>3</v>
      </c>
      <c r="D77" s="3">
        <f>A77^2</f>
        <v>9</v>
      </c>
      <c r="E77" s="20">
        <f>B77^2</f>
        <v>1</v>
      </c>
      <c r="F77" s="3"/>
      <c r="G77" s="3" t="s">
        <v>211</v>
      </c>
      <c r="H77" s="4">
        <f>6*186</f>
        <v>1116</v>
      </c>
      <c r="K77" s="4">
        <v>3</v>
      </c>
      <c r="L77" s="4">
        <v>1</v>
      </c>
      <c r="M77" s="3">
        <v>6</v>
      </c>
      <c r="N77" s="3">
        <v>1</v>
      </c>
      <c r="O77" s="3">
        <f>M77-N77</f>
        <v>5</v>
      </c>
      <c r="P77" s="20">
        <f>O77^2</f>
        <v>25</v>
      </c>
      <c r="Q77" s="3"/>
      <c r="R77" s="3" t="s">
        <v>219</v>
      </c>
      <c r="S77" s="3">
        <f>-1/12</f>
        <v>-8.3333333333333329E-2</v>
      </c>
    </row>
    <row r="78" spans="1:19" x14ac:dyDescent="0.25">
      <c r="A78" s="3">
        <v>9</v>
      </c>
      <c r="B78" s="3">
        <v>3</v>
      </c>
      <c r="C78" s="3">
        <f t="shared" ref="C78:C82" si="1">A78*B78</f>
        <v>27</v>
      </c>
      <c r="D78" s="3">
        <f t="shared" ref="D78:D82" si="2">A78^2</f>
        <v>81</v>
      </c>
      <c r="E78" s="20">
        <f t="shared" ref="E78:E82" si="3">B78^2</f>
        <v>9</v>
      </c>
      <c r="F78" s="3"/>
      <c r="G78" s="3" t="s">
        <v>212</v>
      </c>
      <c r="H78" s="4">
        <v>70</v>
      </c>
      <c r="K78" s="4">
        <v>9</v>
      </c>
      <c r="L78" s="4">
        <v>3</v>
      </c>
      <c r="M78" s="3">
        <v>5</v>
      </c>
      <c r="N78" s="3">
        <v>3</v>
      </c>
      <c r="O78" s="3">
        <f t="shared" ref="O78:O82" si="4">M78-N78</f>
        <v>2</v>
      </c>
      <c r="P78" s="20">
        <f t="shared" ref="P78:P82" si="5">O78^2</f>
        <v>4</v>
      </c>
      <c r="Q78" s="3"/>
      <c r="R78" s="3" t="s">
        <v>220</v>
      </c>
      <c r="S78" s="3">
        <f>62/12</f>
        <v>5.166666666666667</v>
      </c>
    </row>
    <row r="79" spans="1:19" x14ac:dyDescent="0.25">
      <c r="A79" s="3">
        <v>12</v>
      </c>
      <c r="B79" s="3">
        <v>4</v>
      </c>
      <c r="C79" s="3">
        <f t="shared" si="1"/>
        <v>48</v>
      </c>
      <c r="D79" s="3">
        <f t="shared" si="2"/>
        <v>144</v>
      </c>
      <c r="E79" s="20">
        <f t="shared" si="3"/>
        <v>16</v>
      </c>
      <c r="F79" s="3"/>
      <c r="G79" s="3" t="s">
        <v>213</v>
      </c>
      <c r="H79" s="4">
        <v>15</v>
      </c>
      <c r="K79" s="4">
        <v>12</v>
      </c>
      <c r="L79" s="4">
        <v>4</v>
      </c>
      <c r="M79" s="3">
        <v>4</v>
      </c>
      <c r="N79" s="3">
        <v>1.5</v>
      </c>
      <c r="O79" s="3">
        <f t="shared" si="4"/>
        <v>2.5</v>
      </c>
      <c r="P79" s="20">
        <f t="shared" si="5"/>
        <v>6.25</v>
      </c>
      <c r="Q79" s="3"/>
      <c r="R79" s="3" t="s">
        <v>14</v>
      </c>
      <c r="S79" s="3">
        <v>6</v>
      </c>
    </row>
    <row r="80" spans="1:19" x14ac:dyDescent="0.25">
      <c r="A80" s="3">
        <v>14</v>
      </c>
      <c r="B80" s="3">
        <v>1</v>
      </c>
      <c r="C80" s="3">
        <f t="shared" si="1"/>
        <v>14</v>
      </c>
      <c r="D80" s="3">
        <f t="shared" si="2"/>
        <v>196</v>
      </c>
      <c r="E80" s="20">
        <f t="shared" si="3"/>
        <v>1</v>
      </c>
      <c r="F80" s="3"/>
      <c r="G80" s="3" t="s">
        <v>230</v>
      </c>
      <c r="H80" s="4">
        <f>70*15</f>
        <v>1050</v>
      </c>
      <c r="K80" s="4">
        <v>14</v>
      </c>
      <c r="L80" s="4">
        <v>1</v>
      </c>
      <c r="M80" s="3">
        <v>3</v>
      </c>
      <c r="N80" s="3">
        <v>1</v>
      </c>
      <c r="O80" s="3">
        <f t="shared" si="4"/>
        <v>2</v>
      </c>
      <c r="P80" s="20">
        <f t="shared" si="5"/>
        <v>4</v>
      </c>
      <c r="Q80" s="3"/>
      <c r="R80" s="3" t="s">
        <v>208</v>
      </c>
      <c r="S80" s="3">
        <f>6*35</f>
        <v>210</v>
      </c>
    </row>
    <row r="81" spans="1:19" x14ac:dyDescent="0.25">
      <c r="A81" s="3">
        <v>15</v>
      </c>
      <c r="B81" s="3">
        <v>4</v>
      </c>
      <c r="C81" s="3">
        <f t="shared" si="1"/>
        <v>60</v>
      </c>
      <c r="D81" s="3">
        <f t="shared" si="2"/>
        <v>225</v>
      </c>
      <c r="E81" s="20">
        <f t="shared" si="3"/>
        <v>16</v>
      </c>
      <c r="F81" s="3"/>
      <c r="G81" s="3" t="s">
        <v>231</v>
      </c>
      <c r="H81" s="4">
        <f>6*944</f>
        <v>5664</v>
      </c>
      <c r="K81" s="4">
        <v>15</v>
      </c>
      <c r="L81" s="4">
        <v>4</v>
      </c>
      <c r="M81" s="3">
        <v>2</v>
      </c>
      <c r="N81" s="3">
        <v>1.5</v>
      </c>
      <c r="O81" s="3">
        <f t="shared" si="4"/>
        <v>0.5</v>
      </c>
      <c r="P81" s="20">
        <f t="shared" si="5"/>
        <v>0.25</v>
      </c>
      <c r="Q81" s="3"/>
      <c r="R81" s="3"/>
      <c r="S81" s="3"/>
    </row>
    <row r="82" spans="1:19" x14ac:dyDescent="0.25">
      <c r="A82" s="3">
        <v>17</v>
      </c>
      <c r="B82" s="3">
        <v>2</v>
      </c>
      <c r="C82" s="3">
        <f t="shared" si="1"/>
        <v>34</v>
      </c>
      <c r="D82" s="3">
        <f t="shared" si="2"/>
        <v>289</v>
      </c>
      <c r="E82" s="20">
        <f t="shared" si="3"/>
        <v>4</v>
      </c>
      <c r="F82" s="3"/>
      <c r="G82" s="3" t="s">
        <v>215</v>
      </c>
      <c r="H82" s="4">
        <f>70*70</f>
        <v>4900</v>
      </c>
      <c r="K82" s="4">
        <v>17</v>
      </c>
      <c r="L82" s="4">
        <v>2</v>
      </c>
      <c r="M82" s="3">
        <v>1</v>
      </c>
      <c r="N82" s="3">
        <v>4</v>
      </c>
      <c r="O82" s="3">
        <f t="shared" si="4"/>
        <v>-3</v>
      </c>
      <c r="P82" s="20">
        <f t="shared" si="5"/>
        <v>9</v>
      </c>
      <c r="Q82" s="3"/>
      <c r="R82" s="2" t="s">
        <v>239</v>
      </c>
      <c r="S82" s="2">
        <f>S76+S77+S78</f>
        <v>-14107.416666666668</v>
      </c>
    </row>
    <row r="83" spans="1:19" x14ac:dyDescent="0.25">
      <c r="A83" s="2">
        <f>SUM(A77:A82)</f>
        <v>70</v>
      </c>
      <c r="B83" s="2">
        <f>SUM(B77:B82)</f>
        <v>15</v>
      </c>
      <c r="C83" s="2">
        <f>SUM(C77:C82)</f>
        <v>186</v>
      </c>
      <c r="D83" s="2">
        <f>SUM(D77:D82)</f>
        <v>944</v>
      </c>
      <c r="E83" s="13">
        <f>SUM(E77:E82)</f>
        <v>47</v>
      </c>
      <c r="F83" s="3"/>
      <c r="G83" s="3"/>
      <c r="H83" s="4">
        <f>5664-4900</f>
        <v>764</v>
      </c>
      <c r="K83" s="3"/>
      <c r="L83" s="3"/>
      <c r="M83" s="3"/>
      <c r="N83" s="3"/>
      <c r="O83" s="3"/>
      <c r="P83" s="13">
        <f>SUM(P77:P82)</f>
        <v>48.5</v>
      </c>
      <c r="Q83" s="3"/>
      <c r="R83" s="2" t="s">
        <v>234</v>
      </c>
      <c r="S83" s="2">
        <v>210</v>
      </c>
    </row>
    <row r="84" spans="1:19" x14ac:dyDescent="0.25">
      <c r="F84" s="3"/>
      <c r="G84" s="3" t="s">
        <v>232</v>
      </c>
      <c r="H84" s="4">
        <f>6*47</f>
        <v>282</v>
      </c>
      <c r="Q84" s="3"/>
      <c r="R84" s="2" t="s">
        <v>229</v>
      </c>
      <c r="S84" s="2">
        <f>S82/S83</f>
        <v>-67.178174603174611</v>
      </c>
    </row>
    <row r="85" spans="1:19" x14ac:dyDescent="0.25">
      <c r="F85" s="3"/>
      <c r="G85" s="3" t="s">
        <v>233</v>
      </c>
      <c r="H85" s="4">
        <f>15*15</f>
        <v>225</v>
      </c>
    </row>
    <row r="86" spans="1:19" x14ac:dyDescent="0.25">
      <c r="F86" s="3"/>
      <c r="G86" s="3"/>
      <c r="H86" s="4">
        <f>282-225</f>
        <v>57</v>
      </c>
    </row>
    <row r="87" spans="1:19" x14ac:dyDescent="0.25">
      <c r="F87" s="3"/>
      <c r="G87" s="3"/>
      <c r="H87" s="3">
        <f>764*57</f>
        <v>43548</v>
      </c>
    </row>
    <row r="88" spans="1:19" x14ac:dyDescent="0.25">
      <c r="F88" s="3"/>
      <c r="G88" s="3"/>
      <c r="H88" s="3"/>
    </row>
    <row r="89" spans="1:19" x14ac:dyDescent="0.25">
      <c r="F89" s="3"/>
      <c r="G89" s="2" t="s">
        <v>239</v>
      </c>
      <c r="H89" s="2">
        <f>1116-1050</f>
        <v>66</v>
      </c>
    </row>
    <row r="90" spans="1:19" x14ac:dyDescent="0.25">
      <c r="F90" s="3"/>
      <c r="G90" s="2" t="s">
        <v>234</v>
      </c>
      <c r="H90" s="2">
        <f>SQRT(H87)</f>
        <v>208.68157561222313</v>
      </c>
    </row>
    <row r="91" spans="1:19" x14ac:dyDescent="0.25">
      <c r="F91" s="3"/>
      <c r="G91" s="2" t="s">
        <v>229</v>
      </c>
      <c r="H91" s="2">
        <f>H89/H90</f>
        <v>0.31627133256192541</v>
      </c>
    </row>
    <row r="96" spans="1:19" x14ac:dyDescent="0.25">
      <c r="A96" s="14" t="s">
        <v>26</v>
      </c>
    </row>
    <row r="98" spans="1:9" x14ac:dyDescent="0.25">
      <c r="A98" s="2" t="s">
        <v>1</v>
      </c>
      <c r="B98" s="2" t="s">
        <v>202</v>
      </c>
      <c r="C98" s="2" t="s">
        <v>203</v>
      </c>
      <c r="D98" s="2" t="s">
        <v>204</v>
      </c>
      <c r="E98" s="2" t="s">
        <v>205</v>
      </c>
      <c r="F98" s="2" t="s">
        <v>206</v>
      </c>
      <c r="G98" s="3"/>
      <c r="H98" s="4" t="s">
        <v>241</v>
      </c>
      <c r="I98" s="3">
        <v>-382537</v>
      </c>
    </row>
    <row r="99" spans="1:9" x14ac:dyDescent="0.25">
      <c r="A99" s="4">
        <v>6</v>
      </c>
      <c r="B99" s="4">
        <v>290</v>
      </c>
      <c r="C99" s="3">
        <v>2</v>
      </c>
      <c r="D99" s="3">
        <v>8</v>
      </c>
      <c r="E99" s="3">
        <f>C99-D99</f>
        <v>-6</v>
      </c>
      <c r="F99" s="3">
        <f>E99^2</f>
        <v>36</v>
      </c>
      <c r="G99" s="3"/>
      <c r="H99" s="3" t="s">
        <v>219</v>
      </c>
      <c r="I99" s="3">
        <f>213/12</f>
        <v>17.75</v>
      </c>
    </row>
    <row r="100" spans="1:9" x14ac:dyDescent="0.25">
      <c r="A100" s="4">
        <v>6</v>
      </c>
      <c r="B100" s="4">
        <v>280</v>
      </c>
      <c r="C100" s="3">
        <v>2</v>
      </c>
      <c r="D100" s="3">
        <v>9</v>
      </c>
      <c r="E100" s="3">
        <f t="shared" ref="E100:E108" si="6">C100-D100</f>
        <v>-7</v>
      </c>
      <c r="F100" s="3">
        <f t="shared" ref="F100:F108" si="7">E100^2</f>
        <v>49</v>
      </c>
      <c r="G100" s="3"/>
      <c r="H100" s="3" t="s">
        <v>220</v>
      </c>
      <c r="I100" s="3">
        <f>123/12</f>
        <v>10.25</v>
      </c>
    </row>
    <row r="101" spans="1:9" x14ac:dyDescent="0.25">
      <c r="A101" s="4">
        <v>6</v>
      </c>
      <c r="B101" s="4">
        <v>295</v>
      </c>
      <c r="C101" s="3">
        <v>2</v>
      </c>
      <c r="D101" s="3">
        <v>7</v>
      </c>
      <c r="E101" s="3">
        <f t="shared" si="6"/>
        <v>-5</v>
      </c>
      <c r="F101" s="3">
        <f t="shared" si="7"/>
        <v>25</v>
      </c>
      <c r="G101" s="3"/>
      <c r="H101" s="3" t="s">
        <v>221</v>
      </c>
      <c r="I101" s="3">
        <f>62/12</f>
        <v>5.166666666666667</v>
      </c>
    </row>
    <row r="102" spans="1:9" x14ac:dyDescent="0.25">
      <c r="A102" s="4">
        <v>2</v>
      </c>
      <c r="B102" s="4">
        <v>245</v>
      </c>
      <c r="C102" s="3">
        <v>8.5</v>
      </c>
      <c r="D102" s="3">
        <v>10</v>
      </c>
      <c r="E102" s="3">
        <f t="shared" si="6"/>
        <v>-1.5</v>
      </c>
      <c r="F102" s="3">
        <f t="shared" si="7"/>
        <v>2.25</v>
      </c>
      <c r="G102" s="3"/>
      <c r="H102" s="3" t="s">
        <v>227</v>
      </c>
      <c r="I102" s="3">
        <f>6/12</f>
        <v>0.5</v>
      </c>
    </row>
    <row r="103" spans="1:9" x14ac:dyDescent="0.25">
      <c r="A103" s="4">
        <v>2</v>
      </c>
      <c r="B103" s="4">
        <v>384</v>
      </c>
      <c r="C103" s="3">
        <v>8.5</v>
      </c>
      <c r="D103" s="3">
        <v>2</v>
      </c>
      <c r="E103" s="3">
        <f t="shared" si="6"/>
        <v>6.5</v>
      </c>
      <c r="F103" s="3">
        <f t="shared" si="7"/>
        <v>42.25</v>
      </c>
      <c r="G103" s="3"/>
      <c r="H103" s="3" t="s">
        <v>208</v>
      </c>
      <c r="I103" s="3">
        <f>10*99</f>
        <v>990</v>
      </c>
    </row>
    <row r="104" spans="1:9" x14ac:dyDescent="0.25">
      <c r="A104" s="4">
        <v>5</v>
      </c>
      <c r="B104" s="4">
        <v>315</v>
      </c>
      <c r="C104" s="3">
        <v>4.5</v>
      </c>
      <c r="D104" s="3">
        <v>6</v>
      </c>
      <c r="E104" s="3">
        <f t="shared" si="6"/>
        <v>-1.5</v>
      </c>
      <c r="F104" s="3">
        <f t="shared" si="7"/>
        <v>2.25</v>
      </c>
      <c r="G104" s="3"/>
      <c r="H104" s="3"/>
      <c r="I104" s="3"/>
    </row>
    <row r="105" spans="1:9" x14ac:dyDescent="0.25">
      <c r="A105" s="4">
        <v>4</v>
      </c>
      <c r="B105" s="4">
        <v>355</v>
      </c>
      <c r="C105" s="3">
        <v>6.5</v>
      </c>
      <c r="D105" s="3">
        <v>3</v>
      </c>
      <c r="E105" s="3">
        <f t="shared" si="6"/>
        <v>3.5</v>
      </c>
      <c r="F105" s="3">
        <f t="shared" si="7"/>
        <v>12.25</v>
      </c>
      <c r="G105" s="3"/>
      <c r="H105" s="3"/>
      <c r="I105" s="3"/>
    </row>
    <row r="106" spans="1:9" x14ac:dyDescent="0.25">
      <c r="A106" s="4">
        <v>5</v>
      </c>
      <c r="B106" s="4">
        <v>328</v>
      </c>
      <c r="C106" s="3">
        <v>4.5</v>
      </c>
      <c r="D106" s="3">
        <v>4</v>
      </c>
      <c r="E106" s="3">
        <f t="shared" si="6"/>
        <v>0.5</v>
      </c>
      <c r="F106" s="3">
        <f t="shared" si="7"/>
        <v>0.25</v>
      </c>
      <c r="G106" s="3"/>
      <c r="H106" s="2" t="s">
        <v>242</v>
      </c>
      <c r="I106" s="2">
        <f>I98+I99+I100+I101+I102</f>
        <v>-382503.33333333331</v>
      </c>
    </row>
    <row r="107" spans="1:9" x14ac:dyDescent="0.25">
      <c r="A107" s="4">
        <v>1</v>
      </c>
      <c r="B107" s="4">
        <v>425</v>
      </c>
      <c r="C107" s="3">
        <v>10</v>
      </c>
      <c r="D107" s="3">
        <v>1</v>
      </c>
      <c r="E107" s="3">
        <f t="shared" si="6"/>
        <v>9</v>
      </c>
      <c r="F107" s="3">
        <f t="shared" si="7"/>
        <v>81</v>
      </c>
      <c r="G107" s="3"/>
      <c r="H107" s="2" t="s">
        <v>234</v>
      </c>
      <c r="I107" s="2">
        <v>990</v>
      </c>
    </row>
    <row r="108" spans="1:9" x14ac:dyDescent="0.25">
      <c r="A108" s="4">
        <v>4</v>
      </c>
      <c r="B108" s="4">
        <v>325</v>
      </c>
      <c r="C108" s="3">
        <v>6.5</v>
      </c>
      <c r="D108" s="3">
        <v>5</v>
      </c>
      <c r="E108" s="3">
        <f t="shared" si="6"/>
        <v>1.5</v>
      </c>
      <c r="F108" s="3">
        <f t="shared" si="7"/>
        <v>2.25</v>
      </c>
      <c r="G108" s="3"/>
      <c r="H108" s="2" t="s">
        <v>243</v>
      </c>
      <c r="I108" s="2">
        <f>I106/I107</f>
        <v>-386.36700336700335</v>
      </c>
    </row>
    <row r="109" spans="1:9" x14ac:dyDescent="0.25">
      <c r="A109" s="3"/>
      <c r="B109" s="3"/>
      <c r="C109" s="3"/>
      <c r="D109" s="3"/>
      <c r="E109" s="3"/>
      <c r="F109" s="2">
        <f>SUM(F99:F108)</f>
        <v>252.5</v>
      </c>
      <c r="G109" s="3"/>
      <c r="H109" s="3"/>
      <c r="I109" s="3"/>
    </row>
  </sheetData>
  <pageMargins left="0.7" right="0.7" top="0.75" bottom="0.75" header="0.3" footer="0.3"/>
  <pageSetup paperSize="9" orientation="portrait" r:id="rId1"/>
  <headerFooter>
    <oddHeader>&amp;Cjthr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0F30-747C-437A-ABFE-FA7E0D3E3031}">
  <dimension ref="A1:L109"/>
  <sheetViews>
    <sheetView topLeftCell="A61" workbookViewId="0">
      <selection activeCell="I94" sqref="I94"/>
    </sheetView>
  </sheetViews>
  <sheetFormatPr defaultRowHeight="15" x14ac:dyDescent="0.25"/>
  <sheetData>
    <row r="1" spans="1:12" x14ac:dyDescent="0.25">
      <c r="A1" s="2" t="s">
        <v>247</v>
      </c>
      <c r="B1" s="2" t="s">
        <v>119</v>
      </c>
      <c r="C1" s="2" t="s">
        <v>248</v>
      </c>
      <c r="D1" s="2" t="s">
        <v>250</v>
      </c>
      <c r="E1" s="2" t="s">
        <v>252</v>
      </c>
      <c r="F1" s="2" t="s">
        <v>253</v>
      </c>
      <c r="G1" s="7" t="s">
        <v>254</v>
      </c>
      <c r="H1" s="28" t="s">
        <v>255</v>
      </c>
      <c r="I1" s="28" t="s">
        <v>258</v>
      </c>
      <c r="J1" s="3"/>
      <c r="K1" s="26"/>
      <c r="L1" s="3"/>
    </row>
    <row r="2" spans="1:12" x14ac:dyDescent="0.25">
      <c r="A2" s="3">
        <v>1</v>
      </c>
      <c r="B2" s="3">
        <v>34</v>
      </c>
      <c r="C2" s="3">
        <v>5</v>
      </c>
      <c r="D2" s="3">
        <f>34-74</f>
        <v>-40</v>
      </c>
      <c r="E2" s="3">
        <f>5-10</f>
        <v>-5</v>
      </c>
      <c r="F2" s="3">
        <f>-40^2</f>
        <v>1600</v>
      </c>
      <c r="G2" s="3">
        <f>-40*-5</f>
        <v>200</v>
      </c>
      <c r="H2" s="3">
        <f>L6+L5*34</f>
        <v>4.1511893295292452</v>
      </c>
      <c r="I2" s="3">
        <f>(C2-H2)^2</f>
        <v>0.7204795543050122</v>
      </c>
      <c r="J2" s="3"/>
      <c r="K2" s="26"/>
      <c r="L2" s="3"/>
    </row>
    <row r="3" spans="1:12" x14ac:dyDescent="0.25">
      <c r="A3" s="3">
        <v>2</v>
      </c>
      <c r="B3" s="3">
        <v>108</v>
      </c>
      <c r="C3" s="3">
        <v>17</v>
      </c>
      <c r="D3" s="3">
        <f>108-74</f>
        <v>34</v>
      </c>
      <c r="E3" s="3">
        <f>17-10</f>
        <v>7</v>
      </c>
      <c r="F3" s="3">
        <f>34^2</f>
        <v>1156</v>
      </c>
      <c r="G3" s="3">
        <f>34*7</f>
        <v>238</v>
      </c>
      <c r="H3" s="3">
        <f>L6+L5*B3</f>
        <v>14.971446105563482</v>
      </c>
      <c r="I3" s="3">
        <f>(C3-H3)^2</f>
        <v>4.1150309026335652</v>
      </c>
      <c r="J3" s="3"/>
      <c r="K3" s="27"/>
      <c r="L3" s="3"/>
    </row>
    <row r="4" spans="1:12" x14ac:dyDescent="0.25">
      <c r="A4" s="3">
        <v>3</v>
      </c>
      <c r="B4" s="3">
        <v>64</v>
      </c>
      <c r="C4" s="3">
        <v>11</v>
      </c>
      <c r="D4" s="3">
        <f>64-74</f>
        <v>-10</v>
      </c>
      <c r="E4" s="3">
        <f>11-10</f>
        <v>1</v>
      </c>
      <c r="F4" s="3">
        <f>10^2</f>
        <v>100</v>
      </c>
      <c r="G4" s="3">
        <f>-10*1</f>
        <v>-10</v>
      </c>
      <c r="H4" s="3">
        <f>L6+L5*B4</f>
        <v>8.5377799144079898</v>
      </c>
      <c r="I4" s="3">
        <f t="shared" ref="I4:I7" si="0">(C4-H4)^2</f>
        <v>6.0625277498927259</v>
      </c>
      <c r="J4" s="3"/>
      <c r="K4" s="3"/>
      <c r="L4" s="3"/>
    </row>
    <row r="5" spans="1:12" x14ac:dyDescent="0.25">
      <c r="A5" s="3">
        <v>4</v>
      </c>
      <c r="B5" s="3">
        <v>88</v>
      </c>
      <c r="C5" s="3">
        <v>8</v>
      </c>
      <c r="D5" s="3">
        <f>88-74</f>
        <v>14</v>
      </c>
      <c r="E5" s="3">
        <f>8-10</f>
        <v>-2</v>
      </c>
      <c r="F5" s="3">
        <f>14^2</f>
        <v>196</v>
      </c>
      <c r="G5" s="3">
        <f>14*-2</f>
        <v>-28</v>
      </c>
      <c r="H5" s="3">
        <f>L6+L5*B5</f>
        <v>12.047052382310985</v>
      </c>
      <c r="I5" s="3">
        <f t="shared" si="0"/>
        <v>16.378632985169023</v>
      </c>
      <c r="J5" s="3"/>
      <c r="K5" s="2" t="s">
        <v>257</v>
      </c>
      <c r="L5" s="2">
        <f>615/4206</f>
        <v>0.14621968616262482</v>
      </c>
    </row>
    <row r="6" spans="1:12" x14ac:dyDescent="0.25">
      <c r="A6" s="3">
        <v>5</v>
      </c>
      <c r="B6" s="3">
        <v>99</v>
      </c>
      <c r="C6" s="3">
        <v>14</v>
      </c>
      <c r="D6" s="3">
        <f>99-74</f>
        <v>25</v>
      </c>
      <c r="E6" s="3">
        <f>14-10</f>
        <v>4</v>
      </c>
      <c r="F6" s="3">
        <f>25^2</f>
        <v>625</v>
      </c>
      <c r="G6" s="3">
        <f>25*4</f>
        <v>100</v>
      </c>
      <c r="H6" s="3">
        <f>L6+L5*B6</f>
        <v>13.655468930099859</v>
      </c>
      <c r="I6" s="3">
        <f t="shared" si="0"/>
        <v>0.11870165812653564</v>
      </c>
      <c r="J6" s="3"/>
      <c r="K6" s="2" t="s">
        <v>256</v>
      </c>
      <c r="L6" s="2">
        <f>10-(0.14622*74)</f>
        <v>-0.82027999999999857</v>
      </c>
    </row>
    <row r="7" spans="1:12" x14ac:dyDescent="0.25">
      <c r="A7" s="3">
        <v>6</v>
      </c>
      <c r="B7" s="3">
        <v>51</v>
      </c>
      <c r="C7" s="3">
        <v>5</v>
      </c>
      <c r="D7" s="3">
        <f>51-74</f>
        <v>-23</v>
      </c>
      <c r="E7" s="3">
        <f>5-10</f>
        <v>-5</v>
      </c>
      <c r="F7" s="3">
        <f>-23^2</f>
        <v>529</v>
      </c>
      <c r="G7" s="3">
        <f>-23*-5</f>
        <v>115</v>
      </c>
      <c r="H7" s="3">
        <f>L6+L5*B7</f>
        <v>6.6369239942938671</v>
      </c>
      <c r="I7" s="3">
        <f t="shared" si="0"/>
        <v>2.6795201630949883</v>
      </c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4" t="s">
        <v>249</v>
      </c>
      <c r="B9" s="14">
        <f>SUM(B2:B8)</f>
        <v>444</v>
      </c>
      <c r="C9" s="14">
        <f>SUM(C2:C8)</f>
        <v>60</v>
      </c>
      <c r="D9" s="2"/>
      <c r="E9" s="2"/>
      <c r="F9" s="14">
        <f>SUM(F2:F8)</f>
        <v>4206</v>
      </c>
      <c r="G9" s="14">
        <f>SUM(G2:G8)</f>
        <v>615</v>
      </c>
      <c r="H9" s="2"/>
      <c r="I9" s="14">
        <f>SUM(I2:I8)</f>
        <v>30.07489301322185</v>
      </c>
      <c r="J9" s="3"/>
      <c r="K9" s="3"/>
      <c r="L9" s="3"/>
    </row>
    <row r="10" spans="1:12" x14ac:dyDescent="0.25">
      <c r="A10" s="14" t="s">
        <v>251</v>
      </c>
      <c r="B10" s="14">
        <f>444/6</f>
        <v>74</v>
      </c>
      <c r="C10" s="14">
        <f>60/6</f>
        <v>10</v>
      </c>
      <c r="D10" s="2" t="s">
        <v>202</v>
      </c>
      <c r="E10" s="2"/>
      <c r="F10" s="2"/>
      <c r="G10" s="2"/>
      <c r="H10" s="2"/>
      <c r="I10" s="2"/>
      <c r="J10" s="3"/>
      <c r="K10" s="3"/>
      <c r="L10" s="3"/>
    </row>
    <row r="12" spans="1:12" x14ac:dyDescent="0.25">
      <c r="B12" s="2" t="s">
        <v>119</v>
      </c>
      <c r="C12" s="2" t="s">
        <v>248</v>
      </c>
    </row>
    <row r="13" spans="1:12" x14ac:dyDescent="0.25">
      <c r="B13" s="3">
        <v>43</v>
      </c>
      <c r="C13" s="3">
        <f>L6+L5*B13</f>
        <v>5.4671665049928686</v>
      </c>
    </row>
    <row r="17" spans="1:12" x14ac:dyDescent="0.25">
      <c r="A17" s="14" t="s">
        <v>0</v>
      </c>
    </row>
    <row r="19" spans="1:12" x14ac:dyDescent="0.25">
      <c r="A19" s="2" t="s">
        <v>259</v>
      </c>
      <c r="B19" s="2" t="s">
        <v>119</v>
      </c>
      <c r="C19" s="2" t="s">
        <v>248</v>
      </c>
      <c r="D19" s="2" t="s">
        <v>250</v>
      </c>
      <c r="E19" s="2" t="s">
        <v>252</v>
      </c>
      <c r="F19" s="2" t="s">
        <v>253</v>
      </c>
      <c r="G19" s="2" t="s">
        <v>260</v>
      </c>
      <c r="H19" s="28" t="s">
        <v>255</v>
      </c>
      <c r="I19" s="2" t="s">
        <v>258</v>
      </c>
      <c r="J19" s="3"/>
      <c r="K19" s="2" t="s">
        <v>257</v>
      </c>
      <c r="L19" s="2">
        <f>G31/F31</f>
        <v>0.10976773783009863</v>
      </c>
    </row>
    <row r="20" spans="1:12" x14ac:dyDescent="0.25">
      <c r="A20" s="3">
        <v>1</v>
      </c>
      <c r="B20" s="3">
        <v>1400</v>
      </c>
      <c r="C20" s="3">
        <v>245</v>
      </c>
      <c r="D20" s="3">
        <f>B20-B32</f>
        <v>-315</v>
      </c>
      <c r="E20" s="3">
        <f>245-286.5</f>
        <v>-41.5</v>
      </c>
      <c r="F20" s="3">
        <f>(D20)^2</f>
        <v>99225</v>
      </c>
      <c r="G20" s="3">
        <f>D20*E20</f>
        <v>13072.5</v>
      </c>
      <c r="H20" s="3">
        <f>L20+L19*B20</f>
        <v>251.92316258351892</v>
      </c>
      <c r="I20" s="3">
        <f>(C20-H20)^2</f>
        <v>47.930180157836318</v>
      </c>
      <c r="J20" s="3"/>
      <c r="K20" s="2" t="s">
        <v>256</v>
      </c>
      <c r="L20" s="2">
        <f>286.5-(L19*B32)</f>
        <v>98.248329621380833</v>
      </c>
    </row>
    <row r="21" spans="1:12" x14ac:dyDescent="0.25">
      <c r="A21" s="3">
        <v>2</v>
      </c>
      <c r="B21" s="3">
        <v>1600</v>
      </c>
      <c r="C21" s="3">
        <v>312</v>
      </c>
      <c r="D21" s="3">
        <f>1600-1715</f>
        <v>-115</v>
      </c>
      <c r="E21" s="3">
        <f>312-286.5</f>
        <v>25.5</v>
      </c>
      <c r="F21" s="3">
        <f t="shared" ref="F21:F29" si="1">(D21)^2</f>
        <v>13225</v>
      </c>
      <c r="G21" s="3">
        <f t="shared" ref="G21:G29" si="2">D21*E21</f>
        <v>-2932.5</v>
      </c>
      <c r="H21" s="3">
        <f>L20+L19*B21</f>
        <v>273.87671014953867</v>
      </c>
      <c r="I21" s="3">
        <f t="shared" ref="I21:I29" si="3">(C21-H21)^2</f>
        <v>1453.3852290222881</v>
      </c>
    </row>
    <row r="22" spans="1:12" x14ac:dyDescent="0.25">
      <c r="A22" s="3">
        <v>3</v>
      </c>
      <c r="B22" s="3">
        <v>1700</v>
      </c>
      <c r="C22" s="3">
        <v>279</v>
      </c>
      <c r="D22" s="3">
        <f>1700-1715</f>
        <v>-15</v>
      </c>
      <c r="E22" s="3">
        <f>279-286.5</f>
        <v>-7.5</v>
      </c>
      <c r="F22" s="3">
        <f t="shared" si="1"/>
        <v>225</v>
      </c>
      <c r="G22" s="3">
        <f t="shared" si="2"/>
        <v>112.5</v>
      </c>
      <c r="H22" s="3">
        <f>L20+L19*B22</f>
        <v>284.8534839325485</v>
      </c>
      <c r="I22" s="3">
        <f t="shared" si="3"/>
        <v>34.26327414860345</v>
      </c>
    </row>
    <row r="23" spans="1:12" x14ac:dyDescent="0.25">
      <c r="A23" s="3">
        <v>4</v>
      </c>
      <c r="B23" s="3">
        <v>1875</v>
      </c>
      <c r="C23" s="3">
        <v>308</v>
      </c>
      <c r="D23" s="3">
        <f>1875-1715</f>
        <v>160</v>
      </c>
      <c r="E23" s="3">
        <f>308-286.5</f>
        <v>21.5</v>
      </c>
      <c r="F23" s="3">
        <f t="shared" si="1"/>
        <v>25600</v>
      </c>
      <c r="G23" s="3">
        <f t="shared" si="2"/>
        <v>3440</v>
      </c>
      <c r="H23" s="3">
        <f>L20+L19*B23</f>
        <v>304.06283805281578</v>
      </c>
      <c r="I23" s="3">
        <f t="shared" si="3"/>
        <v>15.501244198355456</v>
      </c>
    </row>
    <row r="24" spans="1:12" x14ac:dyDescent="0.25">
      <c r="A24" s="3">
        <v>5</v>
      </c>
      <c r="B24" s="3">
        <v>1100</v>
      </c>
      <c r="C24" s="3">
        <v>199</v>
      </c>
      <c r="D24" s="3">
        <f>1100-1715</f>
        <v>-615</v>
      </c>
      <c r="E24" s="3">
        <f>199-C32</f>
        <v>-87.5</v>
      </c>
      <c r="F24" s="3">
        <f t="shared" si="1"/>
        <v>378225</v>
      </c>
      <c r="G24" s="3">
        <f t="shared" si="2"/>
        <v>53812.5</v>
      </c>
      <c r="H24" s="3">
        <f>L20+L19*B24</f>
        <v>218.99284123448933</v>
      </c>
      <c r="I24" s="3">
        <f t="shared" si="3"/>
        <v>399.71370062749696</v>
      </c>
    </row>
    <row r="25" spans="1:12" x14ac:dyDescent="0.25">
      <c r="A25" s="3">
        <v>6</v>
      </c>
      <c r="B25" s="3">
        <v>1550</v>
      </c>
      <c r="C25" s="3">
        <v>219</v>
      </c>
      <c r="D25" s="3">
        <f>1550-1715</f>
        <v>-165</v>
      </c>
      <c r="E25" s="3">
        <f>219-C32</f>
        <v>-67.5</v>
      </c>
      <c r="F25" s="3">
        <f t="shared" si="1"/>
        <v>27225</v>
      </c>
      <c r="G25" s="3">
        <f t="shared" si="2"/>
        <v>11137.5</v>
      </c>
      <c r="H25" s="3">
        <f>L20+L19*B25</f>
        <v>268.38832325803372</v>
      </c>
      <c r="I25" s="3">
        <f t="shared" si="3"/>
        <v>2439.2064742400348</v>
      </c>
    </row>
    <row r="26" spans="1:12" x14ac:dyDescent="0.25">
      <c r="A26" s="3">
        <v>7</v>
      </c>
      <c r="B26" s="3">
        <v>2350</v>
      </c>
      <c r="C26" s="3">
        <v>405</v>
      </c>
      <c r="D26" s="3">
        <f>2350-1715</f>
        <v>635</v>
      </c>
      <c r="E26" s="3">
        <f>405-C32</f>
        <v>118.5</v>
      </c>
      <c r="F26" s="3">
        <f t="shared" si="1"/>
        <v>403225</v>
      </c>
      <c r="G26" s="3">
        <f t="shared" si="2"/>
        <v>75247.5</v>
      </c>
      <c r="H26" s="3">
        <f>L20+L19*B26</f>
        <v>356.20251352211261</v>
      </c>
      <c r="I26" s="3">
        <f t="shared" si="3"/>
        <v>2381.1946865596028</v>
      </c>
    </row>
    <row r="27" spans="1:12" x14ac:dyDescent="0.25">
      <c r="A27" s="3">
        <v>8</v>
      </c>
      <c r="B27" s="3">
        <v>2450</v>
      </c>
      <c r="C27" s="3">
        <v>324</v>
      </c>
      <c r="D27" s="3">
        <f>2450-1715</f>
        <v>735</v>
      </c>
      <c r="E27" s="3">
        <f>324-C32</f>
        <v>37.5</v>
      </c>
      <c r="F27" s="3">
        <f t="shared" si="1"/>
        <v>540225</v>
      </c>
      <c r="G27" s="3">
        <f t="shared" si="2"/>
        <v>27562.5</v>
      </c>
      <c r="H27" s="3">
        <f>L20+L19*B27</f>
        <v>367.1792873051225</v>
      </c>
      <c r="I27" s="3">
        <f t="shared" si="3"/>
        <v>1864.4508521783132</v>
      </c>
    </row>
    <row r="28" spans="1:12" x14ac:dyDescent="0.25">
      <c r="A28" s="3">
        <v>9</v>
      </c>
      <c r="B28" s="3">
        <v>1425</v>
      </c>
      <c r="C28" s="3">
        <v>319</v>
      </c>
      <c r="D28" s="3">
        <f>1425-1715</f>
        <v>-290</v>
      </c>
      <c r="E28" s="3">
        <f>319-C32</f>
        <v>32.5</v>
      </c>
      <c r="F28" s="3">
        <f t="shared" si="1"/>
        <v>84100</v>
      </c>
      <c r="G28" s="3">
        <f t="shared" si="2"/>
        <v>-9425</v>
      </c>
      <c r="H28" s="3">
        <f>L20+L19*B28</f>
        <v>254.66735602927139</v>
      </c>
      <c r="I28" s="3">
        <f t="shared" si="3"/>
        <v>4138.6890802645239</v>
      </c>
    </row>
    <row r="29" spans="1:12" x14ac:dyDescent="0.25">
      <c r="A29" s="3">
        <v>10</v>
      </c>
      <c r="B29" s="3">
        <v>1700</v>
      </c>
      <c r="C29" s="3">
        <v>255</v>
      </c>
      <c r="D29" s="3">
        <f>1700-1715</f>
        <v>-15</v>
      </c>
      <c r="E29" s="3">
        <f>255-C32</f>
        <v>-31.5</v>
      </c>
      <c r="F29" s="3">
        <f t="shared" si="1"/>
        <v>225</v>
      </c>
      <c r="G29" s="3">
        <f t="shared" si="2"/>
        <v>472.5</v>
      </c>
      <c r="H29" s="3">
        <f>L20+L19*B29</f>
        <v>284.8534839325485</v>
      </c>
      <c r="I29" s="3">
        <f t="shared" si="3"/>
        <v>891.23050291093148</v>
      </c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12" x14ac:dyDescent="0.25">
      <c r="A31" s="2" t="s">
        <v>249</v>
      </c>
      <c r="B31" s="2">
        <f>SUM(B20:B30)</f>
        <v>17150</v>
      </c>
      <c r="C31" s="2">
        <f>SUM(C20:C30)</f>
        <v>2865</v>
      </c>
      <c r="D31" s="4"/>
      <c r="E31" s="4"/>
      <c r="F31" s="14">
        <f>SUM(F20:F30)</f>
        <v>1571500</v>
      </c>
      <c r="G31" s="14">
        <f>SUM(G20:G30)</f>
        <v>172500</v>
      </c>
      <c r="H31" s="4"/>
      <c r="I31" s="14">
        <f>SUM(I20:I30)</f>
        <v>13665.565224307988</v>
      </c>
    </row>
    <row r="32" spans="1:12" x14ac:dyDescent="0.25">
      <c r="A32" s="2" t="s">
        <v>15</v>
      </c>
      <c r="B32" s="2">
        <f>B31/10</f>
        <v>1715</v>
      </c>
      <c r="C32" s="2">
        <f>C31/10</f>
        <v>286.5</v>
      </c>
      <c r="D32" s="4"/>
      <c r="E32" s="4"/>
      <c r="F32" s="4"/>
      <c r="G32" s="4"/>
      <c r="H32" s="4"/>
      <c r="I32" s="4"/>
    </row>
    <row r="33" spans="1:12" x14ac:dyDescent="0.25">
      <c r="A33" s="2"/>
      <c r="B33" s="2" t="s">
        <v>1</v>
      </c>
      <c r="C33" s="2" t="s">
        <v>202</v>
      </c>
      <c r="D33" s="4"/>
      <c r="E33" s="4"/>
      <c r="F33" s="4"/>
      <c r="G33" s="4"/>
      <c r="H33" s="4"/>
      <c r="I33" s="4"/>
    </row>
    <row r="36" spans="1:12" x14ac:dyDescent="0.25">
      <c r="A36" s="14" t="s">
        <v>16</v>
      </c>
    </row>
    <row r="38" spans="1:12" x14ac:dyDescent="0.25">
      <c r="A38" s="2" t="s">
        <v>261</v>
      </c>
      <c r="B38" s="2" t="s">
        <v>119</v>
      </c>
      <c r="C38" s="2" t="s">
        <v>248</v>
      </c>
      <c r="D38" s="2" t="s">
        <v>250</v>
      </c>
      <c r="E38" s="2" t="s">
        <v>252</v>
      </c>
      <c r="F38" s="2" t="s">
        <v>253</v>
      </c>
      <c r="G38" s="7" t="s">
        <v>254</v>
      </c>
      <c r="H38" s="2" t="s">
        <v>255</v>
      </c>
      <c r="I38" s="2" t="s">
        <v>258</v>
      </c>
      <c r="J38" s="3"/>
      <c r="K38" s="2" t="s">
        <v>257</v>
      </c>
      <c r="L38" s="2">
        <f>G46/F46</f>
        <v>2.1367521367521368E-2</v>
      </c>
    </row>
    <row r="39" spans="1:12" x14ac:dyDescent="0.25">
      <c r="A39" s="3">
        <v>1</v>
      </c>
      <c r="B39" s="3">
        <v>100</v>
      </c>
      <c r="C39" s="3">
        <v>10</v>
      </c>
      <c r="D39" s="3">
        <f>100-10</f>
        <v>90</v>
      </c>
      <c r="E39" s="3">
        <f>10-35</f>
        <v>-25</v>
      </c>
      <c r="F39" s="3">
        <f>D39^2</f>
        <v>8100</v>
      </c>
      <c r="G39" s="3">
        <f>D39*E39</f>
        <v>-2250</v>
      </c>
      <c r="H39" s="3">
        <f>L39+L38*B39</f>
        <v>29.658119658119659</v>
      </c>
      <c r="I39" s="3">
        <f>(C39-H39)^2</f>
        <v>386.44166849295061</v>
      </c>
      <c r="J39" s="3"/>
      <c r="K39" s="2" t="s">
        <v>256</v>
      </c>
      <c r="L39" s="2">
        <f>C47-(L38*B47)</f>
        <v>27.521367521367523</v>
      </c>
    </row>
    <row r="40" spans="1:12" x14ac:dyDescent="0.25">
      <c r="A40" s="3">
        <v>2</v>
      </c>
      <c r="B40" s="3">
        <v>200</v>
      </c>
      <c r="C40" s="3">
        <v>20</v>
      </c>
      <c r="D40" s="3">
        <f>200-20</f>
        <v>180</v>
      </c>
      <c r="E40" s="3">
        <f>20-35</f>
        <v>-15</v>
      </c>
      <c r="F40" s="3">
        <f t="shared" ref="F40:F44" si="4">D40^2</f>
        <v>32400</v>
      </c>
      <c r="G40" s="3">
        <f t="shared" ref="G40:G44" si="5">D40*E40</f>
        <v>-2700</v>
      </c>
      <c r="H40" s="3">
        <f>L39+L38*B40</f>
        <v>31.794871794871796</v>
      </c>
      <c r="I40" s="3">
        <f t="shared" ref="I40:I44" si="6">(C40-H40)^2</f>
        <v>139.11900065746221</v>
      </c>
    </row>
    <row r="41" spans="1:12" x14ac:dyDescent="0.25">
      <c r="A41" s="3">
        <v>3</v>
      </c>
      <c r="B41" s="3">
        <v>300</v>
      </c>
      <c r="C41" s="3">
        <v>30</v>
      </c>
      <c r="D41" s="3">
        <f>300-30</f>
        <v>270</v>
      </c>
      <c r="E41" s="3">
        <f>30-35</f>
        <v>-5</v>
      </c>
      <c r="F41" s="3">
        <f t="shared" si="4"/>
        <v>72900</v>
      </c>
      <c r="G41" s="3">
        <f t="shared" si="5"/>
        <v>-1350</v>
      </c>
      <c r="H41" s="3">
        <f>L39+L38*B41</f>
        <v>33.931623931623932</v>
      </c>
      <c r="I41" s="3">
        <f>(C41-H41)^2</f>
        <v>15.457666739718023</v>
      </c>
    </row>
    <row r="42" spans="1:12" x14ac:dyDescent="0.25">
      <c r="A42" s="3">
        <v>4</v>
      </c>
      <c r="B42" s="3">
        <v>400</v>
      </c>
      <c r="C42" s="3">
        <v>40</v>
      </c>
      <c r="D42" s="3">
        <f>400-40</f>
        <v>360</v>
      </c>
      <c r="E42" s="3">
        <f>40-35</f>
        <v>5</v>
      </c>
      <c r="F42" s="3">
        <f t="shared" si="4"/>
        <v>129600</v>
      </c>
      <c r="G42" s="3">
        <f t="shared" si="5"/>
        <v>1800</v>
      </c>
      <c r="H42" s="3">
        <f>L39+L38*B42</f>
        <v>36.068376068376068</v>
      </c>
      <c r="I42" s="3">
        <f t="shared" si="6"/>
        <v>15.457666739718023</v>
      </c>
    </row>
    <row r="43" spans="1:12" x14ac:dyDescent="0.25">
      <c r="A43" s="3">
        <v>5</v>
      </c>
      <c r="B43" s="3">
        <v>500</v>
      </c>
      <c r="C43" s="3">
        <v>50</v>
      </c>
      <c r="D43" s="3">
        <f>500-50</f>
        <v>450</v>
      </c>
      <c r="E43" s="3">
        <f>50-35</f>
        <v>15</v>
      </c>
      <c r="F43" s="3">
        <f t="shared" si="4"/>
        <v>202500</v>
      </c>
      <c r="G43" s="3">
        <f t="shared" si="5"/>
        <v>6750</v>
      </c>
      <c r="H43" s="3">
        <f>L39+L38*B43</f>
        <v>38.205128205128204</v>
      </c>
      <c r="I43" s="3">
        <f t="shared" si="6"/>
        <v>139.11900065746221</v>
      </c>
    </row>
    <row r="44" spans="1:12" x14ac:dyDescent="0.25">
      <c r="A44" s="3">
        <v>6</v>
      </c>
      <c r="B44" s="3">
        <v>600</v>
      </c>
      <c r="C44" s="3">
        <v>60</v>
      </c>
      <c r="D44" s="3">
        <f>600-60</f>
        <v>540</v>
      </c>
      <c r="E44" s="3">
        <f>60-35</f>
        <v>25</v>
      </c>
      <c r="F44" s="3">
        <f t="shared" si="4"/>
        <v>291600</v>
      </c>
      <c r="G44" s="3">
        <f t="shared" si="5"/>
        <v>13500</v>
      </c>
      <c r="H44" s="3">
        <f>L39+L38*B44</f>
        <v>40.341880341880341</v>
      </c>
      <c r="I44" s="3">
        <f t="shared" si="6"/>
        <v>386.44166849295061</v>
      </c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12" x14ac:dyDescent="0.25">
      <c r="A46" s="29" t="s">
        <v>249</v>
      </c>
      <c r="B46" s="14">
        <f>SUM(B39:B45)</f>
        <v>2100</v>
      </c>
      <c r="C46" s="14">
        <f>SUM(C39:C45)</f>
        <v>210</v>
      </c>
      <c r="D46" s="3"/>
      <c r="E46" s="3"/>
      <c r="F46" s="14">
        <f>SUM(F39:F45)</f>
        <v>737100</v>
      </c>
      <c r="G46" s="14">
        <f>SUM(G39:G45)</f>
        <v>15750</v>
      </c>
      <c r="H46" s="2"/>
      <c r="I46" s="14">
        <f>SUM(I39:I45)</f>
        <v>1082.0366717802617</v>
      </c>
    </row>
    <row r="47" spans="1:12" x14ac:dyDescent="0.25">
      <c r="A47" s="29" t="s">
        <v>15</v>
      </c>
      <c r="B47" s="14">
        <f>2100/6</f>
        <v>350</v>
      </c>
      <c r="C47" s="14">
        <f>210/6</f>
        <v>35</v>
      </c>
      <c r="D47" s="3"/>
      <c r="E47" s="3"/>
      <c r="F47" s="3"/>
      <c r="G47" s="3"/>
      <c r="H47" s="3"/>
      <c r="I47" s="3"/>
    </row>
    <row r="48" spans="1:12" x14ac:dyDescent="0.25">
      <c r="A48" s="3"/>
      <c r="B48" s="3" t="s">
        <v>1</v>
      </c>
      <c r="C48" s="3" t="s">
        <v>202</v>
      </c>
      <c r="D48" s="3"/>
      <c r="E48" s="3"/>
      <c r="F48" s="3"/>
      <c r="G48" s="3"/>
      <c r="H48" s="3"/>
      <c r="I48" s="3"/>
    </row>
    <row r="51" spans="1:12" x14ac:dyDescent="0.25">
      <c r="A51" s="14" t="s">
        <v>23</v>
      </c>
    </row>
    <row r="53" spans="1:12" x14ac:dyDescent="0.25">
      <c r="A53" s="2" t="s">
        <v>262</v>
      </c>
      <c r="B53" s="2" t="s">
        <v>119</v>
      </c>
      <c r="C53" s="2" t="s">
        <v>248</v>
      </c>
      <c r="D53" s="2" t="s">
        <v>250</v>
      </c>
      <c r="E53" s="2" t="s">
        <v>252</v>
      </c>
      <c r="F53" s="2" t="s">
        <v>253</v>
      </c>
      <c r="G53" s="7" t="s">
        <v>254</v>
      </c>
      <c r="H53" s="2" t="s">
        <v>255</v>
      </c>
      <c r="I53" s="2" t="s">
        <v>258</v>
      </c>
      <c r="J53" s="29"/>
      <c r="K53" s="14" t="s">
        <v>257</v>
      </c>
      <c r="L53" s="29">
        <f>G62/F62</f>
        <v>0.18731968677016067</v>
      </c>
    </row>
    <row r="54" spans="1:12" x14ac:dyDescent="0.25">
      <c r="A54" s="3">
        <v>1</v>
      </c>
      <c r="B54" s="3">
        <v>140</v>
      </c>
      <c r="C54" s="3">
        <v>60</v>
      </c>
      <c r="D54" s="3">
        <f>B54-B63</f>
        <v>-36.714285714285722</v>
      </c>
      <c r="E54" s="3">
        <f>C54-C63</f>
        <v>-8.1428571428571388</v>
      </c>
      <c r="F54" s="3">
        <f>(D54)^2</f>
        <v>1347.9387755102048</v>
      </c>
      <c r="G54" s="3">
        <f>D54*E54</f>
        <v>298.95918367346928</v>
      </c>
      <c r="H54" s="3">
        <f>L54+L53*B54</f>
        <v>61.265548642866946</v>
      </c>
      <c r="I54" s="3">
        <f>C54-H54^2</f>
        <v>-3693.4674505114958</v>
      </c>
      <c r="J54" s="29"/>
      <c r="K54" s="14" t="s">
        <v>256</v>
      </c>
      <c r="L54" s="29">
        <f>C63-(L53*B63)</f>
        <v>35.040792495044457</v>
      </c>
    </row>
    <row r="55" spans="1:12" x14ac:dyDescent="0.25">
      <c r="A55" s="3">
        <v>2</v>
      </c>
      <c r="B55" s="3">
        <v>155</v>
      </c>
      <c r="C55" s="3">
        <v>62</v>
      </c>
      <c r="D55" s="3">
        <f>B55-B63</f>
        <v>-21.714285714285722</v>
      </c>
      <c r="E55" s="3">
        <f>C55-C63</f>
        <v>-6.1428571428571388</v>
      </c>
      <c r="F55" s="3">
        <f>(D55)^2</f>
        <v>471.51020408163299</v>
      </c>
      <c r="G55" s="3">
        <f>D55*E55</f>
        <v>133.38775510204079</v>
      </c>
      <c r="H55" s="3">
        <f>L54+L53*C55</f>
        <v>46.654613074794419</v>
      </c>
      <c r="I55" s="3">
        <f>C55-H55^2</f>
        <v>-2114.6529211587786</v>
      </c>
    </row>
    <row r="56" spans="1:12" x14ac:dyDescent="0.25">
      <c r="A56" s="3">
        <v>3</v>
      </c>
      <c r="B56" s="3">
        <v>159</v>
      </c>
      <c r="C56" s="3">
        <v>67</v>
      </c>
      <c r="D56" s="3">
        <f>B56-B63</f>
        <v>-17.714285714285722</v>
      </c>
      <c r="E56" s="3">
        <f>C56-C63</f>
        <v>-1.1428571428571388</v>
      </c>
      <c r="F56" s="3">
        <f>D56^2</f>
        <v>313.79591836734721</v>
      </c>
      <c r="G56" s="3">
        <f>D56*E57</f>
        <v>-32.897959183673557</v>
      </c>
      <c r="H56" s="3">
        <f>L54+L53*B56</f>
        <v>64.824622691499997</v>
      </c>
      <c r="I56" s="3">
        <f>C56-H56^2</f>
        <v>-4135.2317070953359</v>
      </c>
    </row>
    <row r="57" spans="1:12" x14ac:dyDescent="0.25">
      <c r="A57" s="3">
        <v>4</v>
      </c>
      <c r="B57" s="3">
        <v>179</v>
      </c>
      <c r="C57" s="3">
        <v>70</v>
      </c>
      <c r="D57" s="3">
        <f>B57-B63</f>
        <v>2.2857142857142776</v>
      </c>
      <c r="E57" s="3">
        <f>C57-C63</f>
        <v>1.8571428571428612</v>
      </c>
      <c r="F57" s="3">
        <f>D57^2</f>
        <v>5.2244897959183305</v>
      </c>
      <c r="G57" s="3">
        <f>D57*E57</f>
        <v>4.2448979591836675</v>
      </c>
      <c r="H57" s="3">
        <f>L54+L53*B57</f>
        <v>68.571016426903213</v>
      </c>
      <c r="I57" s="3">
        <f>C57-H57^2</f>
        <v>-4631.9842938186302</v>
      </c>
    </row>
    <row r="58" spans="1:12" x14ac:dyDescent="0.25">
      <c r="A58" s="3">
        <v>5</v>
      </c>
      <c r="B58" s="3">
        <v>192</v>
      </c>
      <c r="C58" s="3">
        <v>71</v>
      </c>
      <c r="D58" s="3">
        <f>B58-B63</f>
        <v>15.285714285714278</v>
      </c>
      <c r="E58" s="3">
        <f>C58-C63</f>
        <v>2.8571428571428612</v>
      </c>
      <c r="F58" s="3">
        <f>D58^2</f>
        <v>233.65306122448953</v>
      </c>
      <c r="G58" s="3">
        <f>D58*E58</f>
        <v>43.673469387755141</v>
      </c>
      <c r="H58" s="3">
        <f>L54+L53*B58</f>
        <v>71.006172354915307</v>
      </c>
      <c r="I58" s="3">
        <f>C58-H59^2</f>
        <v>-5185.935850487579</v>
      </c>
    </row>
    <row r="59" spans="1:12" x14ac:dyDescent="0.25">
      <c r="A59" s="3">
        <v>6</v>
      </c>
      <c r="B59" s="3">
        <v>200</v>
      </c>
      <c r="C59" s="3">
        <v>72</v>
      </c>
      <c r="D59" s="3">
        <f>B59-B63</f>
        <v>23.285714285714278</v>
      </c>
      <c r="E59" s="3">
        <f>C59-C63</f>
        <v>3.8571428571428612</v>
      </c>
      <c r="F59" s="3">
        <f>D59^2</f>
        <v>542.22448979591798</v>
      </c>
      <c r="G59" s="3">
        <f>D59*E59</f>
        <v>89.816326530612315</v>
      </c>
      <c r="H59" s="3">
        <f>L54+L53*B59</f>
        <v>72.504729849076597</v>
      </c>
      <c r="I59" s="3">
        <f>C59-H59^2</f>
        <v>-5184.935850487579</v>
      </c>
    </row>
    <row r="60" spans="1:12" x14ac:dyDescent="0.25">
      <c r="A60" s="3">
        <v>7</v>
      </c>
      <c r="B60" s="3">
        <v>212</v>
      </c>
      <c r="C60" s="3">
        <v>75</v>
      </c>
      <c r="D60" s="3">
        <f>B60-B63</f>
        <v>35.285714285714278</v>
      </c>
      <c r="E60" s="3">
        <f>C60-C63</f>
        <v>6.8571428571428612</v>
      </c>
      <c r="F60" s="3">
        <f>D60^2</f>
        <v>1245.0816326530608</v>
      </c>
      <c r="G60" s="3">
        <f>D60*E60</f>
        <v>241.95918367346948</v>
      </c>
      <c r="H60" s="3">
        <f>L54+L53*B60</f>
        <v>74.75256609031851</v>
      </c>
      <c r="I60" s="3">
        <f>C60-H60^2</f>
        <v>-5512.9461370874369</v>
      </c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12" x14ac:dyDescent="0.25">
      <c r="A62" s="2" t="s">
        <v>249</v>
      </c>
      <c r="B62" s="2">
        <f>SUM(B54:B61)</f>
        <v>1237</v>
      </c>
      <c r="C62" s="2">
        <f>SUM(C54:C61)</f>
        <v>477</v>
      </c>
      <c r="D62" s="3"/>
      <c r="E62" s="3"/>
      <c r="F62" s="2">
        <f>SUM(F54:F61)</f>
        <v>4159.4285714285725</v>
      </c>
      <c r="G62" s="2">
        <f>SUM(G54:G61)</f>
        <v>779.14285714285711</v>
      </c>
      <c r="H62" s="3"/>
      <c r="I62" s="2">
        <f>SUM(I54:I61)</f>
        <v>-30459.154210646837</v>
      </c>
    </row>
    <row r="63" spans="1:12" x14ac:dyDescent="0.25">
      <c r="A63" s="2" t="s">
        <v>15</v>
      </c>
      <c r="B63" s="2">
        <f>1237/7</f>
        <v>176.71428571428572</v>
      </c>
      <c r="C63" s="2">
        <f>477/7</f>
        <v>68.142857142857139</v>
      </c>
      <c r="D63" s="3"/>
      <c r="E63" s="3"/>
      <c r="F63" s="3"/>
      <c r="G63" s="3"/>
      <c r="H63" s="3"/>
      <c r="I63" s="3"/>
    </row>
    <row r="67" spans="1:12" x14ac:dyDescent="0.25">
      <c r="A67" s="14" t="s">
        <v>24</v>
      </c>
    </row>
    <row r="69" spans="1:12" x14ac:dyDescent="0.25">
      <c r="A69" s="2" t="s">
        <v>263</v>
      </c>
      <c r="B69" s="2" t="s">
        <v>119</v>
      </c>
      <c r="C69" s="2" t="s">
        <v>248</v>
      </c>
      <c r="D69" s="2" t="s">
        <v>250</v>
      </c>
      <c r="E69" s="2" t="s">
        <v>252</v>
      </c>
      <c r="F69" s="2" t="s">
        <v>253</v>
      </c>
      <c r="G69" s="7" t="s">
        <v>254</v>
      </c>
      <c r="H69" s="2" t="s">
        <v>255</v>
      </c>
      <c r="I69" s="2" t="s">
        <v>258</v>
      </c>
      <c r="J69" s="3"/>
      <c r="K69" s="3" t="s">
        <v>257</v>
      </c>
      <c r="L69" s="3">
        <f>G76/F76</f>
        <v>5.9235030440223978E-3</v>
      </c>
    </row>
    <row r="70" spans="1:12" x14ac:dyDescent="0.25">
      <c r="A70" s="3">
        <v>1</v>
      </c>
      <c r="B70" s="3">
        <v>90</v>
      </c>
      <c r="C70" s="3">
        <v>1000</v>
      </c>
      <c r="D70" s="3">
        <f>B70-B77</f>
        <v>-28</v>
      </c>
      <c r="E70" s="3">
        <f>C70-C78</f>
        <v>1000</v>
      </c>
      <c r="F70" s="3">
        <f>D70^2</f>
        <v>784</v>
      </c>
      <c r="G70" s="3">
        <f>D70*E70</f>
        <v>-28000</v>
      </c>
      <c r="H70" s="3">
        <f>L70+L69*B70</f>
        <v>1335.8341419147673</v>
      </c>
      <c r="I70" s="3">
        <f>(C70-H70)^2</f>
        <v>112784.57087562807</v>
      </c>
      <c r="J70" s="3"/>
      <c r="K70" s="3" t="s">
        <v>256</v>
      </c>
      <c r="L70" s="3">
        <f>C77-(L69*B77)</f>
        <v>1335.3010266408053</v>
      </c>
    </row>
    <row r="71" spans="1:12" x14ac:dyDescent="0.25">
      <c r="A71" s="3">
        <v>2</v>
      </c>
      <c r="B71" s="3">
        <v>120</v>
      </c>
      <c r="C71" s="3">
        <v>1300</v>
      </c>
      <c r="D71" s="3">
        <f>B71-B77</f>
        <v>2</v>
      </c>
      <c r="E71" s="3">
        <f>C71-C77</f>
        <v>-36</v>
      </c>
      <c r="F71" s="3">
        <f>D71^2</f>
        <v>4</v>
      </c>
      <c r="G71" s="3">
        <f>D71*E71</f>
        <v>-72</v>
      </c>
      <c r="H71" s="3">
        <f>L70+L69*B71</f>
        <v>1336.0118470060879</v>
      </c>
      <c r="I71" s="15">
        <f>(C71-H71)^2</f>
        <v>1296.8531247898834</v>
      </c>
    </row>
    <row r="72" spans="1:12" x14ac:dyDescent="0.25">
      <c r="A72" s="3">
        <v>3</v>
      </c>
      <c r="B72" s="3">
        <v>150</v>
      </c>
      <c r="C72" s="3">
        <v>1800</v>
      </c>
      <c r="D72" s="3">
        <f>B72-B77</f>
        <v>32</v>
      </c>
      <c r="E72" s="3">
        <f>C72-C77</f>
        <v>464</v>
      </c>
      <c r="F72" s="3">
        <f>D72^2</f>
        <v>1024</v>
      </c>
      <c r="G72" s="3">
        <f>D72*E73</f>
        <v>-4352</v>
      </c>
      <c r="H72" s="3">
        <f>L70+L69*B72</f>
        <v>1336.1895520974085</v>
      </c>
      <c r="I72" s="3">
        <f>(C72-H72)^2</f>
        <v>215120.13158360252</v>
      </c>
    </row>
    <row r="73" spans="1:12" x14ac:dyDescent="0.25">
      <c r="A73" s="3">
        <v>4</v>
      </c>
      <c r="B73" s="3">
        <v>100</v>
      </c>
      <c r="C73" s="3">
        <v>1200</v>
      </c>
      <c r="D73" s="3">
        <f>B73-B78</f>
        <v>100</v>
      </c>
      <c r="E73" s="3">
        <f>C73-C77</f>
        <v>-136</v>
      </c>
      <c r="F73" s="3">
        <f>D73^2</f>
        <v>10000</v>
      </c>
      <c r="G73" s="3">
        <f>D73*E73</f>
        <v>-13600</v>
      </c>
      <c r="H73" s="3">
        <f>L70+L69*B73</f>
        <v>1335.8933769452076</v>
      </c>
      <c r="I73" s="3">
        <f>(C73-H73)^2</f>
        <v>18467.009897572279</v>
      </c>
    </row>
    <row r="74" spans="1:12" x14ac:dyDescent="0.25">
      <c r="A74" s="3">
        <v>5</v>
      </c>
      <c r="B74" s="3">
        <v>130</v>
      </c>
      <c r="C74" s="3">
        <v>1380</v>
      </c>
      <c r="D74" s="3">
        <f>C74-B77</f>
        <v>1262</v>
      </c>
      <c r="E74" s="3">
        <f>C74-C77</f>
        <v>44</v>
      </c>
      <c r="F74" s="3">
        <f>D74^2</f>
        <v>1592644</v>
      </c>
      <c r="G74" s="3">
        <f>D74*E74</f>
        <v>55528</v>
      </c>
      <c r="H74" s="3">
        <f>L70+L69*B74</f>
        <v>1336.0710820365282</v>
      </c>
      <c r="I74" s="3">
        <f>(C74-H74)^2</f>
        <v>1929.7498334414358</v>
      </c>
    </row>
    <row r="75" spans="1:12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12" x14ac:dyDescent="0.25">
      <c r="A76" s="2" t="s">
        <v>249</v>
      </c>
      <c r="B76" s="3">
        <f>SUM(B70:B75)</f>
        <v>590</v>
      </c>
      <c r="C76" s="3">
        <f>SUM(C70:C75)</f>
        <v>6680</v>
      </c>
      <c r="D76" s="3"/>
      <c r="E76" s="3"/>
      <c r="F76" s="2">
        <f>SUM(F70:F75)</f>
        <v>1604456</v>
      </c>
      <c r="G76" s="2">
        <f>SUM(G70:G75)</f>
        <v>9504</v>
      </c>
      <c r="H76" s="3"/>
      <c r="I76" s="2">
        <f>SUM(I70:I75)</f>
        <v>349598.31531503418</v>
      </c>
    </row>
    <row r="77" spans="1:12" x14ac:dyDescent="0.25">
      <c r="A77" s="2" t="s">
        <v>15</v>
      </c>
      <c r="B77" s="3">
        <f>590/5</f>
        <v>118</v>
      </c>
      <c r="C77" s="3">
        <f>6680/5</f>
        <v>1336</v>
      </c>
      <c r="D77" s="3"/>
      <c r="E77" s="3"/>
      <c r="F77" s="3"/>
      <c r="G77" s="3"/>
      <c r="H77" s="3"/>
      <c r="I77" s="3"/>
    </row>
    <row r="78" spans="1:12" x14ac:dyDescent="0.25">
      <c r="B78" s="3"/>
      <c r="C78" s="3"/>
    </row>
    <row r="79" spans="1:12" x14ac:dyDescent="0.25">
      <c r="B79" s="3"/>
      <c r="C79" s="3"/>
    </row>
    <row r="80" spans="1:12" x14ac:dyDescent="0.25">
      <c r="B80" s="3" t="s">
        <v>119</v>
      </c>
      <c r="C80" s="3" t="s">
        <v>264</v>
      </c>
    </row>
    <row r="81" spans="1:12" x14ac:dyDescent="0.25">
      <c r="B81" s="3">
        <v>200</v>
      </c>
      <c r="C81" s="3">
        <f>L70+L69*B81</f>
        <v>1336.4857272496097</v>
      </c>
    </row>
    <row r="84" spans="1:12" x14ac:dyDescent="0.25">
      <c r="A84" s="14" t="s">
        <v>26</v>
      </c>
    </row>
    <row r="86" spans="1:12" x14ac:dyDescent="0.25">
      <c r="A86" s="2" t="s">
        <v>265</v>
      </c>
      <c r="B86" s="2" t="s">
        <v>119</v>
      </c>
      <c r="C86" s="2" t="s">
        <v>248</v>
      </c>
      <c r="D86" s="2" t="s">
        <v>250</v>
      </c>
      <c r="E86" s="2" t="s">
        <v>252</v>
      </c>
      <c r="F86" s="2" t="s">
        <v>253</v>
      </c>
      <c r="G86" s="7" t="s">
        <v>254</v>
      </c>
      <c r="H86" s="2" t="s">
        <v>255</v>
      </c>
      <c r="I86" s="2" t="s">
        <v>258</v>
      </c>
      <c r="J86" s="3"/>
      <c r="K86" s="3" t="s">
        <v>257</v>
      </c>
      <c r="L86" s="3">
        <f>G95/F95</f>
        <v>-1.5298552472858866</v>
      </c>
    </row>
    <row r="87" spans="1:12" x14ac:dyDescent="0.25">
      <c r="A87" s="3">
        <v>1</v>
      </c>
      <c r="B87" s="3">
        <v>130</v>
      </c>
      <c r="C87" s="3">
        <v>10</v>
      </c>
      <c r="D87" s="3">
        <f>B87-B96</f>
        <v>13.571428571428569</v>
      </c>
      <c r="E87" s="3">
        <f>C87-C96</f>
        <v>-22.571428571428569</v>
      </c>
      <c r="F87" s="3">
        <f t="shared" ref="F87:F93" si="7">D87^2</f>
        <v>184.18367346938771</v>
      </c>
      <c r="G87" s="3">
        <f t="shared" ref="G87:G93" si="8">D87*E87</f>
        <v>-306.32653061224482</v>
      </c>
      <c r="H87" s="3">
        <f>L87+L86*B87</f>
        <v>11.809107358262963</v>
      </c>
      <c r="I87" s="3">
        <f>(C88-H87)</f>
        <v>8.1908926417370367</v>
      </c>
      <c r="J87" s="3"/>
      <c r="K87" s="3" t="s">
        <v>256</v>
      </c>
      <c r="L87" s="3">
        <f>C96-(L86*B96)</f>
        <v>210.69028950542821</v>
      </c>
    </row>
    <row r="88" spans="1:12" x14ac:dyDescent="0.25">
      <c r="A88" s="3">
        <v>2</v>
      </c>
      <c r="B88" s="3">
        <v>125</v>
      </c>
      <c r="C88" s="3">
        <v>20</v>
      </c>
      <c r="D88" s="3">
        <f>B88-B96</f>
        <v>8.5714285714285694</v>
      </c>
      <c r="E88" s="3">
        <f>C88-C96</f>
        <v>-12.571428571428569</v>
      </c>
      <c r="F88" s="3">
        <f t="shared" si="7"/>
        <v>73.469387755102005</v>
      </c>
      <c r="G88" s="3">
        <f t="shared" si="8"/>
        <v>-107.75510204081628</v>
      </c>
      <c r="H88" s="3">
        <f>L87+L86*B88</f>
        <v>19.458383594692378</v>
      </c>
      <c r="I88" s="3">
        <f t="shared" ref="I88:I93" si="9">(C88-H88)^2</f>
        <v>0.2933483304983498</v>
      </c>
    </row>
    <row r="89" spans="1:12" x14ac:dyDescent="0.25">
      <c r="A89" s="3">
        <v>3</v>
      </c>
      <c r="B89" s="3">
        <v>120</v>
      </c>
      <c r="C89" s="3">
        <v>30</v>
      </c>
      <c r="D89" s="3">
        <f>B89-B96</f>
        <v>3.5714285714285694</v>
      </c>
      <c r="E89" s="3">
        <f>C89-C96</f>
        <v>-2.5714285714285694</v>
      </c>
      <c r="F89" s="3">
        <f t="shared" si="7"/>
        <v>12.755102040816311</v>
      </c>
      <c r="G89" s="3">
        <f t="shared" si="8"/>
        <v>-9.1836734693877418</v>
      </c>
      <c r="H89" s="3">
        <f>L87+L86*B89</f>
        <v>27.107659831121822</v>
      </c>
      <c r="I89" s="3">
        <f t="shared" si="9"/>
        <v>8.3656316525062469</v>
      </c>
    </row>
    <row r="90" spans="1:12" x14ac:dyDescent="0.25">
      <c r="A90" s="3">
        <v>4</v>
      </c>
      <c r="B90" s="3">
        <v>115</v>
      </c>
      <c r="C90" s="3">
        <v>35</v>
      </c>
      <c r="D90" s="3">
        <f>B90-B96</f>
        <v>-1.4285714285714306</v>
      </c>
      <c r="E90" s="3">
        <f>C90-C96</f>
        <v>2.4285714285714306</v>
      </c>
      <c r="F90" s="3">
        <f t="shared" si="7"/>
        <v>2.0408163265306181</v>
      </c>
      <c r="G90" s="3">
        <f t="shared" si="8"/>
        <v>-3.4693877551020487</v>
      </c>
      <c r="H90" s="3">
        <f>L87+L86*C90</f>
        <v>157.14535585042216</v>
      </c>
      <c r="I90" s="3">
        <f t="shared" si="9"/>
        <v>14919.48795582626</v>
      </c>
    </row>
    <row r="91" spans="1:12" x14ac:dyDescent="0.25">
      <c r="A91" s="3">
        <v>5</v>
      </c>
      <c r="B91" s="3">
        <v>110</v>
      </c>
      <c r="C91" s="3">
        <v>40</v>
      </c>
      <c r="D91" s="3">
        <f>B91-B96</f>
        <v>-6.4285714285714306</v>
      </c>
      <c r="E91" s="3">
        <f>C91-C96</f>
        <v>7.4285714285714306</v>
      </c>
      <c r="F91" s="3">
        <f t="shared" si="7"/>
        <v>41.326530612244923</v>
      </c>
      <c r="G91" s="3">
        <f t="shared" si="8"/>
        <v>-47.755102040816354</v>
      </c>
      <c r="H91" s="3">
        <f>L87+L86*B91</f>
        <v>42.406212303980681</v>
      </c>
      <c r="I91" s="3">
        <f t="shared" si="9"/>
        <v>5.7898576518280152</v>
      </c>
    </row>
    <row r="92" spans="1:12" x14ac:dyDescent="0.25">
      <c r="A92" s="3">
        <v>6</v>
      </c>
      <c r="B92" s="3">
        <v>108</v>
      </c>
      <c r="C92" s="3">
        <v>45</v>
      </c>
      <c r="D92" s="3">
        <f>B92-B96</f>
        <v>-8.4285714285714306</v>
      </c>
      <c r="E92" s="3">
        <f>C92-C96</f>
        <v>12.428571428571431</v>
      </c>
      <c r="F92" s="3">
        <f t="shared" si="7"/>
        <v>71.040816326530646</v>
      </c>
      <c r="G92" s="3">
        <f t="shared" si="8"/>
        <v>-104.75510204081637</v>
      </c>
      <c r="H92" s="3">
        <f>L87+L86*B92</f>
        <v>45.465922798552469</v>
      </c>
      <c r="I92" s="3">
        <f t="shared" si="9"/>
        <v>0.21708405421096502</v>
      </c>
    </row>
    <row r="93" spans="1:12" x14ac:dyDescent="0.25">
      <c r="A93" s="3">
        <v>7</v>
      </c>
      <c r="B93" s="3">
        <v>107</v>
      </c>
      <c r="C93" s="3">
        <v>48</v>
      </c>
      <c r="D93" s="3">
        <f>B93-B96</f>
        <v>-9.4285714285714306</v>
      </c>
      <c r="E93" s="3">
        <f>C93-C96</f>
        <v>15.428571428571431</v>
      </c>
      <c r="F93" s="3">
        <f t="shared" si="7"/>
        <v>88.897959183673507</v>
      </c>
      <c r="G93" s="3">
        <f t="shared" si="8"/>
        <v>-145.4693877551021</v>
      </c>
      <c r="H93" s="3">
        <f>L87+L86*B93</f>
        <v>46.995778045838335</v>
      </c>
      <c r="I93" s="3">
        <f t="shared" si="9"/>
        <v>1.0084617332202723</v>
      </c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12" x14ac:dyDescent="0.25">
      <c r="A95" s="2" t="s">
        <v>249</v>
      </c>
      <c r="B95" s="2">
        <f>SUM(B87:B94)</f>
        <v>815</v>
      </c>
      <c r="C95" s="3">
        <f>SUM(C87:C94)</f>
        <v>228</v>
      </c>
      <c r="D95" s="3"/>
      <c r="E95" s="3"/>
      <c r="F95" s="2">
        <f>SUM(F87:F94)</f>
        <v>473.71428571428572</v>
      </c>
      <c r="G95" s="2">
        <f>SUM(G87:G94)</f>
        <v>-724.71428571428578</v>
      </c>
      <c r="H95" s="3"/>
      <c r="I95" s="2">
        <f>SUM(I87:I94)</f>
        <v>14943.35323189026</v>
      </c>
    </row>
    <row r="96" spans="1:12" x14ac:dyDescent="0.25">
      <c r="A96" s="2" t="s">
        <v>15</v>
      </c>
      <c r="B96" s="2">
        <f>815/7</f>
        <v>116.42857142857143</v>
      </c>
      <c r="C96" s="3">
        <f>228/7</f>
        <v>32.571428571428569</v>
      </c>
      <c r="D96" s="3"/>
      <c r="E96" s="3"/>
      <c r="F96" s="3"/>
      <c r="G96" s="3"/>
      <c r="H96" s="3"/>
      <c r="I96" s="3"/>
    </row>
    <row r="99" spans="1:12" x14ac:dyDescent="0.25">
      <c r="A99" s="14" t="s">
        <v>33</v>
      </c>
    </row>
    <row r="101" spans="1:12" x14ac:dyDescent="0.25">
      <c r="A101" s="2" t="s">
        <v>265</v>
      </c>
      <c r="B101" s="2" t="s">
        <v>119</v>
      </c>
      <c r="C101" s="2" t="s">
        <v>248</v>
      </c>
      <c r="D101" s="2" t="s">
        <v>250</v>
      </c>
      <c r="E101" s="2" t="s">
        <v>252</v>
      </c>
      <c r="F101" s="2" t="s">
        <v>253</v>
      </c>
      <c r="G101" s="7" t="s">
        <v>254</v>
      </c>
      <c r="H101" s="2" t="s">
        <v>255</v>
      </c>
      <c r="I101" s="2" t="s">
        <v>258</v>
      </c>
      <c r="J101" s="3"/>
      <c r="K101" s="3" t="s">
        <v>257</v>
      </c>
      <c r="L101" s="3">
        <f>G108/F108</f>
        <v>-4.7699214365881037E-2</v>
      </c>
    </row>
    <row r="102" spans="1:12" x14ac:dyDescent="0.25">
      <c r="A102" s="3">
        <v>1</v>
      </c>
      <c r="B102" s="3">
        <v>8</v>
      </c>
      <c r="C102" s="3">
        <v>5</v>
      </c>
      <c r="D102" s="3">
        <f>B102-B109</f>
        <v>-35.200000000000003</v>
      </c>
      <c r="E102" s="3">
        <f>C102-C109</f>
        <v>2</v>
      </c>
      <c r="F102" s="3">
        <f>D102^2</f>
        <v>1239.0400000000002</v>
      </c>
      <c r="G102" s="3">
        <f>D102*E102</f>
        <v>-70.400000000000006</v>
      </c>
      <c r="H102" s="3">
        <f>L102+L101*B102</f>
        <v>4.6790123456790127</v>
      </c>
      <c r="I102" s="3">
        <f>C102-H102^2</f>
        <v>-16.893156531016615</v>
      </c>
      <c r="J102" s="3"/>
      <c r="K102" s="3" t="s">
        <v>256</v>
      </c>
      <c r="L102" s="3">
        <f>C109-(L101*B109)</f>
        <v>5.0606060606060606</v>
      </c>
    </row>
    <row r="103" spans="1:12" x14ac:dyDescent="0.25">
      <c r="A103" s="3">
        <v>2</v>
      </c>
      <c r="B103" s="3">
        <v>20</v>
      </c>
      <c r="C103" s="3">
        <v>4</v>
      </c>
      <c r="D103" s="3">
        <f>B103-B109</f>
        <v>-23.200000000000003</v>
      </c>
      <c r="E103" s="3">
        <f>C103-C109</f>
        <v>1</v>
      </c>
      <c r="F103" s="3">
        <f>D103^2</f>
        <v>538.24000000000012</v>
      </c>
      <c r="G103" s="3">
        <f>D103*E103</f>
        <v>-23.200000000000003</v>
      </c>
      <c r="H103" s="3">
        <f>L102+L101*B103</f>
        <v>4.10662177328844</v>
      </c>
      <c r="I103" s="3">
        <f>C103-H103^2</f>
        <v>-12.864342388846691</v>
      </c>
    </row>
    <row r="104" spans="1:12" x14ac:dyDescent="0.25">
      <c r="A104" s="3">
        <v>3</v>
      </c>
      <c r="B104" s="3">
        <v>38</v>
      </c>
      <c r="C104" s="3">
        <v>3</v>
      </c>
      <c r="D104" s="3">
        <f>B104-B109</f>
        <v>-5.2000000000000028</v>
      </c>
      <c r="E104" s="3">
        <f>C104-C109</f>
        <v>0</v>
      </c>
      <c r="F104" s="3">
        <f>D104^2</f>
        <v>27.040000000000031</v>
      </c>
      <c r="G104" s="3">
        <f>D104*E104</f>
        <v>0</v>
      </c>
      <c r="H104" s="3">
        <f>L102+L101*B104</f>
        <v>3.248035914702581</v>
      </c>
      <c r="I104" s="3">
        <f>C104-H104^2</f>
        <v>-7.5497373031978317</v>
      </c>
    </row>
    <row r="105" spans="1:12" x14ac:dyDescent="0.25">
      <c r="A105" s="3">
        <v>4</v>
      </c>
      <c r="B105" s="3">
        <v>60</v>
      </c>
      <c r="C105" s="3">
        <v>2</v>
      </c>
      <c r="D105" s="3">
        <f>B105-B109</f>
        <v>16.799999999999997</v>
      </c>
      <c r="E105" s="3">
        <f>C105-C109</f>
        <v>-1</v>
      </c>
      <c r="F105" s="3">
        <f>D105^2</f>
        <v>282.2399999999999</v>
      </c>
      <c r="G105" s="3">
        <f>D105*E105</f>
        <v>-16.799999999999997</v>
      </c>
      <c r="H105" s="3">
        <f>L102+L101*B105</f>
        <v>2.1986531986531981</v>
      </c>
      <c r="I105" s="3">
        <f>C105-H105^2</f>
        <v>-2.8340758879479395</v>
      </c>
    </row>
    <row r="106" spans="1:12" x14ac:dyDescent="0.25">
      <c r="A106" s="3">
        <v>5</v>
      </c>
      <c r="B106" s="3">
        <v>90</v>
      </c>
      <c r="C106" s="3">
        <v>1</v>
      </c>
      <c r="D106" s="3">
        <f>B106-B109</f>
        <v>46.8</v>
      </c>
      <c r="E106" s="3">
        <f>C106-C109</f>
        <v>-2</v>
      </c>
      <c r="F106" s="3">
        <f>D106^2</f>
        <v>2190.2399999999998</v>
      </c>
      <c r="G106" s="3">
        <f>D106*E106</f>
        <v>-93.6</v>
      </c>
      <c r="H106" s="3">
        <f>L102+L101*B106</f>
        <v>0.76767676767676729</v>
      </c>
      <c r="I106" s="3">
        <f>C106-H106^2</f>
        <v>0.41067238036935061</v>
      </c>
    </row>
    <row r="107" spans="1:12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12" x14ac:dyDescent="0.25">
      <c r="A108" s="2" t="s">
        <v>249</v>
      </c>
      <c r="B108" s="2">
        <f>SUM(B102:B107)</f>
        <v>216</v>
      </c>
      <c r="C108" s="2">
        <f>SUM(C102:C107)</f>
        <v>15</v>
      </c>
      <c r="D108" s="3"/>
      <c r="E108" s="3"/>
      <c r="F108" s="2">
        <f>SUM(F102:F107)</f>
        <v>4276.7999999999993</v>
      </c>
      <c r="G108" s="2">
        <f>SUM(G102:G107)</f>
        <v>-204</v>
      </c>
      <c r="H108" s="3"/>
      <c r="I108" s="2">
        <f>SUM(I102:I107)</f>
        <v>-39.73063973063973</v>
      </c>
    </row>
    <row r="109" spans="1:12" x14ac:dyDescent="0.25">
      <c r="A109" s="2" t="s">
        <v>15</v>
      </c>
      <c r="B109" s="2">
        <f>B108/5</f>
        <v>43.2</v>
      </c>
      <c r="C109" s="2">
        <f>C108/5</f>
        <v>3</v>
      </c>
      <c r="D109" s="3"/>
      <c r="E109" s="3"/>
      <c r="F109" s="3"/>
      <c r="G109" s="3"/>
      <c r="H109" s="3"/>
      <c r="I109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C7B0-70F7-42E9-BE91-95726A043F3D}">
  <dimension ref="A3:J256"/>
  <sheetViews>
    <sheetView tabSelected="1" topLeftCell="A148" zoomScale="96" zoomScaleNormal="96" workbookViewId="0">
      <selection activeCell="M236" sqref="M236"/>
    </sheetView>
  </sheetViews>
  <sheetFormatPr defaultRowHeight="15" x14ac:dyDescent="0.25"/>
  <sheetData>
    <row r="3" spans="1:10" x14ac:dyDescent="0.25">
      <c r="A3" s="2" t="s">
        <v>282</v>
      </c>
      <c r="B3" s="2" t="s">
        <v>283</v>
      </c>
      <c r="C3" s="2" t="s">
        <v>284</v>
      </c>
      <c r="D3" s="2" t="s">
        <v>285</v>
      </c>
      <c r="E3" s="2" t="s">
        <v>286</v>
      </c>
      <c r="F3" s="2" t="s">
        <v>287</v>
      </c>
      <c r="G3" s="3"/>
      <c r="H3" s="4" t="s">
        <v>288</v>
      </c>
      <c r="I3" s="4"/>
      <c r="J3" s="4"/>
    </row>
    <row r="4" spans="1:10" x14ac:dyDescent="0.25">
      <c r="A4" s="3">
        <v>1</v>
      </c>
      <c r="B4" s="3">
        <v>100</v>
      </c>
      <c r="C4" s="3">
        <v>111</v>
      </c>
      <c r="D4" s="3">
        <f>111-100</f>
        <v>11</v>
      </c>
      <c r="E4" s="3">
        <f>11*11</f>
        <v>121</v>
      </c>
      <c r="F4" s="3">
        <f t="shared" ref="F4:F9" si="0">E4/B4</f>
        <v>1.21</v>
      </c>
      <c r="G4" s="3"/>
      <c r="H4" s="4"/>
      <c r="I4" s="4"/>
      <c r="J4" s="4"/>
    </row>
    <row r="5" spans="1:10" x14ac:dyDescent="0.25">
      <c r="A5" s="3">
        <v>2</v>
      </c>
      <c r="B5" s="3">
        <v>100</v>
      </c>
      <c r="C5" s="3">
        <v>90</v>
      </c>
      <c r="D5" s="3">
        <f>90-100</f>
        <v>-10</v>
      </c>
      <c r="E5" s="3">
        <f>D5*D5</f>
        <v>100</v>
      </c>
      <c r="F5" s="3">
        <f t="shared" si="0"/>
        <v>1</v>
      </c>
      <c r="G5" s="3"/>
      <c r="H5" s="4" t="s">
        <v>289</v>
      </c>
      <c r="I5" s="4"/>
      <c r="J5" s="4"/>
    </row>
    <row r="6" spans="1:10" x14ac:dyDescent="0.25">
      <c r="A6" s="3">
        <v>3</v>
      </c>
      <c r="B6" s="3">
        <v>100</v>
      </c>
      <c r="C6" s="3">
        <v>81</v>
      </c>
      <c r="D6" s="3">
        <f>C6-B6</f>
        <v>-19</v>
      </c>
      <c r="E6" s="3">
        <f>D6*D6</f>
        <v>361</v>
      </c>
      <c r="F6" s="3">
        <f t="shared" si="0"/>
        <v>3.61</v>
      </c>
      <c r="G6" s="3"/>
      <c r="H6" s="4" t="s">
        <v>290</v>
      </c>
      <c r="I6" s="4"/>
      <c r="J6" s="4"/>
    </row>
    <row r="7" spans="1:10" x14ac:dyDescent="0.25">
      <c r="A7" s="3">
        <v>4</v>
      </c>
      <c r="B7" s="3">
        <v>100</v>
      </c>
      <c r="C7" s="3">
        <v>102</v>
      </c>
      <c r="D7" s="3">
        <v>2</v>
      </c>
      <c r="E7" s="3">
        <f>D7*D7</f>
        <v>4</v>
      </c>
      <c r="F7" s="3">
        <f t="shared" si="0"/>
        <v>0.04</v>
      </c>
      <c r="G7" s="3"/>
      <c r="H7" s="4" t="s">
        <v>291</v>
      </c>
      <c r="I7" s="4"/>
      <c r="J7" s="4"/>
    </row>
    <row r="8" spans="1:10" x14ac:dyDescent="0.25">
      <c r="A8" s="3">
        <v>5</v>
      </c>
      <c r="B8" s="3">
        <v>100</v>
      </c>
      <c r="C8" s="3">
        <v>124</v>
      </c>
      <c r="D8" s="3">
        <f>C8-B8</f>
        <v>24</v>
      </c>
      <c r="E8" s="3">
        <f>D8*D8</f>
        <v>576</v>
      </c>
      <c r="F8" s="3">
        <f t="shared" si="0"/>
        <v>5.76</v>
      </c>
      <c r="G8" s="3"/>
      <c r="H8" s="4"/>
      <c r="I8" s="4"/>
      <c r="J8" s="4"/>
    </row>
    <row r="9" spans="1:10" x14ac:dyDescent="0.25">
      <c r="A9" s="3">
        <v>6</v>
      </c>
      <c r="B9" s="3">
        <v>100</v>
      </c>
      <c r="C9" s="3">
        <v>92</v>
      </c>
      <c r="D9" s="3">
        <f>C9-B9</f>
        <v>-8</v>
      </c>
      <c r="E9" s="3">
        <f>D9*D9</f>
        <v>64</v>
      </c>
      <c r="F9" s="3">
        <f t="shared" si="0"/>
        <v>0.64</v>
      </c>
      <c r="G9" s="3"/>
      <c r="H9" s="4"/>
      <c r="I9" s="4">
        <f>CHIINV(0.05,5)</f>
        <v>11.070497693516353</v>
      </c>
      <c r="J9" s="4"/>
    </row>
    <row r="10" spans="1:10" x14ac:dyDescent="0.25">
      <c r="A10" s="3"/>
      <c r="B10" s="3"/>
      <c r="C10" s="3"/>
      <c r="D10" s="3"/>
      <c r="E10" s="3"/>
      <c r="F10" s="3"/>
    </row>
    <row r="11" spans="1:10" x14ac:dyDescent="0.25">
      <c r="A11" s="2" t="s">
        <v>123</v>
      </c>
      <c r="B11" s="2">
        <f>SUM(B4:B10)</f>
        <v>600</v>
      </c>
      <c r="C11" s="2">
        <f>SUM(C4:C10)</f>
        <v>600</v>
      </c>
      <c r="D11" s="2"/>
      <c r="E11" s="2" t="s">
        <v>128</v>
      </c>
      <c r="F11" s="2">
        <f>SUM(F4:F10)</f>
        <v>12.260000000000002</v>
      </c>
    </row>
    <row r="15" spans="1:10" x14ac:dyDescent="0.25">
      <c r="A15" s="36" t="s">
        <v>292</v>
      </c>
      <c r="B15" s="36"/>
    </row>
    <row r="17" spans="1:9" x14ac:dyDescent="0.25">
      <c r="A17" s="2" t="s">
        <v>293</v>
      </c>
      <c r="B17" s="2" t="s">
        <v>294</v>
      </c>
      <c r="C17" s="2" t="s">
        <v>286</v>
      </c>
      <c r="D17" s="2" t="s">
        <v>287</v>
      </c>
      <c r="E17" s="3"/>
      <c r="F17" s="2" t="s">
        <v>295</v>
      </c>
      <c r="G17" s="2">
        <f>4-1</f>
        <v>3</v>
      </c>
      <c r="H17" s="2"/>
    </row>
    <row r="18" spans="1:9" x14ac:dyDescent="0.25">
      <c r="A18" s="3">
        <v>46</v>
      </c>
      <c r="B18" s="3">
        <f>2/10*200</f>
        <v>40</v>
      </c>
      <c r="C18" s="3">
        <f>6*6</f>
        <v>36</v>
      </c>
      <c r="D18" s="3">
        <f>36/40</f>
        <v>0.9</v>
      </c>
      <c r="E18" s="3"/>
      <c r="F18" s="2" t="s">
        <v>296</v>
      </c>
      <c r="G18" s="2"/>
      <c r="H18" s="2"/>
    </row>
    <row r="19" spans="1:9" x14ac:dyDescent="0.25">
      <c r="A19" s="3">
        <v>68</v>
      </c>
      <c r="B19" s="3">
        <f>3/10*200</f>
        <v>60</v>
      </c>
      <c r="C19" s="3">
        <f>8*8</f>
        <v>64</v>
      </c>
      <c r="D19" s="3">
        <f>64/60</f>
        <v>1.0666666666666667</v>
      </c>
      <c r="E19" s="3"/>
      <c r="F19" s="2" t="s">
        <v>297</v>
      </c>
      <c r="G19" s="2"/>
      <c r="H19" s="2">
        <f>CHIINV(0.05,3)</f>
        <v>7.8147279032511792</v>
      </c>
    </row>
    <row r="20" spans="1:9" x14ac:dyDescent="0.25">
      <c r="A20" s="3">
        <v>62</v>
      </c>
      <c r="B20" s="3">
        <f>3/10*200</f>
        <v>60</v>
      </c>
      <c r="C20" s="3">
        <f>2*2</f>
        <v>4</v>
      </c>
      <c r="D20" s="3">
        <f>4/60</f>
        <v>6.6666666666666666E-2</v>
      </c>
      <c r="E20" s="3"/>
      <c r="F20" s="3"/>
      <c r="G20" s="3"/>
      <c r="H20" s="3"/>
    </row>
    <row r="21" spans="1:9" x14ac:dyDescent="0.25">
      <c r="A21" s="3">
        <v>24</v>
      </c>
      <c r="B21" s="3">
        <f>2/10*200</f>
        <v>40</v>
      </c>
      <c r="C21" s="3">
        <f>-16*-16</f>
        <v>256</v>
      </c>
      <c r="D21" s="3">
        <f>256/40</f>
        <v>6.4</v>
      </c>
      <c r="E21" s="3"/>
      <c r="F21" s="3"/>
      <c r="G21" s="3"/>
      <c r="H21" s="3"/>
    </row>
    <row r="22" spans="1:9" x14ac:dyDescent="0.25">
      <c r="A22" s="3"/>
      <c r="B22" s="3"/>
      <c r="C22" s="3"/>
      <c r="D22" s="2">
        <f>SUM(D18:D21)</f>
        <v>8.4333333333333336</v>
      </c>
      <c r="E22" s="3"/>
      <c r="F22" s="3"/>
      <c r="G22" s="3"/>
      <c r="H22" s="3"/>
    </row>
    <row r="25" spans="1:9" x14ac:dyDescent="0.25">
      <c r="A25" s="32" t="s">
        <v>298</v>
      </c>
      <c r="B25" s="32"/>
    </row>
    <row r="27" spans="1:9" x14ac:dyDescent="0.25">
      <c r="A27" s="2" t="s">
        <v>282</v>
      </c>
      <c r="B27" s="2" t="s">
        <v>284</v>
      </c>
      <c r="C27" s="2" t="s">
        <v>283</v>
      </c>
      <c r="D27" s="2" t="s">
        <v>286</v>
      </c>
      <c r="E27" s="2" t="s">
        <v>287</v>
      </c>
      <c r="F27" s="3"/>
      <c r="G27" s="2" t="s">
        <v>295</v>
      </c>
      <c r="H27" s="2">
        <f>7-1</f>
        <v>6</v>
      </c>
      <c r="I27" s="2"/>
    </row>
    <row r="28" spans="1:9" x14ac:dyDescent="0.25">
      <c r="A28" s="3">
        <v>1</v>
      </c>
      <c r="B28" s="3">
        <v>11</v>
      </c>
      <c r="C28" s="3">
        <v>14</v>
      </c>
      <c r="D28" s="3">
        <f>3*3</f>
        <v>9</v>
      </c>
      <c r="E28" s="3">
        <f>9/14</f>
        <v>0.6428571428571429</v>
      </c>
      <c r="F28" s="3"/>
      <c r="G28" s="2" t="s">
        <v>296</v>
      </c>
      <c r="H28" s="2"/>
      <c r="I28" s="2"/>
    </row>
    <row r="29" spans="1:9" x14ac:dyDescent="0.25">
      <c r="A29" s="3">
        <v>2</v>
      </c>
      <c r="B29" s="3">
        <v>13</v>
      </c>
      <c r="C29" s="3">
        <v>14</v>
      </c>
      <c r="D29" s="3">
        <f>-1*-1</f>
        <v>1</v>
      </c>
      <c r="E29" s="3">
        <f>1/14</f>
        <v>7.1428571428571425E-2</v>
      </c>
      <c r="F29" s="3"/>
      <c r="G29" s="2" t="s">
        <v>297</v>
      </c>
      <c r="H29" s="2"/>
      <c r="I29" s="2">
        <f>CHIINV(0.05,6)</f>
        <v>12.591587243743978</v>
      </c>
    </row>
    <row r="30" spans="1:9" x14ac:dyDescent="0.25">
      <c r="A30" s="3">
        <v>3</v>
      </c>
      <c r="B30" s="3">
        <v>14</v>
      </c>
      <c r="C30" s="3">
        <v>14</v>
      </c>
      <c r="D30" s="3">
        <v>0</v>
      </c>
      <c r="E30" s="3">
        <f>0/14</f>
        <v>0</v>
      </c>
      <c r="F30" s="3"/>
    </row>
    <row r="31" spans="1:9" x14ac:dyDescent="0.25">
      <c r="A31" s="3">
        <v>4</v>
      </c>
      <c r="B31" s="3">
        <v>13</v>
      </c>
      <c r="C31" s="3">
        <v>14</v>
      </c>
      <c r="D31" s="3">
        <f>-1*-1</f>
        <v>1</v>
      </c>
      <c r="E31" s="3">
        <f>1/14</f>
        <v>7.1428571428571425E-2</v>
      </c>
      <c r="F31" s="3"/>
    </row>
    <row r="32" spans="1:9" x14ac:dyDescent="0.25">
      <c r="A32" s="3">
        <v>5</v>
      </c>
      <c r="B32" s="3">
        <v>15</v>
      </c>
      <c r="C32" s="3">
        <v>14</v>
      </c>
      <c r="D32" s="3">
        <f>1*1</f>
        <v>1</v>
      </c>
      <c r="E32" s="3">
        <f>1/14</f>
        <v>7.1428571428571425E-2</v>
      </c>
      <c r="F32" s="3"/>
    </row>
    <row r="33" spans="1:9" x14ac:dyDescent="0.25">
      <c r="A33" s="3">
        <v>6</v>
      </c>
      <c r="B33" s="3">
        <v>14</v>
      </c>
      <c r="C33" s="3">
        <v>14</v>
      </c>
      <c r="D33" s="3">
        <v>0</v>
      </c>
      <c r="E33" s="3">
        <f>0/14</f>
        <v>0</v>
      </c>
      <c r="F33" s="3"/>
    </row>
    <row r="34" spans="1:9" x14ac:dyDescent="0.25">
      <c r="A34" s="3">
        <v>7</v>
      </c>
      <c r="B34" s="3">
        <v>18</v>
      </c>
      <c r="C34" s="3">
        <v>14</v>
      </c>
      <c r="D34" s="3">
        <v>16</v>
      </c>
      <c r="E34" s="3">
        <f>16/14</f>
        <v>1.1428571428571428</v>
      </c>
      <c r="F34" s="3"/>
    </row>
    <row r="35" spans="1:9" x14ac:dyDescent="0.25">
      <c r="A35" s="2" t="s">
        <v>123</v>
      </c>
      <c r="B35" s="2">
        <f>SUM(B28:B34)</f>
        <v>98</v>
      </c>
      <c r="C35" s="3"/>
      <c r="D35" s="3"/>
      <c r="E35" s="2">
        <f>SUM(E28:E34)</f>
        <v>2</v>
      </c>
      <c r="F35" s="3"/>
    </row>
    <row r="36" spans="1:9" x14ac:dyDescent="0.25">
      <c r="A36" s="2" t="s">
        <v>299</v>
      </c>
      <c r="B36" s="2">
        <f>98/7</f>
        <v>14</v>
      </c>
      <c r="C36" s="3"/>
      <c r="D36" s="3"/>
      <c r="E36" s="3"/>
      <c r="F36" s="3"/>
    </row>
    <row r="40" spans="1:9" x14ac:dyDescent="0.25">
      <c r="A40" s="32" t="s">
        <v>300</v>
      </c>
      <c r="B40" s="32"/>
    </row>
    <row r="42" spans="1:9" x14ac:dyDescent="0.25">
      <c r="A42" s="3"/>
      <c r="B42" s="3"/>
      <c r="C42" s="34" t="s">
        <v>303</v>
      </c>
      <c r="D42" s="37" t="s">
        <v>304</v>
      </c>
      <c r="E42" s="34" t="s">
        <v>123</v>
      </c>
      <c r="F42" s="3"/>
      <c r="G42" s="3"/>
      <c r="H42" s="3"/>
      <c r="I42" s="3"/>
    </row>
    <row r="43" spans="1:9" x14ac:dyDescent="0.25">
      <c r="A43" s="34" t="s">
        <v>301</v>
      </c>
      <c r="B43" s="3"/>
      <c r="C43" s="3">
        <v>31</v>
      </c>
      <c r="D43" s="3">
        <v>469</v>
      </c>
      <c r="E43" s="2">
        <f>31+469</f>
        <v>500</v>
      </c>
      <c r="F43" s="3"/>
      <c r="G43" s="3"/>
      <c r="H43" s="3"/>
      <c r="I43" s="3"/>
    </row>
    <row r="44" spans="1:9" x14ac:dyDescent="0.25">
      <c r="A44" s="34" t="s">
        <v>302</v>
      </c>
      <c r="B44" s="34"/>
      <c r="C44" s="3">
        <v>185</v>
      </c>
      <c r="D44" s="3">
        <v>1315</v>
      </c>
      <c r="E44" s="2">
        <f>185+1315</f>
        <v>1500</v>
      </c>
      <c r="F44" s="3"/>
      <c r="G44" s="3"/>
      <c r="H44" s="3"/>
      <c r="I44" s="3"/>
    </row>
    <row r="45" spans="1:9" x14ac:dyDescent="0.25">
      <c r="A45" s="34" t="s">
        <v>123</v>
      </c>
      <c r="B45" s="3"/>
      <c r="C45" s="2">
        <f>31+185</f>
        <v>216</v>
      </c>
      <c r="D45" s="2">
        <f>469+1315</f>
        <v>1784</v>
      </c>
      <c r="E45" s="2">
        <f>2000</f>
        <v>2000</v>
      </c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2" t="s">
        <v>284</v>
      </c>
      <c r="C49" s="2" t="s">
        <v>283</v>
      </c>
      <c r="D49" s="2" t="s">
        <v>286</v>
      </c>
      <c r="E49" s="2" t="s">
        <v>305</v>
      </c>
      <c r="F49" s="3"/>
      <c r="G49" s="2" t="s">
        <v>306</v>
      </c>
      <c r="H49" s="2"/>
      <c r="I49" s="2">
        <f>(2-1)*(2-1)</f>
        <v>1</v>
      </c>
    </row>
    <row r="50" spans="1:9" x14ac:dyDescent="0.25">
      <c r="A50" s="3"/>
      <c r="B50" s="3">
        <v>31</v>
      </c>
      <c r="C50" s="3">
        <f>(216*500)/2000</f>
        <v>54</v>
      </c>
      <c r="D50" s="3">
        <f>(31-54)^2</f>
        <v>529</v>
      </c>
      <c r="E50" s="3">
        <f>529/54</f>
        <v>9.7962962962962958</v>
      </c>
      <c r="F50" s="3"/>
      <c r="G50" s="2" t="s">
        <v>296</v>
      </c>
      <c r="H50" s="2"/>
      <c r="I50" s="2"/>
    </row>
    <row r="51" spans="1:9" x14ac:dyDescent="0.25">
      <c r="A51" s="3"/>
      <c r="B51" s="3">
        <v>469</v>
      </c>
      <c r="C51" s="3">
        <f>(1784*500)/2000</f>
        <v>446</v>
      </c>
      <c r="D51" s="3">
        <f>(469-446)^2</f>
        <v>529</v>
      </c>
      <c r="E51" s="3">
        <f>529/446</f>
        <v>1.1860986547085202</v>
      </c>
      <c r="F51" s="3"/>
      <c r="G51" s="2" t="s">
        <v>297</v>
      </c>
      <c r="H51" s="2"/>
      <c r="I51" s="2">
        <f>CHIINV(0.05,1)</f>
        <v>3.8414588206941236</v>
      </c>
    </row>
    <row r="52" spans="1:9" x14ac:dyDescent="0.25">
      <c r="A52" s="3"/>
      <c r="B52" s="3">
        <v>185</v>
      </c>
      <c r="C52" s="3">
        <v>162</v>
      </c>
      <c r="D52" s="3">
        <f>(185-162)^2</f>
        <v>529</v>
      </c>
      <c r="E52" s="3">
        <f>529/162</f>
        <v>3.2654320987654319</v>
      </c>
      <c r="F52" s="3"/>
      <c r="G52" s="3"/>
      <c r="H52" s="3"/>
      <c r="I52" s="3"/>
    </row>
    <row r="53" spans="1:9" x14ac:dyDescent="0.25">
      <c r="A53" s="3"/>
      <c r="B53" s="3">
        <v>1315</v>
      </c>
      <c r="C53" s="3">
        <f>(1784*1500)/2000</f>
        <v>1338</v>
      </c>
      <c r="D53" s="3">
        <f>(1315-1338)^2</f>
        <v>529</v>
      </c>
      <c r="E53" s="3">
        <f>529/1338</f>
        <v>0.39536621823617341</v>
      </c>
      <c r="F53" s="3"/>
      <c r="G53" s="3"/>
      <c r="H53" s="3"/>
      <c r="I53" s="3"/>
    </row>
    <row r="54" spans="1:9" x14ac:dyDescent="0.25">
      <c r="A54" s="2" t="s">
        <v>123</v>
      </c>
      <c r="B54" s="3"/>
      <c r="C54" s="3"/>
      <c r="D54" s="3"/>
      <c r="E54" s="2">
        <f>SUM(E50:E53)</f>
        <v>14.643193268006421</v>
      </c>
      <c r="F54" s="3"/>
      <c r="G54" s="3"/>
      <c r="H54" s="3"/>
      <c r="I54" s="3"/>
    </row>
    <row r="59" spans="1:9" x14ac:dyDescent="0.25">
      <c r="A59" s="32" t="s">
        <v>307</v>
      </c>
      <c r="B59" s="32"/>
    </row>
    <row r="61" spans="1:9" x14ac:dyDescent="0.25">
      <c r="B61" s="2" t="s">
        <v>310</v>
      </c>
      <c r="C61" s="2" t="s">
        <v>311</v>
      </c>
      <c r="D61" s="2" t="s">
        <v>312</v>
      </c>
      <c r="E61" s="2" t="s">
        <v>313</v>
      </c>
      <c r="F61" s="2" t="s">
        <v>123</v>
      </c>
    </row>
    <row r="62" spans="1:9" x14ac:dyDescent="0.25">
      <c r="A62" t="s">
        <v>308</v>
      </c>
      <c r="B62">
        <v>137</v>
      </c>
      <c r="C62">
        <v>164</v>
      </c>
      <c r="D62">
        <v>152</v>
      </c>
      <c r="E62">
        <v>147</v>
      </c>
      <c r="F62" s="33">
        <f>B62+C62+D62+E62</f>
        <v>600</v>
      </c>
    </row>
    <row r="63" spans="1:9" x14ac:dyDescent="0.25">
      <c r="A63" t="s">
        <v>309</v>
      </c>
      <c r="B63">
        <v>32</v>
      </c>
      <c r="C63">
        <v>57</v>
      </c>
      <c r="D63">
        <v>56</v>
      </c>
      <c r="E63">
        <v>35</v>
      </c>
      <c r="F63" s="33">
        <f>B63+C63+D63+E63</f>
        <v>180</v>
      </c>
    </row>
    <row r="64" spans="1:9" x14ac:dyDescent="0.25">
      <c r="A64" t="s">
        <v>123</v>
      </c>
      <c r="B64" s="33">
        <f>137+32</f>
        <v>169</v>
      </c>
      <c r="C64" s="33">
        <f>164+57</f>
        <v>221</v>
      </c>
      <c r="D64" s="33">
        <f>152+56</f>
        <v>208</v>
      </c>
      <c r="E64" s="33">
        <f>147+35</f>
        <v>182</v>
      </c>
      <c r="F64" s="33">
        <f>B64+C64+D64+E64</f>
        <v>780</v>
      </c>
    </row>
    <row r="68" spans="1:9" x14ac:dyDescent="0.25">
      <c r="A68" s="2" t="s">
        <v>282</v>
      </c>
      <c r="B68" s="2" t="s">
        <v>284</v>
      </c>
      <c r="C68" s="2" t="s">
        <v>283</v>
      </c>
      <c r="D68" s="2" t="s">
        <v>286</v>
      </c>
      <c r="E68" s="13" t="s">
        <v>314</v>
      </c>
      <c r="F68" s="3"/>
      <c r="G68" s="3" t="s">
        <v>315</v>
      </c>
      <c r="H68" s="3">
        <f>(4-1)*(2-1)</f>
        <v>3</v>
      </c>
      <c r="I68" s="3"/>
    </row>
    <row r="69" spans="1:9" x14ac:dyDescent="0.25">
      <c r="A69" s="3">
        <v>1</v>
      </c>
      <c r="B69" s="3">
        <v>137</v>
      </c>
      <c r="C69" s="3">
        <f>(169*600)/780</f>
        <v>130</v>
      </c>
      <c r="D69" s="3">
        <f>(137-130)^2</f>
        <v>49</v>
      </c>
      <c r="E69" s="3">
        <f>49/130</f>
        <v>0.37692307692307692</v>
      </c>
      <c r="F69" s="35"/>
      <c r="G69" s="4" t="s">
        <v>316</v>
      </c>
      <c r="H69" s="3"/>
      <c r="I69" s="3">
        <f>0.05</f>
        <v>0.05</v>
      </c>
    </row>
    <row r="70" spans="1:9" x14ac:dyDescent="0.25">
      <c r="A70" s="3">
        <v>2</v>
      </c>
      <c r="B70" s="3">
        <v>32</v>
      </c>
      <c r="C70" s="3">
        <f>(169*180)/780</f>
        <v>39</v>
      </c>
      <c r="D70" s="3">
        <f>(32-39)^2</f>
        <v>49</v>
      </c>
      <c r="E70" s="3">
        <f>49/39</f>
        <v>1.2564102564102564</v>
      </c>
      <c r="F70" s="35"/>
      <c r="G70" s="3" t="s">
        <v>317</v>
      </c>
      <c r="H70" s="3"/>
      <c r="I70" s="3">
        <f>CHIINV(0.05,3)</f>
        <v>7.8147279032511792</v>
      </c>
    </row>
    <row r="71" spans="1:9" x14ac:dyDescent="0.25">
      <c r="A71" s="3">
        <v>3</v>
      </c>
      <c r="B71" s="3">
        <v>164</v>
      </c>
      <c r="C71" s="3">
        <f>(221*600)/780</f>
        <v>170</v>
      </c>
      <c r="D71" s="3">
        <f>(164-170)^2</f>
        <v>36</v>
      </c>
      <c r="E71" s="3">
        <f>36/170</f>
        <v>0.21176470588235294</v>
      </c>
    </row>
    <row r="72" spans="1:9" x14ac:dyDescent="0.25">
      <c r="A72" s="3">
        <v>4</v>
      </c>
      <c r="B72" s="3">
        <v>57</v>
      </c>
      <c r="C72" s="3">
        <f>(221*180)/780</f>
        <v>51</v>
      </c>
      <c r="D72" s="3">
        <f>(57-51)^2</f>
        <v>36</v>
      </c>
      <c r="E72" s="3">
        <f>36/51</f>
        <v>0.70588235294117652</v>
      </c>
    </row>
    <row r="73" spans="1:9" x14ac:dyDescent="0.25">
      <c r="A73" s="3">
        <v>5</v>
      </c>
      <c r="B73" s="3">
        <v>152</v>
      </c>
      <c r="C73" s="3">
        <f>(208*600)/780</f>
        <v>160</v>
      </c>
      <c r="D73" s="3">
        <f>(152-160)^2</f>
        <v>64</v>
      </c>
      <c r="E73" s="3">
        <f>64/160</f>
        <v>0.4</v>
      </c>
    </row>
    <row r="74" spans="1:9" x14ac:dyDescent="0.25">
      <c r="A74" s="3">
        <v>6</v>
      </c>
      <c r="B74" s="3">
        <v>56</v>
      </c>
      <c r="C74" s="3">
        <f>(208*180)/780</f>
        <v>48</v>
      </c>
      <c r="D74" s="3">
        <f>(56-48)^2</f>
        <v>64</v>
      </c>
      <c r="E74" s="3">
        <f>64/48</f>
        <v>1.3333333333333333</v>
      </c>
    </row>
    <row r="75" spans="1:9" x14ac:dyDescent="0.25">
      <c r="A75" s="3">
        <v>7</v>
      </c>
      <c r="B75" s="3">
        <v>147</v>
      </c>
      <c r="C75" s="3">
        <f>(182*600)/780</f>
        <v>140</v>
      </c>
      <c r="D75" s="3">
        <f>(147-140)^2</f>
        <v>49</v>
      </c>
      <c r="E75" s="3">
        <f>49/140</f>
        <v>0.35</v>
      </c>
    </row>
    <row r="76" spans="1:9" x14ac:dyDescent="0.25">
      <c r="A76" s="3">
        <v>8</v>
      </c>
      <c r="B76" s="3">
        <v>35</v>
      </c>
      <c r="C76" s="3">
        <f>(182*180)/780</f>
        <v>42</v>
      </c>
      <c r="D76" s="3">
        <f>(35-42)^2</f>
        <v>49</v>
      </c>
      <c r="E76" s="3">
        <f>49/42</f>
        <v>1.1666666666666667</v>
      </c>
    </row>
    <row r="77" spans="1:9" x14ac:dyDescent="0.25">
      <c r="A77" s="2" t="s">
        <v>123</v>
      </c>
      <c r="B77" s="3"/>
      <c r="C77" s="3"/>
      <c r="D77" s="3"/>
      <c r="E77" s="2">
        <f>SUM(E69:E76)</f>
        <v>5.8009803921568626</v>
      </c>
    </row>
    <row r="81" spans="1:10" x14ac:dyDescent="0.25">
      <c r="A81" s="14" t="s">
        <v>0</v>
      </c>
    </row>
    <row r="83" spans="1:10" x14ac:dyDescent="0.25">
      <c r="A83" s="2" t="s">
        <v>282</v>
      </c>
      <c r="B83" s="2" t="s">
        <v>283</v>
      </c>
      <c r="C83" s="2" t="s">
        <v>284</v>
      </c>
      <c r="D83" s="2" t="s">
        <v>285</v>
      </c>
      <c r="E83" s="2" t="s">
        <v>286</v>
      </c>
      <c r="F83" s="2" t="s">
        <v>287</v>
      </c>
      <c r="H83" s="4" t="s">
        <v>316</v>
      </c>
      <c r="I83" s="3"/>
      <c r="J83" s="3">
        <v>0.05</v>
      </c>
    </row>
    <row r="84" spans="1:10" x14ac:dyDescent="0.25">
      <c r="A84" s="3">
        <v>1</v>
      </c>
      <c r="B84" s="3">
        <v>120</v>
      </c>
      <c r="C84" s="3">
        <v>115</v>
      </c>
      <c r="D84" s="3">
        <f>115-B84</f>
        <v>-5</v>
      </c>
      <c r="E84" s="3">
        <f>-5^2</f>
        <v>25</v>
      </c>
      <c r="F84" s="3">
        <f>E84/B84</f>
        <v>0.20833333333333334</v>
      </c>
      <c r="H84" s="3" t="s">
        <v>318</v>
      </c>
      <c r="I84" s="3"/>
      <c r="J84" s="3" t="s">
        <v>319</v>
      </c>
    </row>
    <row r="85" spans="1:10" x14ac:dyDescent="0.25">
      <c r="A85" s="3">
        <v>2</v>
      </c>
      <c r="B85" s="3">
        <v>124</v>
      </c>
      <c r="C85" s="3">
        <v>118</v>
      </c>
      <c r="D85" s="3">
        <f t="shared" ref="D85:D93" si="1">C85-B85</f>
        <v>-6</v>
      </c>
      <c r="E85" s="3">
        <f>-6^2</f>
        <v>36</v>
      </c>
      <c r="F85" s="3">
        <f t="shared" ref="F85:F93" si="2">E85/B85</f>
        <v>0.29032258064516131</v>
      </c>
      <c r="H85" s="3" t="s">
        <v>317</v>
      </c>
      <c r="I85" s="3"/>
      <c r="J85" s="3">
        <f>CHIINV(0.05,9)</f>
        <v>16.918977604620451</v>
      </c>
    </row>
    <row r="86" spans="1:10" x14ac:dyDescent="0.25">
      <c r="A86" s="3">
        <v>3</v>
      </c>
      <c r="B86" s="3">
        <v>94</v>
      </c>
      <c r="C86" s="3">
        <v>90</v>
      </c>
      <c r="D86" s="3">
        <f t="shared" si="1"/>
        <v>-4</v>
      </c>
      <c r="E86" s="3">
        <f>-4^2</f>
        <v>16</v>
      </c>
      <c r="F86" s="3">
        <f t="shared" si="2"/>
        <v>0.1702127659574468</v>
      </c>
    </row>
    <row r="87" spans="1:10" x14ac:dyDescent="0.25">
      <c r="A87" s="3">
        <v>4</v>
      </c>
      <c r="B87" s="3">
        <v>122</v>
      </c>
      <c r="C87" s="3">
        <v>99</v>
      </c>
      <c r="D87" s="3">
        <f t="shared" si="1"/>
        <v>-23</v>
      </c>
      <c r="E87" s="3">
        <f>-23^2</f>
        <v>529</v>
      </c>
      <c r="F87" s="3">
        <f t="shared" si="2"/>
        <v>4.3360655737704921</v>
      </c>
    </row>
    <row r="88" spans="1:10" x14ac:dyDescent="0.25">
      <c r="A88" s="3">
        <v>5</v>
      </c>
      <c r="B88" s="3">
        <v>82</v>
      </c>
      <c r="C88" s="3">
        <v>108</v>
      </c>
      <c r="D88" s="3">
        <f t="shared" si="1"/>
        <v>26</v>
      </c>
      <c r="E88" s="3">
        <f>26^2</f>
        <v>676</v>
      </c>
      <c r="F88" s="3">
        <f t="shared" si="2"/>
        <v>8.2439024390243905</v>
      </c>
    </row>
    <row r="89" spans="1:10" x14ac:dyDescent="0.25">
      <c r="A89" s="3">
        <v>6</v>
      </c>
      <c r="B89" s="3">
        <v>110</v>
      </c>
      <c r="C89" s="3">
        <v>76</v>
      </c>
      <c r="D89" s="3">
        <f t="shared" si="1"/>
        <v>-34</v>
      </c>
      <c r="E89" s="3">
        <f>-34^2</f>
        <v>1156</v>
      </c>
      <c r="F89" s="3">
        <f t="shared" si="2"/>
        <v>10.50909090909091</v>
      </c>
    </row>
    <row r="90" spans="1:10" x14ac:dyDescent="0.25">
      <c r="A90" s="3">
        <v>7</v>
      </c>
      <c r="B90" s="3">
        <v>108</v>
      </c>
      <c r="C90" s="3">
        <v>99</v>
      </c>
      <c r="D90" s="3">
        <f t="shared" si="1"/>
        <v>-9</v>
      </c>
      <c r="E90" s="3">
        <f>-9^2</f>
        <v>81</v>
      </c>
      <c r="F90" s="3">
        <f t="shared" si="2"/>
        <v>0.75</v>
      </c>
    </row>
    <row r="91" spans="1:10" x14ac:dyDescent="0.25">
      <c r="A91" s="3">
        <v>8</v>
      </c>
      <c r="B91" s="3">
        <v>88</v>
      </c>
      <c r="C91" s="3">
        <v>94</v>
      </c>
      <c r="D91" s="3">
        <f t="shared" si="1"/>
        <v>6</v>
      </c>
      <c r="E91" s="3">
        <f>6^2</f>
        <v>36</v>
      </c>
      <c r="F91" s="3">
        <f t="shared" si="2"/>
        <v>0.40909090909090912</v>
      </c>
    </row>
    <row r="92" spans="1:10" x14ac:dyDescent="0.25">
      <c r="A92" s="3">
        <v>9</v>
      </c>
      <c r="B92" s="3">
        <v>98</v>
      </c>
      <c r="C92" s="3">
        <v>86</v>
      </c>
      <c r="D92" s="3">
        <f t="shared" si="1"/>
        <v>-12</v>
      </c>
      <c r="E92" s="3">
        <f>-12^2</f>
        <v>144</v>
      </c>
      <c r="F92" s="3">
        <f t="shared" si="2"/>
        <v>1.4693877551020409</v>
      </c>
    </row>
    <row r="93" spans="1:10" x14ac:dyDescent="0.25">
      <c r="A93" s="3">
        <v>10</v>
      </c>
      <c r="B93" s="3">
        <v>106</v>
      </c>
      <c r="C93" s="3">
        <v>84</v>
      </c>
      <c r="D93" s="3">
        <f t="shared" si="1"/>
        <v>-22</v>
      </c>
      <c r="E93" s="3">
        <f>-22^2</f>
        <v>484</v>
      </c>
      <c r="F93" s="3">
        <f t="shared" si="2"/>
        <v>4.5660377358490569</v>
      </c>
    </row>
    <row r="94" spans="1:10" x14ac:dyDescent="0.25">
      <c r="A94" s="3"/>
      <c r="B94" s="3"/>
      <c r="C94" s="3"/>
      <c r="D94" s="3"/>
      <c r="E94" s="3"/>
      <c r="F94" s="3"/>
    </row>
    <row r="95" spans="1:10" x14ac:dyDescent="0.25">
      <c r="A95" s="2" t="s">
        <v>123</v>
      </c>
      <c r="B95" s="2">
        <f>SUM(B84:B94)</f>
        <v>1052</v>
      </c>
      <c r="C95" s="2">
        <f>SUM(C84:C94)</f>
        <v>969</v>
      </c>
      <c r="D95" s="3"/>
      <c r="E95" s="2" t="s">
        <v>128</v>
      </c>
      <c r="F95" s="2">
        <f>SUM(F84:F94)</f>
        <v>30.952444001863743</v>
      </c>
    </row>
    <row r="98" spans="1:9" x14ac:dyDescent="0.25">
      <c r="A98" s="14" t="s">
        <v>16</v>
      </c>
    </row>
    <row r="100" spans="1:9" x14ac:dyDescent="0.25">
      <c r="A100" s="34" t="s">
        <v>310</v>
      </c>
      <c r="B100" s="34" t="s">
        <v>311</v>
      </c>
      <c r="C100" s="34" t="s">
        <v>312</v>
      </c>
      <c r="D100" s="3"/>
      <c r="E100" s="3"/>
    </row>
    <row r="101" spans="1:9" x14ac:dyDescent="0.25">
      <c r="A101" s="3"/>
      <c r="B101" s="34" t="s">
        <v>323</v>
      </c>
      <c r="C101" s="34" t="s">
        <v>324</v>
      </c>
      <c r="D101" s="34" t="s">
        <v>123</v>
      </c>
      <c r="E101" s="3"/>
    </row>
    <row r="102" spans="1:9" x14ac:dyDescent="0.25">
      <c r="A102" s="34" t="s">
        <v>320</v>
      </c>
      <c r="B102" s="3">
        <v>58</v>
      </c>
      <c r="C102" s="3">
        <v>35</v>
      </c>
      <c r="D102" s="2">
        <f>B102+C102</f>
        <v>93</v>
      </c>
      <c r="E102" s="3"/>
    </row>
    <row r="103" spans="1:9" x14ac:dyDescent="0.25">
      <c r="A103" s="34" t="s">
        <v>321</v>
      </c>
      <c r="B103" s="3">
        <v>11</v>
      </c>
      <c r="C103" s="3">
        <v>25</v>
      </c>
      <c r="D103" s="2">
        <f>B103+C103</f>
        <v>36</v>
      </c>
      <c r="E103" s="3"/>
    </row>
    <row r="104" spans="1:9" x14ac:dyDescent="0.25">
      <c r="A104" s="34" t="s">
        <v>322</v>
      </c>
      <c r="B104" s="3">
        <v>10</v>
      </c>
      <c r="C104" s="3">
        <v>23</v>
      </c>
      <c r="D104" s="2">
        <f>B104+C104</f>
        <v>33</v>
      </c>
      <c r="E104" s="3"/>
    </row>
    <row r="105" spans="1:9" x14ac:dyDescent="0.25">
      <c r="A105" s="3"/>
      <c r="B105" s="2">
        <f>B102+B103+B104</f>
        <v>79</v>
      </c>
      <c r="C105" s="2">
        <f>C102+C103+C104</f>
        <v>83</v>
      </c>
      <c r="D105" s="2">
        <f>D102+D103+D104</f>
        <v>162</v>
      </c>
      <c r="E105" s="3"/>
    </row>
    <row r="106" spans="1:9" x14ac:dyDescent="0.25">
      <c r="A106" s="3"/>
      <c r="B106" s="3"/>
      <c r="C106" s="3"/>
      <c r="D106" s="3"/>
      <c r="E106" s="3"/>
    </row>
    <row r="107" spans="1:9" x14ac:dyDescent="0.25">
      <c r="A107" s="3"/>
      <c r="B107" s="3"/>
      <c r="C107" s="3"/>
      <c r="D107" s="3"/>
      <c r="E107" s="3"/>
    </row>
    <row r="108" spans="1:9" x14ac:dyDescent="0.25">
      <c r="A108" s="2" t="s">
        <v>282</v>
      </c>
      <c r="B108" s="2" t="s">
        <v>284</v>
      </c>
      <c r="C108" s="2" t="s">
        <v>283</v>
      </c>
      <c r="D108" s="2" t="s">
        <v>286</v>
      </c>
      <c r="E108" s="2" t="s">
        <v>287</v>
      </c>
      <c r="G108" s="4" t="s">
        <v>325</v>
      </c>
      <c r="H108" s="3"/>
      <c r="I108" s="3"/>
    </row>
    <row r="109" spans="1:9" x14ac:dyDescent="0.25">
      <c r="A109" s="3">
        <v>1</v>
      </c>
      <c r="B109" s="3">
        <v>58</v>
      </c>
      <c r="C109" s="3">
        <f>(79*93)/162</f>
        <v>45.351851851851855</v>
      </c>
      <c r="D109" s="3">
        <f t="shared" ref="D109:D114" si="3">(B109-C109)^2</f>
        <v>159.97565157750336</v>
      </c>
      <c r="E109" s="3">
        <f t="shared" ref="E109:E114" si="4">D109/C109</f>
        <v>3.5274337220029319</v>
      </c>
      <c r="G109" s="3" t="s">
        <v>296</v>
      </c>
      <c r="H109" s="3"/>
      <c r="I109" s="3"/>
    </row>
    <row r="110" spans="1:9" x14ac:dyDescent="0.25">
      <c r="A110" s="3">
        <v>2</v>
      </c>
      <c r="B110" s="3">
        <v>35</v>
      </c>
      <c r="C110" s="3">
        <f>(83*93)/162</f>
        <v>47.648148148148145</v>
      </c>
      <c r="D110" s="3">
        <f t="shared" si="3"/>
        <v>159.97565157750336</v>
      </c>
      <c r="E110" s="3">
        <f t="shared" si="4"/>
        <v>3.3574369161232731</v>
      </c>
      <c r="G110" s="3" t="s">
        <v>297</v>
      </c>
      <c r="H110" s="3"/>
      <c r="I110" s="3">
        <f>CHIINV(0.05,5)</f>
        <v>11.070497693516353</v>
      </c>
    </row>
    <row r="111" spans="1:9" x14ac:dyDescent="0.25">
      <c r="A111" s="3">
        <v>3</v>
      </c>
      <c r="B111" s="3">
        <v>11</v>
      </c>
      <c r="C111" s="3">
        <f>(79*36)/162</f>
        <v>17.555555555555557</v>
      </c>
      <c r="D111" s="3">
        <f t="shared" si="3"/>
        <v>42.975308641975332</v>
      </c>
      <c r="E111" s="3">
        <f t="shared" si="4"/>
        <v>2.4479606188466958</v>
      </c>
    </row>
    <row r="112" spans="1:9" x14ac:dyDescent="0.25">
      <c r="A112" s="3">
        <v>4</v>
      </c>
      <c r="B112" s="3">
        <v>25</v>
      </c>
      <c r="C112" s="3">
        <f>(83*36)/162</f>
        <v>18.444444444444443</v>
      </c>
      <c r="D112" s="3">
        <f t="shared" si="3"/>
        <v>42.975308641975332</v>
      </c>
      <c r="E112" s="3">
        <f t="shared" si="4"/>
        <v>2.3299866131191447</v>
      </c>
    </row>
    <row r="113" spans="1:9" x14ac:dyDescent="0.25">
      <c r="A113" s="3">
        <v>5</v>
      </c>
      <c r="B113" s="3">
        <v>10</v>
      </c>
      <c r="C113" s="3">
        <f>(79*33)/162</f>
        <v>16.092592592592592</v>
      </c>
      <c r="D113" s="3">
        <f t="shared" si="3"/>
        <v>37.119684499314118</v>
      </c>
      <c r="E113" s="3">
        <f t="shared" si="4"/>
        <v>2.3066317180241227</v>
      </c>
    </row>
    <row r="114" spans="1:9" x14ac:dyDescent="0.25">
      <c r="A114" s="3">
        <v>6</v>
      </c>
      <c r="B114" s="3">
        <v>23</v>
      </c>
      <c r="C114" s="3">
        <f>(83*33)/162</f>
        <v>16.907407407407408</v>
      </c>
      <c r="D114" s="3">
        <f t="shared" si="3"/>
        <v>37.119684499314118</v>
      </c>
      <c r="E114" s="3">
        <f t="shared" si="4"/>
        <v>2.1954687436615141</v>
      </c>
    </row>
    <row r="115" spans="1:9" x14ac:dyDescent="0.25">
      <c r="A115" s="2" t="s">
        <v>123</v>
      </c>
      <c r="B115" s="3"/>
      <c r="C115" s="3"/>
      <c r="D115" s="3"/>
      <c r="E115" s="2">
        <f>SUM(E109:E114)</f>
        <v>16.164918331777685</v>
      </c>
    </row>
    <row r="118" spans="1:9" x14ac:dyDescent="0.25">
      <c r="A118" s="14" t="s">
        <v>23</v>
      </c>
    </row>
    <row r="120" spans="1:9" x14ac:dyDescent="0.25">
      <c r="A120" s="3"/>
      <c r="B120" s="34" t="s">
        <v>328</v>
      </c>
      <c r="C120" s="34" t="s">
        <v>329</v>
      </c>
      <c r="D120" s="34" t="s">
        <v>330</v>
      </c>
      <c r="E120" s="34" t="s">
        <v>331</v>
      </c>
      <c r="F120" s="3"/>
      <c r="G120" s="3" t="s">
        <v>325</v>
      </c>
      <c r="H120" s="3"/>
      <c r="I120" s="3"/>
    </row>
    <row r="121" spans="1:9" x14ac:dyDescent="0.25">
      <c r="A121" s="34" t="s">
        <v>326</v>
      </c>
      <c r="B121" s="3">
        <v>58</v>
      </c>
      <c r="C121" s="3">
        <v>63</v>
      </c>
      <c r="D121" s="3">
        <v>17</v>
      </c>
      <c r="E121" s="2">
        <v>44</v>
      </c>
      <c r="F121" s="3"/>
      <c r="G121" s="3" t="s">
        <v>332</v>
      </c>
      <c r="H121" s="3"/>
      <c r="I121" s="3"/>
    </row>
    <row r="122" spans="1:9" x14ac:dyDescent="0.25">
      <c r="A122" s="34" t="s">
        <v>327</v>
      </c>
      <c r="B122" s="3">
        <v>23</v>
      </c>
      <c r="C122" s="3">
        <v>96</v>
      </c>
      <c r="D122" s="3">
        <v>12</v>
      </c>
      <c r="E122" s="2">
        <v>87</v>
      </c>
      <c r="F122" s="3"/>
      <c r="G122" s="3" t="s">
        <v>333</v>
      </c>
      <c r="H122" s="3"/>
      <c r="I122" s="3">
        <f>CHIINV(0.05,5)</f>
        <v>11.070497693516353</v>
      </c>
    </row>
    <row r="123" spans="1:9" x14ac:dyDescent="0.25">
      <c r="A123" s="34" t="s">
        <v>123</v>
      </c>
      <c r="B123" s="2">
        <f>B121+B122</f>
        <v>81</v>
      </c>
      <c r="C123" s="2">
        <f>C121+C122</f>
        <v>159</v>
      </c>
      <c r="D123" s="2">
        <f>D121+D122</f>
        <v>29</v>
      </c>
      <c r="E123" s="2">
        <f>E121+E122</f>
        <v>131</v>
      </c>
    </row>
    <row r="124" spans="1:9" x14ac:dyDescent="0.25">
      <c r="A124" s="3"/>
      <c r="B124" s="3"/>
      <c r="C124" s="3"/>
      <c r="D124" s="3"/>
      <c r="E124" s="3"/>
    </row>
    <row r="125" spans="1:9" x14ac:dyDescent="0.25">
      <c r="A125" s="3"/>
      <c r="B125" s="3"/>
      <c r="C125" s="3"/>
      <c r="D125" s="3"/>
      <c r="E125" s="3"/>
    </row>
    <row r="126" spans="1:9" x14ac:dyDescent="0.25">
      <c r="A126" s="3"/>
      <c r="B126" s="2" t="s">
        <v>284</v>
      </c>
      <c r="C126" s="2" t="s">
        <v>283</v>
      </c>
      <c r="D126" s="2" t="s">
        <v>286</v>
      </c>
      <c r="E126" s="2" t="s">
        <v>287</v>
      </c>
    </row>
    <row r="127" spans="1:9" x14ac:dyDescent="0.25">
      <c r="A127" s="3">
        <v>1</v>
      </c>
      <c r="B127" s="3">
        <v>58</v>
      </c>
      <c r="C127" s="3">
        <f>(81+44)/131</f>
        <v>0.95419847328244278</v>
      </c>
      <c r="D127" s="3">
        <f>(B127-C127)^2</f>
        <v>3254.2234718256509</v>
      </c>
      <c r="E127" s="3">
        <f>D127/C127</f>
        <v>3410.4261984732821</v>
      </c>
    </row>
    <row r="128" spans="1:9" x14ac:dyDescent="0.25">
      <c r="A128" s="3">
        <v>2</v>
      </c>
      <c r="B128" s="3">
        <v>63</v>
      </c>
      <c r="C128" s="3">
        <f>(159*44)/131</f>
        <v>53.404580152671755</v>
      </c>
      <c r="D128" s="3">
        <f>(B128-C128)^2</f>
        <v>92.072082046500796</v>
      </c>
      <c r="E128" s="3">
        <f>D128/C128</f>
        <v>1.7240484202532311</v>
      </c>
    </row>
    <row r="129" spans="1:10" x14ac:dyDescent="0.25">
      <c r="A129" s="3">
        <v>3</v>
      </c>
      <c r="B129" s="3">
        <v>17</v>
      </c>
      <c r="C129" s="3">
        <f>(29*44)/131</f>
        <v>9.7404580152671763</v>
      </c>
      <c r="D129" s="3">
        <f>(B129-C129)^2</f>
        <v>52.700949828098587</v>
      </c>
      <c r="E129" s="3">
        <f>D129/C129</f>
        <v>5.4105207111919391</v>
      </c>
    </row>
    <row r="130" spans="1:10" x14ac:dyDescent="0.25">
      <c r="A130" s="3">
        <v>4</v>
      </c>
      <c r="B130" s="3">
        <v>23</v>
      </c>
      <c r="C130" s="3">
        <f>(81*87)/131</f>
        <v>53.793893129770993</v>
      </c>
      <c r="D130" s="3">
        <f>(B130-C131)^2</f>
        <v>6822.0033797564247</v>
      </c>
      <c r="E130" s="3">
        <f>D130/C130</f>
        <v>126.81743192111418</v>
      </c>
    </row>
    <row r="131" spans="1:10" x14ac:dyDescent="0.25">
      <c r="A131" s="3">
        <v>5</v>
      </c>
      <c r="B131" s="3">
        <v>96</v>
      </c>
      <c r="C131" s="3">
        <f>(159*87)/131</f>
        <v>105.59541984732824</v>
      </c>
      <c r="D131" s="3">
        <f>(B131-C131)^2</f>
        <v>92.072082046500796</v>
      </c>
      <c r="E131" s="3">
        <f>D131/C132</f>
        <v>4.7805956195369026</v>
      </c>
    </row>
    <row r="132" spans="1:10" x14ac:dyDescent="0.25">
      <c r="A132" s="3">
        <v>6</v>
      </c>
      <c r="B132" s="3">
        <v>12</v>
      </c>
      <c r="C132" s="3">
        <f>(29*87)/131</f>
        <v>19.259541984732824</v>
      </c>
      <c r="D132" s="3">
        <f>(B132-C132)^2</f>
        <v>52.700949828098587</v>
      </c>
      <c r="E132" s="3">
        <f>D132/C132</f>
        <v>2.7363553022120155</v>
      </c>
    </row>
    <row r="133" spans="1:10" x14ac:dyDescent="0.25">
      <c r="A133" s="2" t="s">
        <v>123</v>
      </c>
      <c r="B133" s="3"/>
      <c r="C133" s="3"/>
      <c r="D133" s="3"/>
      <c r="E133" s="2">
        <f>SUM(E127:E132)</f>
        <v>3551.8951504475908</v>
      </c>
    </row>
    <row r="136" spans="1:10" x14ac:dyDescent="0.25">
      <c r="A136" s="14" t="s">
        <v>24</v>
      </c>
    </row>
    <row r="138" spans="1:10" x14ac:dyDescent="0.25">
      <c r="A138" s="2" t="s">
        <v>334</v>
      </c>
      <c r="B138" s="2" t="s">
        <v>283</v>
      </c>
      <c r="C138" s="2" t="s">
        <v>284</v>
      </c>
      <c r="D138" s="2" t="s">
        <v>285</v>
      </c>
      <c r="E138" s="2" t="s">
        <v>286</v>
      </c>
      <c r="F138" s="2" t="s">
        <v>287</v>
      </c>
      <c r="G138" s="3"/>
      <c r="H138" s="3" t="s">
        <v>325</v>
      </c>
      <c r="I138" s="3"/>
      <c r="J138" s="3"/>
    </row>
    <row r="139" spans="1:10" x14ac:dyDescent="0.25">
      <c r="A139" s="3">
        <v>1</v>
      </c>
      <c r="B139" s="3">
        <v>20</v>
      </c>
      <c r="C139" s="3">
        <v>10</v>
      </c>
      <c r="D139" s="3">
        <f>10-20</f>
        <v>-10</v>
      </c>
      <c r="E139" s="3">
        <f>(-10)^2</f>
        <v>100</v>
      </c>
      <c r="F139" s="3">
        <f>E139/B139</f>
        <v>5</v>
      </c>
      <c r="G139" s="3"/>
      <c r="H139" s="3" t="s">
        <v>296</v>
      </c>
      <c r="I139" s="3"/>
      <c r="J139" s="3"/>
    </row>
    <row r="140" spans="1:10" x14ac:dyDescent="0.25">
      <c r="A140" s="3">
        <v>2</v>
      </c>
      <c r="B140" s="3">
        <v>20</v>
      </c>
      <c r="C140" s="3">
        <v>25</v>
      </c>
      <c r="D140" s="3">
        <f>25-20</f>
        <v>5</v>
      </c>
      <c r="E140" s="3">
        <f>(5)^2</f>
        <v>25</v>
      </c>
      <c r="F140" s="3">
        <f>E140/B140</f>
        <v>1.25</v>
      </c>
      <c r="G140" s="3"/>
      <c r="H140" s="3" t="s">
        <v>297</v>
      </c>
      <c r="I140" s="3"/>
      <c r="J140" s="3">
        <f>CHIINV(0.05,5)</f>
        <v>11.070497693516353</v>
      </c>
    </row>
    <row r="141" spans="1:10" x14ac:dyDescent="0.25">
      <c r="A141" s="3">
        <v>3</v>
      </c>
      <c r="B141" s="3">
        <v>20</v>
      </c>
      <c r="C141" s="3">
        <v>30</v>
      </c>
      <c r="D141" s="3">
        <f>30-20</f>
        <v>10</v>
      </c>
      <c r="E141" s="3">
        <f>(10)^2</f>
        <v>100</v>
      </c>
      <c r="F141" s="3">
        <f>E141/B141</f>
        <v>5</v>
      </c>
    </row>
    <row r="142" spans="1:10" x14ac:dyDescent="0.25">
      <c r="A142" s="3">
        <v>4</v>
      </c>
      <c r="B142" s="3">
        <v>20</v>
      </c>
      <c r="C142" s="3">
        <v>20</v>
      </c>
      <c r="D142" s="3">
        <f>20-20</f>
        <v>0</v>
      </c>
      <c r="E142" s="3">
        <f>(0)^2</f>
        <v>0</v>
      </c>
      <c r="F142" s="3">
        <f>E142/B143</f>
        <v>0</v>
      </c>
    </row>
    <row r="143" spans="1:10" x14ac:dyDescent="0.25">
      <c r="A143" s="3">
        <v>5</v>
      </c>
      <c r="B143" s="3">
        <v>20</v>
      </c>
      <c r="C143" s="3">
        <v>30</v>
      </c>
      <c r="D143" s="3">
        <f>30-20</f>
        <v>10</v>
      </c>
      <c r="E143" s="3">
        <f>(10)^2</f>
        <v>100</v>
      </c>
      <c r="F143" s="3">
        <f>E143/B143</f>
        <v>5</v>
      </c>
    </row>
    <row r="144" spans="1:10" x14ac:dyDescent="0.25">
      <c r="A144" s="3">
        <v>6</v>
      </c>
      <c r="B144" s="3">
        <v>20</v>
      </c>
      <c r="C144" s="3">
        <v>5</v>
      </c>
      <c r="D144" s="3">
        <f>5-20</f>
        <v>-15</v>
      </c>
      <c r="E144" s="3">
        <f>(-15)^2</f>
        <v>225</v>
      </c>
      <c r="F144" s="3">
        <f>E144/B144</f>
        <v>11.25</v>
      </c>
    </row>
    <row r="145" spans="1:10" x14ac:dyDescent="0.25">
      <c r="A145" s="3"/>
      <c r="B145" s="3"/>
      <c r="C145" s="3"/>
      <c r="D145" s="3"/>
      <c r="E145" s="3"/>
      <c r="F145" s="3"/>
    </row>
    <row r="146" spans="1:10" x14ac:dyDescent="0.25">
      <c r="A146" s="2" t="s">
        <v>123</v>
      </c>
      <c r="B146" s="2">
        <f>SUM(B139:B145)</f>
        <v>120</v>
      </c>
      <c r="C146" s="2">
        <f>SUM(C139:C145)</f>
        <v>120</v>
      </c>
      <c r="D146" s="3"/>
      <c r="E146" s="3"/>
      <c r="F146" s="2">
        <f>SUM(F139:F145)</f>
        <v>27.5</v>
      </c>
    </row>
    <row r="150" spans="1:10" x14ac:dyDescent="0.25">
      <c r="A150" s="14" t="s">
        <v>26</v>
      </c>
    </row>
    <row r="152" spans="1:10" x14ac:dyDescent="0.25">
      <c r="A152" s="2" t="s">
        <v>282</v>
      </c>
      <c r="B152" s="2" t="s">
        <v>283</v>
      </c>
      <c r="C152" s="2" t="s">
        <v>284</v>
      </c>
      <c r="D152" s="2" t="s">
        <v>285</v>
      </c>
      <c r="E152" s="2" t="s">
        <v>286</v>
      </c>
      <c r="F152" s="2" t="s">
        <v>287</v>
      </c>
      <c r="G152" s="3"/>
      <c r="H152" s="2" t="s">
        <v>335</v>
      </c>
      <c r="I152" s="3"/>
      <c r="J152" s="3"/>
    </row>
    <row r="153" spans="1:10" x14ac:dyDescent="0.25">
      <c r="A153" s="3">
        <v>1</v>
      </c>
      <c r="B153" s="3">
        <v>2</v>
      </c>
      <c r="C153" s="3">
        <v>1</v>
      </c>
      <c r="D153" s="3">
        <f>C153-B153</f>
        <v>-1</v>
      </c>
      <c r="E153" s="3">
        <f>(D153)^2</f>
        <v>1</v>
      </c>
      <c r="F153" s="3">
        <f>E153/B153</f>
        <v>0.5</v>
      </c>
      <c r="G153" s="3"/>
      <c r="H153" s="3" t="s">
        <v>296</v>
      </c>
      <c r="I153" s="3"/>
      <c r="J153" s="3"/>
    </row>
    <row r="154" spans="1:10" x14ac:dyDescent="0.25">
      <c r="A154" s="3">
        <v>2</v>
      </c>
      <c r="B154" s="3">
        <v>2</v>
      </c>
      <c r="C154" s="3">
        <v>3</v>
      </c>
      <c r="D154" s="3">
        <f t="shared" ref="D154:D160" si="5">C154-B154</f>
        <v>1</v>
      </c>
      <c r="E154" s="3">
        <f t="shared" ref="E154:E160" si="6">(D154)^2</f>
        <v>1</v>
      </c>
      <c r="F154" s="3">
        <f t="shared" ref="F154:F160" si="7">E154/B154</f>
        <v>0.5</v>
      </c>
      <c r="G154" s="3"/>
      <c r="H154" s="3" t="s">
        <v>333</v>
      </c>
      <c r="I154" s="3"/>
      <c r="J154" s="3">
        <f>CHIINV(0.05,7)</f>
        <v>14.067140449340167</v>
      </c>
    </row>
    <row r="155" spans="1:10" x14ac:dyDescent="0.25">
      <c r="A155" s="3">
        <v>3</v>
      </c>
      <c r="B155" s="3">
        <v>5</v>
      </c>
      <c r="C155" s="3">
        <v>1</v>
      </c>
      <c r="D155" s="3">
        <f t="shared" si="5"/>
        <v>-4</v>
      </c>
      <c r="E155" s="3">
        <f t="shared" si="6"/>
        <v>16</v>
      </c>
      <c r="F155" s="3">
        <f t="shared" si="7"/>
        <v>3.2</v>
      </c>
      <c r="G155" s="3"/>
      <c r="H155" s="3"/>
      <c r="I155" s="3"/>
      <c r="J155" s="3"/>
    </row>
    <row r="156" spans="1:10" x14ac:dyDescent="0.25">
      <c r="A156" s="3">
        <v>4</v>
      </c>
      <c r="B156" s="3">
        <v>4</v>
      </c>
      <c r="C156" s="3">
        <v>4</v>
      </c>
      <c r="D156" s="3">
        <f t="shared" si="5"/>
        <v>0</v>
      </c>
      <c r="E156" s="3">
        <f t="shared" si="6"/>
        <v>0</v>
      </c>
      <c r="F156" s="3">
        <f t="shared" si="7"/>
        <v>0</v>
      </c>
      <c r="G156" s="3"/>
      <c r="H156" s="3"/>
      <c r="I156" s="3"/>
      <c r="J156" s="3"/>
    </row>
    <row r="157" spans="1:10" x14ac:dyDescent="0.25">
      <c r="A157" s="3">
        <v>5</v>
      </c>
      <c r="B157" s="3">
        <v>3</v>
      </c>
      <c r="C157" s="3">
        <v>2</v>
      </c>
      <c r="D157" s="3">
        <f t="shared" si="5"/>
        <v>-1</v>
      </c>
      <c r="E157" s="3">
        <f t="shared" si="6"/>
        <v>1</v>
      </c>
      <c r="F157" s="3">
        <f t="shared" si="7"/>
        <v>0.33333333333333331</v>
      </c>
      <c r="G157" s="3"/>
      <c r="H157" s="3"/>
      <c r="I157" s="3"/>
      <c r="J157" s="3"/>
    </row>
    <row r="158" spans="1:10" x14ac:dyDescent="0.25">
      <c r="A158" s="3">
        <v>6</v>
      </c>
      <c r="B158" s="3">
        <v>1</v>
      </c>
      <c r="C158" s="3">
        <v>3</v>
      </c>
      <c r="D158" s="3">
        <f t="shared" si="5"/>
        <v>2</v>
      </c>
      <c r="E158" s="3">
        <f t="shared" si="6"/>
        <v>4</v>
      </c>
      <c r="F158" s="3">
        <f t="shared" si="7"/>
        <v>4</v>
      </c>
      <c r="G158" s="3"/>
      <c r="H158" s="3"/>
      <c r="I158" s="3"/>
      <c r="J158" s="3"/>
    </row>
    <row r="159" spans="1:10" x14ac:dyDescent="0.25">
      <c r="A159" s="3">
        <v>7</v>
      </c>
      <c r="B159" s="3">
        <v>6</v>
      </c>
      <c r="C159" s="3">
        <v>0</v>
      </c>
      <c r="D159" s="3">
        <f t="shared" si="5"/>
        <v>-6</v>
      </c>
      <c r="E159" s="3">
        <f t="shared" si="6"/>
        <v>36</v>
      </c>
      <c r="F159" s="3">
        <f t="shared" si="7"/>
        <v>6</v>
      </c>
      <c r="G159" s="3"/>
      <c r="H159" s="3"/>
      <c r="I159" s="3"/>
      <c r="J159" s="3"/>
    </row>
    <row r="160" spans="1:10" x14ac:dyDescent="0.25">
      <c r="A160" s="3">
        <v>8</v>
      </c>
      <c r="B160" s="3">
        <v>7</v>
      </c>
      <c r="C160" s="3">
        <v>5</v>
      </c>
      <c r="D160" s="3">
        <f t="shared" si="5"/>
        <v>-2</v>
      </c>
      <c r="E160" s="3">
        <f t="shared" si="6"/>
        <v>4</v>
      </c>
      <c r="F160" s="3">
        <f t="shared" si="7"/>
        <v>0.5714285714285714</v>
      </c>
      <c r="G160" s="3"/>
      <c r="H160" s="3"/>
      <c r="I160" s="3"/>
      <c r="J160" s="3"/>
    </row>
    <row r="161" spans="1:10" x14ac:dyDescent="0.25">
      <c r="A161" s="2" t="s">
        <v>123</v>
      </c>
      <c r="B161" s="2">
        <f>SUM(B153:B160)</f>
        <v>30</v>
      </c>
      <c r="C161" s="2">
        <f>SUM(C153:C160)</f>
        <v>19</v>
      </c>
      <c r="D161" s="3"/>
      <c r="E161" s="3"/>
      <c r="F161" s="2">
        <f>SUM(F153:F160)</f>
        <v>15.104761904761904</v>
      </c>
      <c r="G161" s="3"/>
      <c r="H161" s="3"/>
      <c r="I161" s="3"/>
      <c r="J161" s="3"/>
    </row>
    <row r="165" spans="1:10" x14ac:dyDescent="0.25">
      <c r="A165" s="14" t="s">
        <v>33</v>
      </c>
    </row>
    <row r="167" spans="1:10" x14ac:dyDescent="0.25">
      <c r="A167" s="2" t="s">
        <v>282</v>
      </c>
      <c r="B167" s="2" t="s">
        <v>283</v>
      </c>
      <c r="C167" s="2" t="s">
        <v>284</v>
      </c>
      <c r="D167" s="2" t="s">
        <v>285</v>
      </c>
      <c r="E167" s="2" t="s">
        <v>286</v>
      </c>
      <c r="F167" s="2" t="s">
        <v>287</v>
      </c>
    </row>
    <row r="168" spans="1:10" x14ac:dyDescent="0.25">
      <c r="A168" s="3">
        <v>1</v>
      </c>
      <c r="B168" s="3">
        <v>22</v>
      </c>
      <c r="C168" s="3">
        <v>25</v>
      </c>
      <c r="D168" s="3">
        <f>C168-B168</f>
        <v>3</v>
      </c>
      <c r="E168" s="3">
        <f>(D168)^2</f>
        <v>9</v>
      </c>
      <c r="F168" s="3">
        <f>E168/B168</f>
        <v>0.40909090909090912</v>
      </c>
      <c r="G168" s="3"/>
      <c r="H168" s="3" t="s">
        <v>335</v>
      </c>
      <c r="I168" s="3"/>
      <c r="J168" s="3"/>
    </row>
    <row r="169" spans="1:10" x14ac:dyDescent="0.25">
      <c r="A169" s="3">
        <v>2</v>
      </c>
      <c r="B169" s="3">
        <v>24</v>
      </c>
      <c r="C169" s="3">
        <v>23</v>
      </c>
      <c r="D169" s="3">
        <f t="shared" ref="D169:D175" si="8">C169-B169</f>
        <v>-1</v>
      </c>
      <c r="E169" s="3">
        <f t="shared" ref="E169:E175" si="9">(D169)^2</f>
        <v>1</v>
      </c>
      <c r="F169" s="3">
        <f t="shared" ref="F169:F175" si="10">E169/B169</f>
        <v>4.1666666666666664E-2</v>
      </c>
      <c r="G169" s="3"/>
      <c r="H169" s="3" t="s">
        <v>296</v>
      </c>
      <c r="I169" s="3"/>
      <c r="J169" s="3"/>
    </row>
    <row r="170" spans="1:10" x14ac:dyDescent="0.25">
      <c r="A170" s="3">
        <v>3</v>
      </c>
      <c r="B170" s="3">
        <v>27</v>
      </c>
      <c r="C170" s="3">
        <v>30</v>
      </c>
      <c r="D170" s="3">
        <f t="shared" si="8"/>
        <v>3</v>
      </c>
      <c r="E170" s="3">
        <f t="shared" si="9"/>
        <v>9</v>
      </c>
      <c r="F170" s="3">
        <f t="shared" si="10"/>
        <v>0.33333333333333331</v>
      </c>
      <c r="G170" s="3"/>
      <c r="H170" s="3" t="s">
        <v>297</v>
      </c>
      <c r="I170" s="3"/>
      <c r="J170" s="3">
        <f>CHIINV(0.05,7)</f>
        <v>14.067140449340167</v>
      </c>
    </row>
    <row r="171" spans="1:10" x14ac:dyDescent="0.25">
      <c r="A171" s="3">
        <v>4</v>
      </c>
      <c r="B171" s="3">
        <v>21</v>
      </c>
      <c r="C171" s="3">
        <v>24</v>
      </c>
      <c r="D171" s="3">
        <f t="shared" si="8"/>
        <v>3</v>
      </c>
      <c r="E171" s="3">
        <f t="shared" si="9"/>
        <v>9</v>
      </c>
      <c r="F171" s="3">
        <f t="shared" si="10"/>
        <v>0.42857142857142855</v>
      </c>
    </row>
    <row r="172" spans="1:10" x14ac:dyDescent="0.25">
      <c r="A172" s="3">
        <v>5</v>
      </c>
      <c r="B172" s="3">
        <v>19</v>
      </c>
      <c r="C172" s="3">
        <v>22</v>
      </c>
      <c r="D172" s="3">
        <f t="shared" si="8"/>
        <v>3</v>
      </c>
      <c r="E172" s="3">
        <f t="shared" si="9"/>
        <v>9</v>
      </c>
      <c r="F172" s="3">
        <f t="shared" si="10"/>
        <v>0.47368421052631576</v>
      </c>
    </row>
    <row r="173" spans="1:10" x14ac:dyDescent="0.25">
      <c r="A173" s="3">
        <v>6</v>
      </c>
      <c r="B173" s="3">
        <v>15</v>
      </c>
      <c r="C173" s="3">
        <v>17</v>
      </c>
      <c r="D173" s="3">
        <f t="shared" si="8"/>
        <v>2</v>
      </c>
      <c r="E173" s="3">
        <f t="shared" si="9"/>
        <v>4</v>
      </c>
      <c r="F173" s="3">
        <f t="shared" si="10"/>
        <v>0.26666666666666666</v>
      </c>
    </row>
    <row r="174" spans="1:10" x14ac:dyDescent="0.25">
      <c r="A174" s="3">
        <v>7</v>
      </c>
      <c r="B174" s="3">
        <v>23</v>
      </c>
      <c r="C174" s="3">
        <v>23</v>
      </c>
      <c r="D174" s="3">
        <f t="shared" si="8"/>
        <v>0</v>
      </c>
      <c r="E174" s="3">
        <f t="shared" si="9"/>
        <v>0</v>
      </c>
      <c r="F174" s="3">
        <f t="shared" si="10"/>
        <v>0</v>
      </c>
    </row>
    <row r="175" spans="1:10" x14ac:dyDescent="0.25">
      <c r="A175" s="3">
        <v>8</v>
      </c>
      <c r="B175" s="3">
        <v>29</v>
      </c>
      <c r="C175" s="3">
        <v>30</v>
      </c>
      <c r="D175" s="3">
        <f t="shared" si="8"/>
        <v>1</v>
      </c>
      <c r="E175" s="3">
        <f t="shared" si="9"/>
        <v>1</v>
      </c>
      <c r="F175" s="3">
        <f t="shared" si="10"/>
        <v>3.4482758620689655E-2</v>
      </c>
    </row>
    <row r="176" spans="1:10" x14ac:dyDescent="0.25">
      <c r="A176" s="2" t="s">
        <v>123</v>
      </c>
      <c r="B176" s="2">
        <f>SUM(B168:B175)</f>
        <v>180</v>
      </c>
      <c r="C176" s="2">
        <f>SUM(C168:C175)</f>
        <v>194</v>
      </c>
      <c r="D176" s="3"/>
      <c r="E176" s="3"/>
      <c r="F176" s="2">
        <f>SUM(F168:F175)</f>
        <v>1.9874959734760098</v>
      </c>
    </row>
    <row r="180" spans="1:10" x14ac:dyDescent="0.25">
      <c r="A180" s="14" t="s">
        <v>37</v>
      </c>
    </row>
    <row r="182" spans="1:10" x14ac:dyDescent="0.25">
      <c r="A182" s="2" t="s">
        <v>282</v>
      </c>
      <c r="B182" s="2" t="s">
        <v>283</v>
      </c>
      <c r="C182" s="2" t="s">
        <v>284</v>
      </c>
      <c r="D182" s="2" t="s">
        <v>285</v>
      </c>
      <c r="E182" s="2" t="s">
        <v>286</v>
      </c>
      <c r="F182" s="2" t="s">
        <v>287</v>
      </c>
    </row>
    <row r="183" spans="1:10" x14ac:dyDescent="0.25">
      <c r="A183" s="3">
        <v>1</v>
      </c>
      <c r="B183" s="3">
        <v>245</v>
      </c>
      <c r="C183" s="3">
        <v>1400</v>
      </c>
      <c r="D183" s="3">
        <f>C183-B183</f>
        <v>1155</v>
      </c>
      <c r="E183" s="3">
        <f>(D183)^2</f>
        <v>1334025</v>
      </c>
      <c r="F183" s="3">
        <f>E183/B183</f>
        <v>5445</v>
      </c>
      <c r="G183" s="3"/>
      <c r="H183" s="3" t="s">
        <v>336</v>
      </c>
      <c r="I183" s="3"/>
      <c r="J183" s="3"/>
    </row>
    <row r="184" spans="1:10" x14ac:dyDescent="0.25">
      <c r="A184" s="3">
        <v>2</v>
      </c>
      <c r="B184" s="3">
        <v>312</v>
      </c>
      <c r="C184" s="3">
        <v>1600</v>
      </c>
      <c r="D184" s="3">
        <f t="shared" ref="D184:D192" si="11">C184-B184</f>
        <v>1288</v>
      </c>
      <c r="E184" s="3">
        <f t="shared" ref="E184:E192" si="12">(D184)^2</f>
        <v>1658944</v>
      </c>
      <c r="F184" s="3">
        <f t="shared" ref="F184:F192" si="13">E184/B184</f>
        <v>5317.1282051282051</v>
      </c>
      <c r="G184" s="3"/>
      <c r="H184" s="3" t="s">
        <v>296</v>
      </c>
      <c r="I184" s="3"/>
      <c r="J184" s="3"/>
    </row>
    <row r="185" spans="1:10" x14ac:dyDescent="0.25">
      <c r="A185" s="3">
        <v>3</v>
      </c>
      <c r="B185" s="3">
        <v>279</v>
      </c>
      <c r="C185" s="3">
        <v>1700</v>
      </c>
      <c r="D185" s="3">
        <f t="shared" si="11"/>
        <v>1421</v>
      </c>
      <c r="E185" s="3">
        <f t="shared" si="12"/>
        <v>2019241</v>
      </c>
      <c r="F185" s="3">
        <f t="shared" si="13"/>
        <v>7237.4229390681003</v>
      </c>
      <c r="G185" s="3"/>
      <c r="H185" s="3" t="s">
        <v>297</v>
      </c>
      <c r="I185" s="3"/>
      <c r="J185" s="3">
        <f>CHIINV(0.05,9)</f>
        <v>16.918977604620451</v>
      </c>
    </row>
    <row r="186" spans="1:10" x14ac:dyDescent="0.25">
      <c r="A186" s="3">
        <v>4</v>
      </c>
      <c r="B186" s="3">
        <v>308</v>
      </c>
      <c r="C186" s="3">
        <v>1875</v>
      </c>
      <c r="D186" s="3">
        <f t="shared" si="11"/>
        <v>1567</v>
      </c>
      <c r="E186" s="3">
        <f t="shared" si="12"/>
        <v>2455489</v>
      </c>
      <c r="F186" s="3">
        <f t="shared" si="13"/>
        <v>7972.3668831168834</v>
      </c>
    </row>
    <row r="187" spans="1:10" x14ac:dyDescent="0.25">
      <c r="A187" s="3">
        <v>5</v>
      </c>
      <c r="B187" s="3">
        <v>199</v>
      </c>
      <c r="C187" s="3">
        <v>1100</v>
      </c>
      <c r="D187" s="3">
        <f t="shared" si="11"/>
        <v>901</v>
      </c>
      <c r="E187" s="3">
        <f t="shared" si="12"/>
        <v>811801</v>
      </c>
      <c r="F187" s="3">
        <f t="shared" si="13"/>
        <v>4079.4020100502512</v>
      </c>
    </row>
    <row r="188" spans="1:10" x14ac:dyDescent="0.25">
      <c r="A188" s="3">
        <v>6</v>
      </c>
      <c r="B188" s="3">
        <v>219</v>
      </c>
      <c r="C188" s="3">
        <v>1550</v>
      </c>
      <c r="D188" s="3">
        <f t="shared" si="11"/>
        <v>1331</v>
      </c>
      <c r="E188" s="3">
        <f t="shared" si="12"/>
        <v>1771561</v>
      </c>
      <c r="F188" s="3">
        <f t="shared" si="13"/>
        <v>8089.3196347031962</v>
      </c>
    </row>
    <row r="189" spans="1:10" x14ac:dyDescent="0.25">
      <c r="A189" s="3">
        <v>7</v>
      </c>
      <c r="B189" s="3">
        <v>405</v>
      </c>
      <c r="C189" s="3">
        <v>2350</v>
      </c>
      <c r="D189" s="3">
        <f t="shared" si="11"/>
        <v>1945</v>
      </c>
      <c r="E189" s="3">
        <f t="shared" si="12"/>
        <v>3783025</v>
      </c>
      <c r="F189" s="3">
        <f t="shared" si="13"/>
        <v>9340.8024691358023</v>
      </c>
    </row>
    <row r="190" spans="1:10" x14ac:dyDescent="0.25">
      <c r="A190" s="3">
        <v>8</v>
      </c>
      <c r="B190" s="3">
        <v>324</v>
      </c>
      <c r="C190" s="3">
        <v>2450</v>
      </c>
      <c r="D190" s="3">
        <f t="shared" si="11"/>
        <v>2126</v>
      </c>
      <c r="E190" s="3">
        <f t="shared" si="12"/>
        <v>4519876</v>
      </c>
      <c r="F190" s="3">
        <f t="shared" si="13"/>
        <v>13950.234567901234</v>
      </c>
    </row>
    <row r="191" spans="1:10" x14ac:dyDescent="0.25">
      <c r="A191" s="3">
        <v>9</v>
      </c>
      <c r="B191" s="3">
        <v>319</v>
      </c>
      <c r="C191" s="3">
        <v>1425</v>
      </c>
      <c r="D191" s="3">
        <f t="shared" si="11"/>
        <v>1106</v>
      </c>
      <c r="E191" s="3">
        <f t="shared" si="12"/>
        <v>1223236</v>
      </c>
      <c r="F191" s="3">
        <f t="shared" si="13"/>
        <v>3834.5956112852664</v>
      </c>
    </row>
    <row r="192" spans="1:10" x14ac:dyDescent="0.25">
      <c r="A192" s="3">
        <v>10</v>
      </c>
      <c r="B192" s="3">
        <v>255</v>
      </c>
      <c r="C192" s="3">
        <v>1700</v>
      </c>
      <c r="D192" s="3">
        <f t="shared" si="11"/>
        <v>1445</v>
      </c>
      <c r="E192" s="3">
        <f t="shared" si="12"/>
        <v>2088025</v>
      </c>
      <c r="F192" s="3">
        <f t="shared" si="13"/>
        <v>8188.333333333333</v>
      </c>
    </row>
    <row r="193" spans="1:10" x14ac:dyDescent="0.25">
      <c r="A193" s="2" t="s">
        <v>123</v>
      </c>
      <c r="B193" s="2">
        <f>SUM(B183:B192)</f>
        <v>2865</v>
      </c>
      <c r="C193" s="2">
        <f>SUM(C183:C192)</f>
        <v>17150</v>
      </c>
      <c r="D193" s="3"/>
      <c r="E193" s="3"/>
      <c r="F193" s="2">
        <f>SUM(F183:F192)</f>
        <v>73454.605653722276</v>
      </c>
    </row>
    <row r="197" spans="1:10" x14ac:dyDescent="0.25">
      <c r="A197" s="14" t="s">
        <v>39</v>
      </c>
    </row>
    <row r="199" spans="1:10" x14ac:dyDescent="0.25">
      <c r="A199" s="2" t="s">
        <v>282</v>
      </c>
      <c r="B199" s="2" t="s">
        <v>283</v>
      </c>
      <c r="C199" s="2" t="s">
        <v>284</v>
      </c>
      <c r="D199" s="2" t="s">
        <v>285</v>
      </c>
      <c r="E199" s="2" t="s">
        <v>286</v>
      </c>
      <c r="F199" s="2" t="s">
        <v>287</v>
      </c>
    </row>
    <row r="200" spans="1:10" x14ac:dyDescent="0.25">
      <c r="A200" s="3">
        <v>1</v>
      </c>
      <c r="B200" s="3">
        <v>100</v>
      </c>
      <c r="C200" s="3">
        <v>10</v>
      </c>
      <c r="D200" s="3">
        <f>C200-B200</f>
        <v>-90</v>
      </c>
      <c r="E200" s="3">
        <f>(D200)^2</f>
        <v>8100</v>
      </c>
      <c r="F200" s="3">
        <f>E200/B200</f>
        <v>81</v>
      </c>
      <c r="G200" s="3"/>
      <c r="H200" s="3" t="s">
        <v>337</v>
      </c>
      <c r="I200" s="3"/>
      <c r="J200" s="3"/>
    </row>
    <row r="201" spans="1:10" x14ac:dyDescent="0.25">
      <c r="A201" s="3">
        <v>2</v>
      </c>
      <c r="B201" s="3">
        <v>200</v>
      </c>
      <c r="C201" s="3">
        <v>20</v>
      </c>
      <c r="D201" s="3">
        <f t="shared" ref="D201:D205" si="14">C201-B201</f>
        <v>-180</v>
      </c>
      <c r="E201" s="3">
        <f t="shared" ref="E201:E205" si="15">(D201)^2</f>
        <v>32400</v>
      </c>
      <c r="F201" s="3">
        <f t="shared" ref="F201:F205" si="16">E201/B201</f>
        <v>162</v>
      </c>
      <c r="G201" s="3"/>
      <c r="H201" s="3" t="s">
        <v>296</v>
      </c>
      <c r="I201" s="3"/>
      <c r="J201" s="3"/>
    </row>
    <row r="202" spans="1:10" x14ac:dyDescent="0.25">
      <c r="A202" s="3">
        <v>3</v>
      </c>
      <c r="B202" s="3">
        <v>300</v>
      </c>
      <c r="C202" s="3">
        <v>30</v>
      </c>
      <c r="D202" s="3">
        <f t="shared" si="14"/>
        <v>-270</v>
      </c>
      <c r="E202" s="3">
        <f t="shared" si="15"/>
        <v>72900</v>
      </c>
      <c r="F202" s="3">
        <f t="shared" si="16"/>
        <v>243</v>
      </c>
      <c r="G202" s="3"/>
      <c r="H202" s="3" t="s">
        <v>297</v>
      </c>
      <c r="I202" s="3"/>
      <c r="J202" s="3">
        <f>CHIINV(0.05,5)</f>
        <v>11.070497693516353</v>
      </c>
    </row>
    <row r="203" spans="1:10" x14ac:dyDescent="0.25">
      <c r="A203" s="3">
        <v>4</v>
      </c>
      <c r="B203" s="3">
        <v>400</v>
      </c>
      <c r="C203" s="3">
        <v>40</v>
      </c>
      <c r="D203" s="3">
        <f t="shared" si="14"/>
        <v>-360</v>
      </c>
      <c r="E203" s="3">
        <f t="shared" si="15"/>
        <v>129600</v>
      </c>
      <c r="F203" s="3">
        <f t="shared" si="16"/>
        <v>324</v>
      </c>
    </row>
    <row r="204" spans="1:10" x14ac:dyDescent="0.25">
      <c r="A204" s="3">
        <v>5</v>
      </c>
      <c r="B204" s="3">
        <v>500</v>
      </c>
      <c r="C204" s="3">
        <v>50</v>
      </c>
      <c r="D204" s="3">
        <f t="shared" si="14"/>
        <v>-450</v>
      </c>
      <c r="E204" s="3">
        <f t="shared" si="15"/>
        <v>202500</v>
      </c>
      <c r="F204" s="3">
        <f t="shared" si="16"/>
        <v>405</v>
      </c>
    </row>
    <row r="205" spans="1:10" x14ac:dyDescent="0.25">
      <c r="A205" s="3">
        <v>6</v>
      </c>
      <c r="B205" s="3">
        <v>600</v>
      </c>
      <c r="C205" s="3">
        <v>60</v>
      </c>
      <c r="D205" s="3">
        <f t="shared" si="14"/>
        <v>-540</v>
      </c>
      <c r="E205" s="3">
        <f t="shared" si="15"/>
        <v>291600</v>
      </c>
      <c r="F205" s="3">
        <f t="shared" si="16"/>
        <v>486</v>
      </c>
    </row>
    <row r="206" spans="1:10" x14ac:dyDescent="0.25">
      <c r="A206" s="2" t="s">
        <v>123</v>
      </c>
      <c r="B206" s="2">
        <f>SUM(B200:B205)</f>
        <v>2100</v>
      </c>
      <c r="C206" s="2">
        <f>SUM(C200:C205)</f>
        <v>210</v>
      </c>
      <c r="D206" s="3"/>
      <c r="E206" s="3"/>
      <c r="F206" s="2">
        <f>SUM(F200:F205)</f>
        <v>1701</v>
      </c>
    </row>
    <row r="209" spans="1:10" x14ac:dyDescent="0.25">
      <c r="A209" s="14" t="s">
        <v>47</v>
      </c>
    </row>
    <row r="211" spans="1:10" x14ac:dyDescent="0.25">
      <c r="A211" s="2" t="s">
        <v>282</v>
      </c>
      <c r="B211" s="2" t="s">
        <v>283</v>
      </c>
      <c r="C211" s="2" t="s">
        <v>284</v>
      </c>
      <c r="D211" s="2" t="s">
        <v>285</v>
      </c>
      <c r="E211" s="2" t="s">
        <v>286</v>
      </c>
      <c r="F211" s="2" t="s">
        <v>287</v>
      </c>
      <c r="G211" s="3"/>
      <c r="H211" s="3"/>
      <c r="I211" s="3"/>
      <c r="J211" s="3"/>
    </row>
    <row r="212" spans="1:10" x14ac:dyDescent="0.25">
      <c r="A212" s="3">
        <v>1</v>
      </c>
      <c r="B212" s="3">
        <v>140</v>
      </c>
      <c r="C212" s="3">
        <v>60</v>
      </c>
      <c r="D212" s="3">
        <f>C212-B212</f>
        <v>-80</v>
      </c>
      <c r="E212" s="3">
        <f>(D212)^2</f>
        <v>6400</v>
      </c>
      <c r="F212" s="3">
        <f>E212/B212</f>
        <v>45.714285714285715</v>
      </c>
      <c r="G212" s="3"/>
      <c r="H212" s="3" t="s">
        <v>338</v>
      </c>
      <c r="I212" s="3"/>
      <c r="J212" s="3"/>
    </row>
    <row r="213" spans="1:10" x14ac:dyDescent="0.25">
      <c r="A213" s="3">
        <v>2</v>
      </c>
      <c r="B213" s="3">
        <v>155</v>
      </c>
      <c r="C213" s="3">
        <v>62</v>
      </c>
      <c r="D213" s="3">
        <f t="shared" ref="D213:D218" si="17">C213-B213</f>
        <v>-93</v>
      </c>
      <c r="E213" s="3">
        <f t="shared" ref="E213:E218" si="18">(D213)^2</f>
        <v>8649</v>
      </c>
      <c r="F213" s="3">
        <f t="shared" ref="F213:F218" si="19">E213/B213</f>
        <v>55.8</v>
      </c>
      <c r="G213" s="3"/>
      <c r="H213" s="3" t="s">
        <v>296</v>
      </c>
      <c r="I213" s="3"/>
      <c r="J213" s="3"/>
    </row>
    <row r="214" spans="1:10" x14ac:dyDescent="0.25">
      <c r="A214" s="3">
        <v>3</v>
      </c>
      <c r="B214" s="3">
        <v>159</v>
      </c>
      <c r="C214" s="3">
        <v>67</v>
      </c>
      <c r="D214" s="3">
        <f t="shared" si="17"/>
        <v>-92</v>
      </c>
      <c r="E214" s="3">
        <f t="shared" si="18"/>
        <v>8464</v>
      </c>
      <c r="F214" s="3">
        <f t="shared" si="19"/>
        <v>53.232704402515722</v>
      </c>
      <c r="G214" s="3"/>
      <c r="H214" s="3" t="s">
        <v>297</v>
      </c>
      <c r="I214" s="3"/>
      <c r="J214" s="3">
        <f>CHIINV(0.05,6)</f>
        <v>12.591587243743978</v>
      </c>
    </row>
    <row r="215" spans="1:10" x14ac:dyDescent="0.25">
      <c r="A215" s="3">
        <v>4</v>
      </c>
      <c r="B215" s="3">
        <v>179</v>
      </c>
      <c r="C215" s="3">
        <v>70</v>
      </c>
      <c r="D215" s="3">
        <f t="shared" si="17"/>
        <v>-109</v>
      </c>
      <c r="E215" s="3">
        <f t="shared" si="18"/>
        <v>11881</v>
      </c>
      <c r="F215" s="3">
        <f t="shared" si="19"/>
        <v>66.374301675977648</v>
      </c>
      <c r="G215" s="3"/>
      <c r="H215" s="3"/>
      <c r="I215" s="3"/>
      <c r="J215" s="3"/>
    </row>
    <row r="216" spans="1:10" x14ac:dyDescent="0.25">
      <c r="A216" s="3">
        <v>5</v>
      </c>
      <c r="B216" s="3">
        <v>192</v>
      </c>
      <c r="C216" s="3">
        <v>71</v>
      </c>
      <c r="D216" s="3">
        <f t="shared" si="17"/>
        <v>-121</v>
      </c>
      <c r="E216" s="3">
        <f t="shared" si="18"/>
        <v>14641</v>
      </c>
      <c r="F216" s="3">
        <f t="shared" si="19"/>
        <v>76.255208333333329</v>
      </c>
      <c r="G216" s="3"/>
      <c r="H216" s="3"/>
      <c r="I216" s="3"/>
      <c r="J216" s="3"/>
    </row>
    <row r="217" spans="1:10" x14ac:dyDescent="0.25">
      <c r="A217" s="3">
        <v>6</v>
      </c>
      <c r="B217" s="3">
        <v>200</v>
      </c>
      <c r="C217" s="3">
        <v>72</v>
      </c>
      <c r="D217" s="3">
        <f t="shared" si="17"/>
        <v>-128</v>
      </c>
      <c r="E217" s="3">
        <f t="shared" si="18"/>
        <v>16384</v>
      </c>
      <c r="F217" s="3">
        <f t="shared" si="19"/>
        <v>81.92</v>
      </c>
      <c r="G217" s="3"/>
      <c r="H217" s="3"/>
      <c r="I217" s="3"/>
      <c r="J217" s="3"/>
    </row>
    <row r="218" spans="1:10" x14ac:dyDescent="0.25">
      <c r="A218" s="3">
        <v>7</v>
      </c>
      <c r="B218" s="3">
        <v>212</v>
      </c>
      <c r="C218" s="3">
        <v>75</v>
      </c>
      <c r="D218" s="3">
        <f t="shared" si="17"/>
        <v>-137</v>
      </c>
      <c r="E218" s="3">
        <f t="shared" si="18"/>
        <v>18769</v>
      </c>
      <c r="F218" s="3">
        <f t="shared" si="19"/>
        <v>88.533018867924525</v>
      </c>
      <c r="G218" s="3"/>
      <c r="H218" s="3"/>
      <c r="I218" s="3"/>
      <c r="J218" s="3"/>
    </row>
    <row r="219" spans="1:10" x14ac:dyDescent="0.25">
      <c r="A219" s="2" t="s">
        <v>123</v>
      </c>
      <c r="B219" s="2">
        <f>SUM(B212:B218)</f>
        <v>1237</v>
      </c>
      <c r="C219" s="2">
        <f>SUM(C212:C218)</f>
        <v>477</v>
      </c>
      <c r="D219" s="3"/>
      <c r="E219" s="3"/>
      <c r="F219" s="2">
        <f>SUM(F212:F218)</f>
        <v>467.82951899403696</v>
      </c>
      <c r="G219" s="3"/>
      <c r="H219" s="3"/>
      <c r="I219" s="3"/>
      <c r="J219" s="3"/>
    </row>
    <row r="222" spans="1:10" x14ac:dyDescent="0.25">
      <c r="A222" s="14" t="s">
        <v>57</v>
      </c>
    </row>
    <row r="224" spans="1:10" x14ac:dyDescent="0.25">
      <c r="A224" s="2" t="s">
        <v>282</v>
      </c>
      <c r="B224" s="2" t="s">
        <v>283</v>
      </c>
      <c r="C224" s="2" t="s">
        <v>284</v>
      </c>
      <c r="D224" s="2" t="s">
        <v>285</v>
      </c>
      <c r="E224" s="2" t="s">
        <v>286</v>
      </c>
      <c r="F224" s="2" t="s">
        <v>287</v>
      </c>
    </row>
    <row r="225" spans="1:10" x14ac:dyDescent="0.25">
      <c r="A225" s="3">
        <v>1</v>
      </c>
      <c r="B225" s="3">
        <v>90</v>
      </c>
      <c r="C225" s="3">
        <v>1000</v>
      </c>
      <c r="D225" s="3">
        <f>C225-B225</f>
        <v>910</v>
      </c>
      <c r="E225" s="3">
        <f>(D225)^2</f>
        <v>828100</v>
      </c>
      <c r="F225" s="3">
        <f>E225/B225</f>
        <v>9201.1111111111113</v>
      </c>
      <c r="G225" s="3"/>
      <c r="H225" s="3" t="s">
        <v>339</v>
      </c>
      <c r="I225" s="3"/>
      <c r="J225" s="3"/>
    </row>
    <row r="226" spans="1:10" x14ac:dyDescent="0.25">
      <c r="A226" s="3">
        <v>2</v>
      </c>
      <c r="B226" s="3">
        <v>120</v>
      </c>
      <c r="C226" s="3">
        <v>1300</v>
      </c>
      <c r="D226" s="3">
        <f t="shared" ref="D226:D229" si="20">C226-B226</f>
        <v>1180</v>
      </c>
      <c r="E226" s="3">
        <f t="shared" ref="E226:E229" si="21">(D226)^2</f>
        <v>1392400</v>
      </c>
      <c r="F226" s="3">
        <f t="shared" ref="F226:F229" si="22">E226/B226</f>
        <v>11603.333333333334</v>
      </c>
      <c r="G226" s="3"/>
      <c r="H226" s="3" t="s">
        <v>340</v>
      </c>
      <c r="I226" s="3"/>
      <c r="J226" s="3"/>
    </row>
    <row r="227" spans="1:10" x14ac:dyDescent="0.25">
      <c r="A227" s="3">
        <v>3</v>
      </c>
      <c r="B227" s="3">
        <v>150</v>
      </c>
      <c r="C227" s="3">
        <v>1800</v>
      </c>
      <c r="D227" s="3">
        <f t="shared" si="20"/>
        <v>1650</v>
      </c>
      <c r="E227" s="3">
        <f t="shared" si="21"/>
        <v>2722500</v>
      </c>
      <c r="F227" s="3">
        <f t="shared" si="22"/>
        <v>18150</v>
      </c>
      <c r="G227" s="3"/>
      <c r="H227" s="3" t="s">
        <v>297</v>
      </c>
      <c r="I227" s="3"/>
      <c r="J227" s="3">
        <f>CHIINV(0.05,4)</f>
        <v>9.4877290367811575</v>
      </c>
    </row>
    <row r="228" spans="1:10" x14ac:dyDescent="0.25">
      <c r="A228" s="3">
        <v>4</v>
      </c>
      <c r="B228" s="3">
        <v>100</v>
      </c>
      <c r="C228" s="3">
        <v>1200</v>
      </c>
      <c r="D228" s="3">
        <f t="shared" si="20"/>
        <v>1100</v>
      </c>
      <c r="E228" s="3">
        <f t="shared" si="21"/>
        <v>1210000</v>
      </c>
      <c r="F228" s="3">
        <f t="shared" si="22"/>
        <v>12100</v>
      </c>
    </row>
    <row r="229" spans="1:10" x14ac:dyDescent="0.25">
      <c r="A229" s="3">
        <v>5</v>
      </c>
      <c r="B229" s="3">
        <v>130</v>
      </c>
      <c r="C229" s="3">
        <v>1380</v>
      </c>
      <c r="D229" s="3">
        <f t="shared" si="20"/>
        <v>1250</v>
      </c>
      <c r="E229" s="3">
        <f t="shared" si="21"/>
        <v>1562500</v>
      </c>
      <c r="F229" s="3">
        <f t="shared" si="22"/>
        <v>12019.23076923077</v>
      </c>
    </row>
    <row r="230" spans="1:10" x14ac:dyDescent="0.25">
      <c r="A230" s="2" t="s">
        <v>123</v>
      </c>
      <c r="B230" s="2">
        <f>SUM(B225:B229)</f>
        <v>590</v>
      </c>
      <c r="C230" s="2">
        <f>SUM(C225:C229)</f>
        <v>6680</v>
      </c>
      <c r="D230" s="3"/>
      <c r="E230" s="3"/>
      <c r="F230" s="2">
        <f>SUM(F225:F229)</f>
        <v>63073.675213675218</v>
      </c>
    </row>
    <row r="234" spans="1:10" x14ac:dyDescent="0.25">
      <c r="A234" s="2" t="s">
        <v>137</v>
      </c>
    </row>
    <row r="236" spans="1:10" x14ac:dyDescent="0.25">
      <c r="A236" s="2" t="s">
        <v>282</v>
      </c>
      <c r="B236" s="2" t="s">
        <v>283</v>
      </c>
      <c r="C236" s="2" t="s">
        <v>284</v>
      </c>
      <c r="D236" s="2" t="s">
        <v>285</v>
      </c>
      <c r="E236" s="2" t="s">
        <v>286</v>
      </c>
      <c r="F236" s="2" t="s">
        <v>287</v>
      </c>
      <c r="G236" s="3"/>
      <c r="H236" s="3"/>
      <c r="I236" s="3"/>
      <c r="J236" s="3"/>
    </row>
    <row r="237" spans="1:10" x14ac:dyDescent="0.25">
      <c r="A237" s="3">
        <v>1</v>
      </c>
      <c r="B237" s="3">
        <v>130</v>
      </c>
      <c r="C237" s="3">
        <v>10</v>
      </c>
      <c r="D237" s="3">
        <f>C237-B237</f>
        <v>-120</v>
      </c>
      <c r="E237" s="3">
        <f>(D237)^2</f>
        <v>14400</v>
      </c>
      <c r="F237" s="3">
        <f>E237/B237</f>
        <v>110.76923076923077</v>
      </c>
      <c r="G237" s="3"/>
      <c r="H237" s="3" t="s">
        <v>338</v>
      </c>
      <c r="I237" s="3"/>
      <c r="J237" s="3"/>
    </row>
    <row r="238" spans="1:10" x14ac:dyDescent="0.25">
      <c r="A238" s="3">
        <v>2</v>
      </c>
      <c r="B238" s="3">
        <v>125</v>
      </c>
      <c r="C238" s="3">
        <v>20</v>
      </c>
      <c r="D238" s="3">
        <f t="shared" ref="D238:D243" si="23">C238-B238</f>
        <v>-105</v>
      </c>
      <c r="E238" s="3">
        <f t="shared" ref="E238:E243" si="24">(D238)^2</f>
        <v>11025</v>
      </c>
      <c r="F238" s="3">
        <f t="shared" ref="F238:F243" si="25">E238/B238</f>
        <v>88.2</v>
      </c>
      <c r="G238" s="3"/>
      <c r="H238" s="3" t="s">
        <v>296</v>
      </c>
      <c r="I238" s="3"/>
      <c r="J238" s="3"/>
    </row>
    <row r="239" spans="1:10" x14ac:dyDescent="0.25">
      <c r="A239" s="3">
        <v>3</v>
      </c>
      <c r="B239" s="3">
        <v>120</v>
      </c>
      <c r="C239" s="3">
        <v>30</v>
      </c>
      <c r="D239" s="3">
        <f t="shared" si="23"/>
        <v>-90</v>
      </c>
      <c r="E239" s="3">
        <f t="shared" si="24"/>
        <v>8100</v>
      </c>
      <c r="F239" s="3">
        <f t="shared" si="25"/>
        <v>67.5</v>
      </c>
      <c r="G239" s="3"/>
      <c r="H239" s="3" t="s">
        <v>297</v>
      </c>
      <c r="I239" s="3"/>
      <c r="J239" s="3">
        <f>CHIINV(0.05,6)</f>
        <v>12.591587243743978</v>
      </c>
    </row>
    <row r="240" spans="1:10" x14ac:dyDescent="0.25">
      <c r="A240" s="3">
        <v>4</v>
      </c>
      <c r="B240" s="3">
        <v>115</v>
      </c>
      <c r="C240" s="3">
        <v>35</v>
      </c>
      <c r="D240" s="3">
        <f t="shared" si="23"/>
        <v>-80</v>
      </c>
      <c r="E240" s="3">
        <f t="shared" si="24"/>
        <v>6400</v>
      </c>
      <c r="F240" s="3">
        <f t="shared" si="25"/>
        <v>55.652173913043477</v>
      </c>
      <c r="G240" s="3"/>
      <c r="H240" s="3"/>
      <c r="I240" s="3"/>
      <c r="J240" s="3"/>
    </row>
    <row r="241" spans="1:10" x14ac:dyDescent="0.25">
      <c r="A241" s="3">
        <v>5</v>
      </c>
      <c r="B241" s="3">
        <v>110</v>
      </c>
      <c r="C241" s="3">
        <v>40</v>
      </c>
      <c r="D241" s="3">
        <f t="shared" si="23"/>
        <v>-70</v>
      </c>
      <c r="E241" s="3">
        <f t="shared" si="24"/>
        <v>4900</v>
      </c>
      <c r="F241" s="3">
        <f t="shared" si="25"/>
        <v>44.545454545454547</v>
      </c>
      <c r="G241" s="3"/>
      <c r="H241" s="3"/>
      <c r="I241" s="3"/>
      <c r="J241" s="3"/>
    </row>
    <row r="242" spans="1:10" x14ac:dyDescent="0.25">
      <c r="A242" s="3">
        <v>6</v>
      </c>
      <c r="B242" s="3">
        <v>108</v>
      </c>
      <c r="C242" s="3">
        <v>45</v>
      </c>
      <c r="D242" s="3">
        <f t="shared" si="23"/>
        <v>-63</v>
      </c>
      <c r="E242" s="3">
        <f t="shared" si="24"/>
        <v>3969</v>
      </c>
      <c r="F242" s="3">
        <f t="shared" si="25"/>
        <v>36.75</v>
      </c>
      <c r="G242" s="3"/>
      <c r="H242" s="3"/>
      <c r="I242" s="3"/>
      <c r="J242" s="3"/>
    </row>
    <row r="243" spans="1:10" x14ac:dyDescent="0.25">
      <c r="A243" s="3">
        <v>7</v>
      </c>
      <c r="B243" s="3">
        <v>107</v>
      </c>
      <c r="C243" s="3">
        <v>48</v>
      </c>
      <c r="D243" s="3">
        <f t="shared" si="23"/>
        <v>-59</v>
      </c>
      <c r="E243" s="3">
        <f t="shared" si="24"/>
        <v>3481</v>
      </c>
      <c r="F243" s="3">
        <f t="shared" si="25"/>
        <v>32.532710280373834</v>
      </c>
      <c r="G243" s="3"/>
      <c r="H243" s="3"/>
      <c r="I243" s="3"/>
      <c r="J243" s="3"/>
    </row>
    <row r="244" spans="1:10" x14ac:dyDescent="0.25">
      <c r="A244" s="2" t="s">
        <v>123</v>
      </c>
      <c r="B244" s="2">
        <f>SUM(B237:B243)</f>
        <v>815</v>
      </c>
      <c r="C244" s="2">
        <f>SUM(C237:C243)</f>
        <v>228</v>
      </c>
      <c r="D244" s="3"/>
      <c r="E244" s="3"/>
      <c r="F244" s="2">
        <f>SUM(F237:F243)</f>
        <v>435.94956950810263</v>
      </c>
      <c r="G244" s="3"/>
      <c r="H244" s="3"/>
      <c r="I244" s="3"/>
      <c r="J244" s="3"/>
    </row>
    <row r="248" spans="1:10" x14ac:dyDescent="0.25">
      <c r="A248" s="14" t="s">
        <v>147</v>
      </c>
    </row>
    <row r="250" spans="1:10" x14ac:dyDescent="0.25">
      <c r="A250" s="2" t="s">
        <v>282</v>
      </c>
      <c r="B250" s="2" t="s">
        <v>283</v>
      </c>
      <c r="C250" s="2" t="s">
        <v>284</v>
      </c>
      <c r="D250" s="2" t="s">
        <v>285</v>
      </c>
      <c r="E250" s="2" t="s">
        <v>286</v>
      </c>
      <c r="F250" s="2" t="s">
        <v>287</v>
      </c>
      <c r="G250" s="3"/>
      <c r="H250" s="3"/>
      <c r="I250" s="3"/>
      <c r="J250" s="3"/>
    </row>
    <row r="251" spans="1:10" x14ac:dyDescent="0.25">
      <c r="A251" s="3">
        <v>1</v>
      </c>
      <c r="B251" s="3">
        <v>5</v>
      </c>
      <c r="C251" s="3">
        <v>8</v>
      </c>
      <c r="D251" s="3">
        <f>C251-B251</f>
        <v>3</v>
      </c>
      <c r="E251" s="3">
        <f>D251^2</f>
        <v>9</v>
      </c>
      <c r="F251" s="3">
        <f>E251/B251</f>
        <v>1.8</v>
      </c>
      <c r="G251" s="3"/>
      <c r="H251" s="3" t="s">
        <v>339</v>
      </c>
      <c r="I251" s="3"/>
      <c r="J251" s="3"/>
    </row>
    <row r="252" spans="1:10" x14ac:dyDescent="0.25">
      <c r="A252" s="3">
        <v>2</v>
      </c>
      <c r="B252" s="3">
        <v>4</v>
      </c>
      <c r="C252" s="3">
        <v>20</v>
      </c>
      <c r="D252" s="3">
        <f t="shared" ref="D252:D255" si="26">C252-B252</f>
        <v>16</v>
      </c>
      <c r="E252" s="3">
        <f t="shared" ref="E252:E255" si="27">D252^2</f>
        <v>256</v>
      </c>
      <c r="F252" s="3">
        <f t="shared" ref="F252:F255" si="28">E252/B252</f>
        <v>64</v>
      </c>
      <c r="G252" s="3"/>
      <c r="H252" s="3" t="s">
        <v>296</v>
      </c>
      <c r="I252" s="3"/>
      <c r="J252" s="3"/>
    </row>
    <row r="253" spans="1:10" x14ac:dyDescent="0.25">
      <c r="A253" s="3">
        <v>3</v>
      </c>
      <c r="B253" s="3">
        <v>3</v>
      </c>
      <c r="C253" s="3">
        <v>38</v>
      </c>
      <c r="D253" s="3">
        <f t="shared" si="26"/>
        <v>35</v>
      </c>
      <c r="E253" s="3">
        <f t="shared" si="27"/>
        <v>1225</v>
      </c>
      <c r="F253" s="3">
        <f t="shared" si="28"/>
        <v>408.33333333333331</v>
      </c>
      <c r="G253" s="3"/>
      <c r="H253" s="3" t="s">
        <v>341</v>
      </c>
      <c r="I253" s="3"/>
      <c r="J253" s="3">
        <f>CHIINV(0.05,4)</f>
        <v>9.4877290367811575</v>
      </c>
    </row>
    <row r="254" spans="1:10" x14ac:dyDescent="0.25">
      <c r="A254" s="3">
        <v>4</v>
      </c>
      <c r="B254" s="3">
        <v>2</v>
      </c>
      <c r="C254" s="3">
        <v>60</v>
      </c>
      <c r="D254" s="3">
        <f t="shared" si="26"/>
        <v>58</v>
      </c>
      <c r="E254" s="3">
        <f t="shared" si="27"/>
        <v>3364</v>
      </c>
      <c r="F254" s="3">
        <f t="shared" si="28"/>
        <v>1682</v>
      </c>
      <c r="G254" s="3"/>
      <c r="H254" s="3"/>
      <c r="I254" s="3"/>
      <c r="J254" s="3"/>
    </row>
    <row r="255" spans="1:10" x14ac:dyDescent="0.25">
      <c r="A255" s="3">
        <v>5</v>
      </c>
      <c r="B255" s="3">
        <v>1</v>
      </c>
      <c r="C255" s="3">
        <v>90</v>
      </c>
      <c r="D255" s="3">
        <f t="shared" si="26"/>
        <v>89</v>
      </c>
      <c r="E255" s="3">
        <f t="shared" si="27"/>
        <v>7921</v>
      </c>
      <c r="F255" s="3">
        <f t="shared" si="28"/>
        <v>7921</v>
      </c>
      <c r="G255" s="3"/>
      <c r="H255" s="3"/>
      <c r="I255" s="3"/>
      <c r="J255" s="3"/>
    </row>
    <row r="256" spans="1:10" x14ac:dyDescent="0.25">
      <c r="A256" s="2" t="s">
        <v>123</v>
      </c>
      <c r="B256" s="2">
        <f>SUM(B251:B255)</f>
        <v>15</v>
      </c>
      <c r="C256" s="2">
        <f>SUM(C251:C255)</f>
        <v>216</v>
      </c>
      <c r="D256" s="3"/>
      <c r="E256" s="3"/>
      <c r="F256" s="2">
        <f>SUM(F251:F255)</f>
        <v>10077.133333333333</v>
      </c>
      <c r="G256" s="3"/>
      <c r="H256" s="3"/>
      <c r="I256" s="3"/>
      <c r="J256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n 3 X V C z G e j S m A A A A 9 w A A A B I A H A B D b 2 5 m a W c v U G F j a 2 F n Z S 5 4 b W w g o h g A K K A U A A A A A A A A A A A A A A A A A A A A A A A A A A A A h Y 9 L C s I w G I S v U r J v X i J I + Z s u X A l W B E H c h j S 2 w T a V J j W 9 m w u P 5 B W s a N W d y 5 n 5 B m b u 1 x t k Q 1 N H F 9 0 5 0 9 o U M U x R p K 1 q C 2 P L F P X + G C 9 Q J m A r 1 U m W O h p h 6 5 L B m R R V 3 p 8 T Q k I I O M x w 2 5 W E U 8 r I I V / v V K U b G R v r v L R K o 0 + r + N 9 C A v a v M Y J j R u e Y c c 4 x B T K 5 k B v 7 J f g 4 + J n + m L D s a 9 9 3 W m g b r z Z A J g n k f U I 8 A F B L A w Q U A A I A C A B 6 f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n 3 X V C i K R 7 g O A A A A E Q A A A B M A H A B G b 3 J t d W x h c y 9 T Z W N 0 a W 9 u M S 5 t I K I Y A C i g F A A A A A A A A A A A A A A A A A A A A A A A A A A A A C t O T S 7 J z M 9 T C I b Q h t Y A U E s B A i 0 A F A A C A A g A e n 3 X V C z G e j S m A A A A 9 w A A A B I A A A A A A A A A A A A A A A A A A A A A A E N v b m Z p Z y 9 Q Y W N r Y W d l L n h t b F B L A Q I t A B Q A A g A I A H p 9 1 1 Q P y u m r p A A A A O k A A A A T A A A A A A A A A A A A A A A A A P I A A A B b Q 2 9 u d G V u d F 9 U e X B l c 1 0 u e G 1 s U E s B A i 0 A F A A C A A g A e n 3 X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C R h Z Y N N w R L k u O J 3 h / B X w w A A A A A A g A A A A A A E G Y A A A A B A A A g A A A A 5 1 n u 9 k K g F 7 V K f z E 0 z 2 d x l P O Z w 0 v T o 3 / z I C W G 8 / t G 9 o s A A A A A D o A A A A A C A A A g A A A A B T U c t E O J X y o T Q c T y h m U u H M x U K R Y m Z X s z O x P f Q X h u 3 w p Q A A A A y i X c i C W y T y 8 H L P T + l X k E A S 4 z D f i V H p Z 2 L 6 F v 5 h p u q E x b D l m W g s n 0 e i G J V 9 0 e 5 b Q w + j G a X T 4 Z O + P r c 7 e L f R 6 0 R 4 u I 9 a V j x C 6 t 9 U D I K T O h f h 5 A A A A A R t A c D R 2 D t W h b A r b I 3 z K y h A + I m q 3 S Y 0 K I 6 A 6 f 8 6 8 b + s T C t K Z P k W j T X y H l N x m B k s d j 4 Z z 7 D O a W T b x o C 5 z m x w x / g w = = < / D a t a M a s h u p > 
</file>

<file path=customXml/itemProps1.xml><?xml version="1.0" encoding="utf-8"?>
<ds:datastoreItem xmlns:ds="http://schemas.openxmlformats.org/officeDocument/2006/customXml" ds:itemID="{EA6E09D8-84D1-4A63-80D2-D5AEB49B8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Mean</vt:lpstr>
      <vt:lpstr>Median</vt:lpstr>
      <vt:lpstr>Mode</vt:lpstr>
      <vt:lpstr>Quartile</vt:lpstr>
      <vt:lpstr>Mean Deviation</vt:lpstr>
      <vt:lpstr>Standard Deviation</vt:lpstr>
      <vt:lpstr>correlation</vt:lpstr>
      <vt:lpstr>Regression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</dc:creator>
  <cp:lastModifiedBy>MyLap</cp:lastModifiedBy>
  <dcterms:created xsi:type="dcterms:W3CDTF">2022-06-09T08:56:22Z</dcterms:created>
  <dcterms:modified xsi:type="dcterms:W3CDTF">2022-06-29T09:29:50Z</dcterms:modified>
</cp:coreProperties>
</file>