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ersons/person.xml" ContentType="application/vnd.ms-excel.person+xml"/>
  <Override PartName="/xl/worksheets/sheet2.xml" ContentType="application/vnd.openxmlformats-officedocument.spreadsheetml.worksheet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1"/>
  <bookViews>
    <workbookView xWindow="360" yWindow="15" windowWidth="20955" windowHeight="9720" activeTab="1"/>
  </bookViews>
  <sheets>
    <sheet name="Автоматизированный расчет" sheetId="1" state="visible" r:id="rId3"/>
    <sheet name="Соответствие" sheetId="2" state="visible" r:id="rId4"/>
    <sheet name="SummaryReport" sheetId="3" state="visible" r:id="rId5"/>
    <sheet name="Результаты всех тестов" sheetId="4" state="visible" r:id="rId6"/>
  </sheets>
  <calcPr/>
  <pivotCaches>
    <pivotCache cacheId="0" r:id="rId1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tc={0030006F-00B4-4C40-8ECA-00EB00F6006A}</author>
    <author>tc={00F700F9-0012-4CB2-8CEE-00D100220054}</author>
    <author>tc={00F100CF-00AC-46BA-8CB0-00D200E2006E}</author>
    <author>tc={00B80000-0081-4D4E-897D-009E00B800DA}</author>
    <author>tc={00F400E8-00EF-4BA0-882F-008000EC0077}</author>
    <author>tc={003A00BB-00F3-4FCB-AC14-00F900B90012}</author>
  </authors>
  <commentList>
    <comment ref="N2" authorId="0" xr:uid="{0030006F-00B4-4C40-8ECA-00EB00F6006A}">
      <text>
        <r>
          <rPr>
            <b/>
            <sz val="9"/>
            <rFont val="Tahoma"/>
          </rPr>
          <t xml:space="preserve">Microsoft Office User:</t>
        </r>
        <r>
          <rPr>
            <sz val="9"/>
            <rFont val="Tahoma"/>
          </rPr>
          <t xml:space="preserve">
Duration - заполняется на основе данных после выполнения итерации соотвествующего скрипта в Vugen'е
</t>
        </r>
      </text>
    </comment>
    <comment ref="O2" authorId="1" xr:uid="{00F700F9-0012-4CB2-8CEE-00D100220054}">
      <text>
        <r>
          <rPr>
            <b/>
            <sz val="9"/>
            <rFont val="Tahoma"/>
          </rPr>
          <t xml:space="preserve">Microsoft Office User:</t>
        </r>
        <r>
          <rPr>
            <sz val="9"/>
            <rFont val="Tahoma"/>
          </rPr>
          <t xml:space="preserve">
ThinkTime - заполнятеся на основе ThinkTime'ов по выполнению одной итерации соотвествующего скрипта в Vugen'е
</t>
        </r>
      </text>
    </comment>
    <comment ref="P2" authorId="2" xr:uid="{00F100CF-00AC-46BA-8CB0-00D200E2006E}">
      <text>
        <r>
          <rPr>
            <b/>
            <sz val="9"/>
            <rFont val="Tahoma"/>
          </rPr>
          <t xml:space="preserve">Microsoft Office User:</t>
        </r>
        <r>
          <rPr>
            <sz val="9"/>
            <rFont val="Tahoma"/>
          </rPr>
          <t xml:space="preserve">
Общая длительность одной итерации скрипта ThinkTime + Duration, считается автоматически
</t>
        </r>
      </text>
    </comment>
    <comment ref="Q2" authorId="3" xr:uid="{00B80000-0081-4D4E-897D-009E00B800DA}">
      <text>
        <r>
          <rPr>
            <b/>
            <sz val="9"/>
            <rFont val="Tahoma"/>
          </rPr>
          <t xml:space="preserve">Microsoft Office User:</t>
        </r>
        <r>
          <rPr>
            <sz val="9"/>
            <rFont val="Tahoma"/>
          </rPr>
          <t xml:space="preserve">
Pacing не должен быть меньше чем Duration + think time (столбец P). Изначально считается как Duration + think time * 2 (коэф запаса времени), далее подгоняется вручную
</t>
        </r>
      </text>
    </comment>
    <comment ref="R2" authorId="4" xr:uid="{00F400E8-00EF-4BA0-882F-008000EC0077}">
      <text>
        <r>
          <rPr>
            <b/>
            <sz val="9"/>
            <rFont val="Tahoma"/>
          </rPr>
          <t xml:space="preserve">Microsoft Office User:</t>
        </r>
        <r>
          <rPr>
            <sz val="9"/>
            <rFont val="Tahoma"/>
          </rPr>
          <t xml:space="preserve">
Количество пользователей для конкретного скрипта, заполняется вручную, сумма всех пользователей для 100% профиля не должна превышать 10.
</t>
        </r>
      </text>
    </comment>
    <comment ref="M21" authorId="5" xr:uid="{003A00BB-00F3-4FCB-AC14-00F900B90012}">
      <text>
        <r>
          <rPr>
            <b/>
            <sz val="9"/>
            <rFont val="Tahoma"/>
          </rPr>
          <t xml:space="preserve">Microsoft Office User:</t>
        </r>
        <r>
          <rPr>
            <sz val="9"/>
            <rFont val="Tahoma"/>
          </rPr>
          <t xml:space="preserve">
1. Отображение состояния скриптов
2. Расчёт интенсивности
3. Расчёт интенсивности для каждой транзакции
</t>
        </r>
      </text>
    </comment>
  </commentList>
</comments>
</file>

<file path=xl/sharedStrings.xml><?xml version="1.0" encoding="utf-8"?>
<sst xmlns="http://schemas.openxmlformats.org/spreadsheetml/2006/main" count="110" uniqueCount="110">
  <si>
    <t xml:space="preserve">Script name</t>
  </si>
  <si>
    <t xml:space="preserve">transaction rq</t>
  </si>
  <si>
    <t>count</t>
  </si>
  <si>
    <t>VU</t>
  </si>
  <si>
    <t>pacing</t>
  </si>
  <si>
    <t xml:space="preserve">одним пользователем в минуту</t>
  </si>
  <si>
    <t xml:space="preserve">Длительность ступени</t>
  </si>
  <si>
    <t>Итого</t>
  </si>
  <si>
    <t xml:space="preserve">Названия строк</t>
  </si>
  <si>
    <t xml:space="preserve">Сумма по полю Итого</t>
  </si>
  <si>
    <t xml:space="preserve">Операция (бизнес процесс)</t>
  </si>
  <si>
    <t>Duration</t>
  </si>
  <si>
    <t>Think_time</t>
  </si>
  <si>
    <t xml:space="preserve">Duration + Think_time</t>
  </si>
  <si>
    <t>Pacing</t>
  </si>
  <si>
    <t xml:space="preserve">% Распределения пользователей</t>
  </si>
  <si>
    <t xml:space="preserve">Jmeter, throughput per minute</t>
  </si>
  <si>
    <t xml:space="preserve">Длительность ступени в минутах</t>
  </si>
  <si>
    <t xml:space="preserve">Интенсивность операций</t>
  </si>
  <si>
    <t xml:space="preserve">Всего пользователей на ступени</t>
  </si>
  <si>
    <t xml:space="preserve">Покупка билета</t>
  </si>
  <si>
    <t xml:space="preserve">Главная Welcome страница</t>
  </si>
  <si>
    <t xml:space="preserve">Вход в систему</t>
  </si>
  <si>
    <t xml:space="preserve">Выбор рейса из найденных </t>
  </si>
  <si>
    <t xml:space="preserve">Удаление бронирования </t>
  </si>
  <si>
    <t xml:space="preserve">Переход на страницу поиска билетов</t>
  </si>
  <si>
    <t xml:space="preserve">Выход из системы</t>
  </si>
  <si>
    <t xml:space="preserve">Регистрация новых пользователей</t>
  </si>
  <si>
    <t xml:space="preserve">Заполнение полей для поиска билета </t>
  </si>
  <si>
    <t xml:space="preserve">Поиск билета без покупки</t>
  </si>
  <si>
    <t xml:space="preserve">Оплата билета</t>
  </si>
  <si>
    <t xml:space="preserve">Ознакомление с путевым листом</t>
  </si>
  <si>
    <t xml:space="preserve">Отмена бронирования </t>
  </si>
  <si>
    <t>Логин</t>
  </si>
  <si>
    <t xml:space="preserve">Просмотр квитанций</t>
  </si>
  <si>
    <t xml:space="preserve">Перход на страницу регистрации</t>
  </si>
  <si>
    <t xml:space="preserve">Заполнение полей регистарции</t>
  </si>
  <si>
    <t xml:space="preserve">Переход на следуюущий эран после регистарции</t>
  </si>
  <si>
    <t>(пусто)</t>
  </si>
  <si>
    <t xml:space="preserve">Общий итог</t>
  </si>
  <si>
    <t xml:space="preserve">Статистика с ПРОДа</t>
  </si>
  <si>
    <t>Профиль</t>
  </si>
  <si>
    <t xml:space="preserve">Название запроса</t>
  </si>
  <si>
    <t xml:space="preserve">Интенсивность по статистике запросов / час</t>
  </si>
  <si>
    <t xml:space="preserve">Расчетная интенсивность запросов / час</t>
  </si>
  <si>
    <t xml:space="preserve">% Соотвествия расчетанной интенсивности статистики</t>
  </si>
  <si>
    <t>ScriptName</t>
  </si>
  <si>
    <t xml:space="preserve">Расчетная интенсивность запросов / 20 мин</t>
  </si>
  <si>
    <t xml:space="preserve">Фактическая интенсивность в тесте</t>
  </si>
  <si>
    <t xml:space="preserve">% Отклонение от Профиля</t>
  </si>
  <si>
    <t xml:space="preserve">GoTo WebTours</t>
  </si>
  <si>
    <t xml:space="preserve">GoTo Flights</t>
  </si>
  <si>
    <t>FindFlight</t>
  </si>
  <si>
    <t>ChooseTicket</t>
  </si>
  <si>
    <t xml:space="preserve">Payment details</t>
  </si>
  <si>
    <t xml:space="preserve">GoTo Itnerary</t>
  </si>
  <si>
    <t>DelReservation</t>
  </si>
  <si>
    <t>logout</t>
  </si>
  <si>
    <t xml:space="preserve">GoTo reg</t>
  </si>
  <si>
    <t xml:space="preserve">reg user</t>
  </si>
  <si>
    <t xml:space="preserve">click continue</t>
  </si>
  <si>
    <t xml:space="preserve"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</si>
  <si>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 xml:space="preserve">Имя в статистике</t>
  </si>
  <si>
    <t xml:space="preserve">Имя в скрипте</t>
  </si>
  <si>
    <t>Login</t>
  </si>
  <si>
    <t xml:space="preserve">Transaction Name</t>
  </si>
  <si>
    <t xml:space="preserve">SLA Status</t>
  </si>
  <si>
    <t>Minimum</t>
  </si>
  <si>
    <t>Average</t>
  </si>
  <si>
    <t>Maximum</t>
  </si>
  <si>
    <t xml:space="preserve">Std. Deviation</t>
  </si>
  <si>
    <t xml:space="preserve">90 Percent</t>
  </si>
  <si>
    <t>Pass</t>
  </si>
  <si>
    <t>Fail</t>
  </si>
  <si>
    <t>Stop</t>
  </si>
  <si>
    <t>Action_Transaction</t>
  </si>
  <si>
    <t xml:space="preserve">No Data</t>
  </si>
  <si>
    <t>UC1_RegisterUser</t>
  </si>
  <si>
    <t>UC2_CheckMyTickets</t>
  </si>
  <si>
    <t>UC3_RemoveTicket</t>
  </si>
  <si>
    <t>UC4_SearchTickets</t>
  </si>
  <si>
    <t>UC5_BuyTicket</t>
  </si>
  <si>
    <t>UC6_Login</t>
  </si>
  <si>
    <t>00000000-0000-0000-0000-000000000000</t>
  </si>
  <si>
    <t>UC2_FindFlight</t>
  </si>
  <si>
    <t>UC3_BuyTicket</t>
  </si>
  <si>
    <t>UC4_ViewTicketList</t>
  </si>
  <si>
    <t>UC5_CanselRegistration</t>
  </si>
  <si>
    <t>UC7_RegisterRandomUser</t>
  </si>
  <si>
    <t xml:space="preserve">Профиль для 5 пользаков</t>
  </si>
  <si>
    <t xml:space="preserve">Наименование операции</t>
  </si>
  <si>
    <t xml:space="preserve">Наименование транзакции</t>
  </si>
  <si>
    <t xml:space="preserve">По профилю</t>
  </si>
  <si>
    <t xml:space="preserve">По факту</t>
  </si>
  <si>
    <t xml:space="preserve">% отклонения</t>
  </si>
  <si>
    <t>login</t>
  </si>
  <si>
    <t xml:space="preserve">Заполнение полей для поиска билета</t>
  </si>
  <si>
    <t>fing_flight</t>
  </si>
  <si>
    <t xml:space="preserve">Выбор рейса из найденных</t>
  </si>
  <si>
    <t>select_ticket</t>
  </si>
  <si>
    <t>payment_details</t>
  </si>
  <si>
    <t xml:space="preserve">Просмотр квитанции</t>
  </si>
  <si>
    <t>Check_ticket</t>
  </si>
  <si>
    <t xml:space="preserve">Отмена бронирования билета</t>
  </si>
  <si>
    <t>Cancel_reservation</t>
  </si>
  <si>
    <t xml:space="preserve">Поиск максимума 3 ступень</t>
  </si>
  <si>
    <t xml:space="preserve">Подтверждение максимума</t>
  </si>
  <si>
    <t>1 315,</t>
  </si>
  <si>
    <t>1 970,</t>
  </si>
  <si>
    <t>1 675,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</si>
</sst>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7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b/>
      <sz val="15.000000"/>
      <color theme="3"/>
      <name val="Calibri"/>
      <scheme val="minor"/>
    </font>
    <font>
      <b/>
      <sz val="13.000000"/>
      <color theme="3"/>
      <name val="Calibri"/>
      <scheme val="minor"/>
    </font>
    <font>
      <b/>
      <sz val="11.000000"/>
      <color theme="3"/>
      <name val="Calibri"/>
      <scheme val="minor"/>
    </font>
    <font>
      <b/>
      <sz val="11.000000"/>
      <color theme="1"/>
      <name val="Calibri"/>
      <scheme val="minor"/>
    </font>
    <font>
      <b/>
      <sz val="11.000000"/>
      <color theme="0"/>
      <name val="Calibri"/>
      <scheme val="minor"/>
    </font>
    <font>
      <sz val="18.000000"/>
      <color theme="3"/>
      <name val="Calibri Light"/>
      <scheme val="major"/>
    </font>
    <font>
      <sz val="11.000000"/>
      <color rgb="FF9C5700"/>
      <name val="Calibri"/>
      <scheme val="minor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i/>
      <sz val="11.000000"/>
      <color rgb="FF7F7F7F"/>
      <name val="Calibri"/>
      <scheme val="minor"/>
    </font>
    <font>
      <sz val="11.000000"/>
      <color rgb="FFFA7D00"/>
      <name val="Calibri"/>
      <scheme val="minor"/>
    </font>
    <font>
      <sz val="11.000000"/>
      <color indexed="2"/>
      <name val="Calibri"/>
      <scheme val="minor"/>
    </font>
    <font>
      <sz val="11.000000"/>
      <color rgb="FF006100"/>
      <name val="Calibri"/>
      <scheme val="minor"/>
    </font>
    <font>
      <sz val="11.000000"/>
      <name val="Calibri"/>
      <scheme val="minor"/>
    </font>
    <font>
      <sz val="11.000000"/>
      <color theme="0" tint="-0.249977111117893"/>
      <name val="Calibri"/>
      <scheme val="minor"/>
    </font>
    <font>
      <sz val="14.000000"/>
      <color theme="1"/>
      <name val="Calibri"/>
      <scheme val="minor"/>
    </font>
    <font>
      <sz val="14.000000"/>
      <name val="Times New Roman"/>
    </font>
    <font>
      <sz val="11.000000"/>
      <name val="Calibri"/>
    </font>
    <font>
      <b/>
      <sz val="14.000000"/>
      <name val="Times New Roman"/>
    </font>
    <font>
      <b/>
      <sz val="11.000000"/>
      <color theme="1"/>
      <name val="Times New Roman"/>
    </font>
    <font>
      <b/>
      <sz val="12.000000"/>
      <name val="Times New Roman"/>
    </font>
    <font>
      <b/>
      <sz val="11.000000"/>
      <name val="Times New Roman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indexed="26"/>
        <bgColor indexed="26"/>
      </patternFill>
    </fill>
    <fill>
      <patternFill patternType="solid">
        <fgColor rgb="FFC6EFCE"/>
        <bgColor rgb="FFC6EFCE"/>
      </patternFill>
    </fill>
    <fill>
      <patternFill patternType="solid">
        <fgColor theme="2" tint="-0.099978637043366805"/>
        <bgColor theme="2" tint="-0.09997863704336680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indexed="5"/>
        <bgColor indexed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0"/>
        <bgColor theme="0"/>
      </patternFill>
    </fill>
  </fills>
  <borders count="35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none"/>
      <right style="none"/>
      <top style="none"/>
      <bottom style="thick">
        <color theme="4"/>
      </bottom>
      <diagonal style="none"/>
    </border>
    <border>
      <left style="none"/>
      <right style="none"/>
      <top style="none"/>
      <bottom style="thick">
        <color theme="4" tint="0.499984740745262"/>
      </bottom>
      <diagonal style="none"/>
    </border>
    <border>
      <left style="none"/>
      <right style="none"/>
      <top style="none"/>
      <bottom style="medium">
        <color theme="4" tint="0.39997558519241921"/>
      </bottom>
      <diagonal style="none"/>
    </border>
    <border>
      <left style="none"/>
      <right style="none"/>
      <top style="thin">
        <color theme="4"/>
      </top>
      <bottom style="double">
        <color theme="4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medium">
        <color auto="1"/>
      </left>
      <right style="none"/>
      <top style="medium">
        <color auto="1"/>
      </top>
      <bottom style="none"/>
      <diagonal style="none"/>
    </border>
    <border>
      <left style="none"/>
      <right style="none"/>
      <top style="medium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medium">
        <color auto="1"/>
      </left>
      <right style="medium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none"/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</borders>
  <cellStyleXfs count="80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0" fillId="2" borderId="0" numFmtId="0" applyNumberFormat="0" applyFont="1" applyFill="1" applyBorder="0" applyProtection="0"/>
    <xf fontId="0" fillId="2" borderId="0" numFmtId="0" applyNumberFormat="0" applyFont="1" applyFill="1" applyBorder="0" applyProtection="0"/>
    <xf fontId="0" fillId="3" borderId="0" numFmtId="0" applyNumberFormat="0" applyFont="1" applyFill="1" applyBorder="0" applyProtection="0"/>
    <xf fontId="0" fillId="3" borderId="0" numFmtId="0" applyNumberFormat="0" applyFont="1" applyFill="1" applyBorder="0" applyProtection="0"/>
    <xf fontId="0" fillId="3" borderId="0" numFmtId="0" applyNumberFormat="0" applyFont="1" applyFill="1" applyBorder="0" applyProtection="0"/>
    <xf fontId="0" fillId="4" borderId="0" numFmtId="0" applyNumberFormat="0" applyFont="1" applyFill="1" applyBorder="0" applyProtection="0"/>
    <xf fontId="0" fillId="4" borderId="0" numFmtId="0" applyNumberFormat="0" applyFont="1" applyFill="1" applyBorder="0" applyProtection="0"/>
    <xf fontId="0" fillId="4" borderId="0" numFmtId="0" applyNumberFormat="0" applyFont="1" applyFill="1" applyBorder="0" applyProtection="0"/>
    <xf fontId="0" fillId="5" borderId="0" numFmtId="0" applyNumberFormat="0" applyFont="1" applyFill="1" applyBorder="0" applyProtection="0"/>
    <xf fontId="0" fillId="5" borderId="0" numFmtId="0" applyNumberFormat="0" applyFont="1" applyFill="1" applyBorder="0" applyProtection="0"/>
    <xf fontId="0" fillId="5" borderId="0" numFmtId="0" applyNumberFormat="0" applyFont="1" applyFill="1" applyBorder="0" applyProtection="0"/>
    <xf fontId="0" fillId="6" borderId="0" numFmtId="0" applyNumberFormat="0" applyFont="1" applyFill="1" applyBorder="0" applyProtection="0"/>
    <xf fontId="0" fillId="6" borderId="0" numFmtId="0" applyNumberFormat="0" applyFont="1" applyFill="1" applyBorder="0" applyProtection="0"/>
    <xf fontId="0" fillId="6" borderId="0" numFmtId="0" applyNumberFormat="0" applyFont="1" applyFill="1" applyBorder="0" applyProtection="0"/>
    <xf fontId="0" fillId="7" borderId="0" numFmtId="0" applyNumberFormat="0" applyFont="1" applyFill="1" applyBorder="0" applyProtection="0"/>
    <xf fontId="0" fillId="7" borderId="0" numFmtId="0" applyNumberFormat="0" applyFont="1" applyFill="1" applyBorder="0" applyProtection="0"/>
    <xf fontId="0" fillId="7" borderId="0" numFmtId="0" applyNumberFormat="0" applyFont="1" applyFill="1" applyBorder="0" applyProtection="0"/>
    <xf fontId="0" fillId="8" borderId="0" numFmtId="0" applyNumberFormat="0" applyFont="1" applyFill="1" applyBorder="0" applyProtection="0"/>
    <xf fontId="0" fillId="8" borderId="0" numFmtId="0" applyNumberFormat="0" applyFont="1" applyFill="1" applyBorder="0" applyProtection="0"/>
    <xf fontId="0" fillId="8" borderId="0" numFmtId="0" applyNumberFormat="0" applyFont="1" applyFill="1" applyBorder="0" applyProtection="0"/>
    <xf fontId="0" fillId="9" borderId="0" numFmtId="0" applyNumberFormat="0" applyFont="1" applyFill="1" applyBorder="0" applyProtection="0"/>
    <xf fontId="0" fillId="9" borderId="0" numFmtId="0" applyNumberFormat="0" applyFont="1" applyFill="1" applyBorder="0" applyProtection="0"/>
    <xf fontId="0" fillId="9" borderId="0" numFmtId="0" applyNumberFormat="0" applyFont="1" applyFill="1" applyBorder="0" applyProtection="0"/>
    <xf fontId="0" fillId="10" borderId="0" numFmtId="0" applyNumberFormat="0" applyFont="1" applyFill="1" applyBorder="0" applyProtection="0"/>
    <xf fontId="0" fillId="10" borderId="0" numFmtId="0" applyNumberFormat="0" applyFont="1" applyFill="1" applyBorder="0" applyProtection="0"/>
    <xf fontId="0" fillId="10" borderId="0" numFmtId="0" applyNumberFormat="0" applyFont="1" applyFill="1" applyBorder="0" applyProtection="0"/>
    <xf fontId="0" fillId="11" borderId="0" numFmtId="0" applyNumberFormat="0" applyFont="1" applyFill="1" applyBorder="0" applyProtection="0"/>
    <xf fontId="0" fillId="11" borderId="0" numFmtId="0" applyNumberFormat="0" applyFont="1" applyFill="1" applyBorder="0" applyProtection="0"/>
    <xf fontId="0" fillId="11" borderId="0" numFmtId="0" applyNumberFormat="0" applyFont="1" applyFill="1" applyBorder="0" applyProtection="0"/>
    <xf fontId="0" fillId="12" borderId="0" numFmtId="0" applyNumberFormat="0" applyFont="1" applyFill="1" applyBorder="0" applyProtection="0"/>
    <xf fontId="0" fillId="12" borderId="0" numFmtId="0" applyNumberFormat="0" applyFont="1" applyFill="1" applyBorder="0" applyProtection="0"/>
    <xf fontId="0" fillId="12" borderId="0" numFmtId="0" applyNumberFormat="0" applyFont="1" applyFill="1" applyBorder="0" applyProtection="0"/>
    <xf fontId="0" fillId="13" borderId="0" numFmtId="0" applyNumberFormat="0" applyFont="1" applyFill="1" applyBorder="0" applyProtection="0"/>
    <xf fontId="0" fillId="13" borderId="0" numFmtId="0" applyNumberFormat="0" applyFont="1" applyFill="1" applyBorder="0" applyProtection="0"/>
    <xf fontId="0" fillId="13" borderId="0" numFmtId="0" applyNumberFormat="0" applyFont="1" applyFill="1" applyBorder="0" applyProtection="0"/>
    <xf fontId="0" fillId="14" borderId="0" numFmtId="0" applyNumberFormat="0" applyFont="1" applyFill="1" applyBorder="0" applyProtection="0"/>
    <xf fontId="1" fillId="14" borderId="0" numFmtId="0" applyNumberFormat="0" applyFont="1" applyFill="1" applyBorder="0" applyProtection="0"/>
    <xf fontId="0" fillId="15" borderId="0" numFmtId="0" applyNumberFormat="0" applyFont="1" applyFill="1" applyBorder="0" applyProtection="0"/>
    <xf fontId="1" fillId="15" borderId="0" numFmtId="0" applyNumberFormat="0" applyFont="1" applyFill="1" applyBorder="0" applyProtection="0"/>
    <xf fontId="0" fillId="16" borderId="0" numFmtId="0" applyNumberFormat="0" applyFont="1" applyFill="1" applyBorder="0" applyProtection="0"/>
    <xf fontId="1" fillId="16" borderId="0" numFmtId="0" applyNumberFormat="0" applyFont="1" applyFill="1" applyBorder="0" applyProtection="0"/>
    <xf fontId="0" fillId="17" borderId="0" numFmtId="0" applyNumberFormat="0" applyFont="1" applyFill="1" applyBorder="0" applyProtection="0"/>
    <xf fontId="1" fillId="17" borderId="0" numFmtId="0" applyNumberFormat="0" applyFont="1" applyFill="1" applyBorder="0" applyProtection="0"/>
    <xf fontId="0" fillId="18" borderId="0" numFmtId="0" applyNumberFormat="0" applyFont="1" applyFill="1" applyBorder="0" applyProtection="0"/>
    <xf fontId="1" fillId="18" borderId="0" numFmtId="0" applyNumberFormat="0" applyFont="1" applyFill="1" applyBorder="0" applyProtection="0"/>
    <xf fontId="0" fillId="19" borderId="0" numFmtId="0" applyNumberFormat="0" applyFont="1" applyFill="1" applyBorder="0" applyProtection="0"/>
    <xf fontId="1" fillId="19" borderId="0" numFmtId="0" applyNumberFormat="0" applyFont="1" applyFill="1" applyBorder="0" applyProtection="0"/>
    <xf fontId="1" fillId="20" borderId="0" numFmtId="0" applyNumberFormat="0" applyFont="1" applyFill="1" applyBorder="0" applyProtection="0"/>
    <xf fontId="1" fillId="21" borderId="0" numFmtId="0" applyNumberFormat="0" applyFont="1" applyFill="1" applyBorder="0" applyProtection="0"/>
    <xf fontId="1" fillId="22" borderId="0" numFmtId="0" applyNumberFormat="0" applyFont="1" applyFill="1" applyBorder="0" applyProtection="0"/>
    <xf fontId="1" fillId="23" borderId="0" numFmtId="0" applyNumberFormat="0" applyFont="1" applyFill="1" applyBorder="0" applyProtection="0"/>
    <xf fontId="1" fillId="24" borderId="0" numFmtId="0" applyNumberFormat="0" applyFont="1" applyFill="1" applyBorder="0" applyProtection="0"/>
    <xf fontId="1" fillId="25" borderId="0" numFmtId="0" applyNumberFormat="0" applyFont="1" applyFill="1" applyBorder="0" applyProtection="0"/>
    <xf fontId="2" fillId="26" borderId="1" numFmtId="0" applyNumberFormat="0" applyFont="1" applyFill="1" applyBorder="1" applyProtection="0"/>
    <xf fontId="3" fillId="27" borderId="2" numFmtId="0" applyNumberFormat="0" applyFont="1" applyFill="1" applyBorder="1" applyProtection="0"/>
    <xf fontId="4" fillId="27" borderId="1" numFmtId="0" applyNumberFormat="0" applyFont="1" applyFill="1" applyBorder="1" applyProtection="0"/>
    <xf fontId="5" fillId="0" borderId="3" numFmtId="0" applyNumberFormat="0" applyFont="1" applyFill="0" applyBorder="1" applyProtection="0"/>
    <xf fontId="6" fillId="0" borderId="4" numFmtId="0" applyNumberFormat="0" applyFont="1" applyFill="0" applyBorder="1" applyProtection="0"/>
    <xf fontId="7" fillId="0" borderId="5" numFmtId="0" applyNumberFormat="0" applyFont="1" applyFill="0" applyBorder="1" applyProtection="0"/>
    <xf fontId="7" fillId="0" borderId="0" numFmtId="0" applyNumberFormat="0" applyFont="1" applyFill="0" applyBorder="0" applyProtection="0"/>
    <xf fontId="8" fillId="0" borderId="6" numFmtId="0" applyNumberFormat="0" applyFont="1" applyFill="0" applyBorder="1" applyProtection="0"/>
    <xf fontId="9" fillId="28" borderId="7" numFmtId="0" applyNumberFormat="0" applyFont="1" applyFill="1" applyBorder="1" applyProtection="0"/>
    <xf fontId="10" fillId="0" borderId="0" numFmtId="0" applyNumberFormat="0" applyFont="1" applyFill="0" applyBorder="0" applyProtection="0"/>
    <xf fontId="11" fillId="29" borderId="0" numFmtId="0" applyNumberFormat="0" applyFont="1" applyFill="1" applyBorder="0" applyProtection="0"/>
    <xf fontId="12" fillId="29" borderId="0" numFmtId="0" applyNumberFormat="0" applyFont="1" applyFill="1" applyBorder="0" applyProtection="0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3" fillId="30" borderId="0" numFmtId="0" applyNumberFormat="0" applyFont="1" applyFill="1" applyBorder="0" applyProtection="0"/>
    <xf fontId="14" fillId="0" borderId="0" numFmtId="0" applyNumberFormat="0" applyFont="1" applyFill="0" applyBorder="0" applyProtection="0"/>
    <xf fontId="0" fillId="31" borderId="8" numFmtId="0" applyNumberFormat="0" applyFont="0" applyFill="1" applyBorder="1" applyProtection="0"/>
    <xf fontId="0" fillId="31" borderId="8" numFmtId="0" applyNumberFormat="0" applyFont="0" applyFill="1" applyBorder="1" applyProtection="0"/>
    <xf fontId="0" fillId="31" borderId="8" numFmtId="0" applyNumberFormat="0" applyFont="0" applyFill="1" applyBorder="1" applyProtection="0"/>
    <xf fontId="0" fillId="0" borderId="0" numFmtId="9" applyNumberFormat="1" applyFont="0" applyFill="0" applyBorder="0" applyProtection="0"/>
    <xf fontId="15" fillId="0" borderId="9" numFmtId="0" applyNumberFormat="0" applyFont="1" applyFill="0" applyBorder="1" applyProtection="0"/>
    <xf fontId="16" fillId="0" borderId="0" numFmtId="0" applyNumberFormat="0" applyFont="1" applyFill="0" applyBorder="0" applyProtection="0"/>
    <xf fontId="17" fillId="32" borderId="0" numFmtId="0" applyNumberFormat="0" applyFont="1" applyFill="1" applyBorder="0" applyProtection="0"/>
  </cellStyleXfs>
  <cellXfs count="77">
    <xf fontId="0" fillId="0" borderId="0" numFmtId="0" xfId="0"/>
    <xf fontId="0" fillId="0" borderId="0" numFmtId="0" xfId="0" pivotButton="1"/>
    <xf fontId="0" fillId="0" borderId="10" numFmtId="0" xfId="0" applyBorder="1"/>
    <xf fontId="0" fillId="0" borderId="11" numFmtId="0" xfId="0" applyBorder="1"/>
    <xf fontId="0" fillId="0" borderId="12" numFmtId="0" xfId="0" applyBorder="1"/>
    <xf fontId="18" fillId="33" borderId="11" numFmtId="0" xfId="0" applyFont="1" applyFill="1" applyBorder="1"/>
    <xf fontId="19" fillId="0" borderId="11" numFmtId="0" xfId="0" applyFont="1" applyBorder="1"/>
    <xf fontId="0" fillId="0" borderId="13" numFmtId="0" xfId="0" applyBorder="1"/>
    <xf fontId="0" fillId="34" borderId="14" numFmtId="0" xfId="0" applyFill="1" applyBorder="1"/>
    <xf fontId="0" fillId="34" borderId="15" numFmtId="0" xfId="0" applyFill="1" applyBorder="1"/>
    <xf fontId="0" fillId="0" borderId="16" numFmtId="0" xfId="0" applyBorder="1"/>
    <xf fontId="0" fillId="0" borderId="0" numFmtId="2" xfId="0" applyNumberFormat="1"/>
    <xf fontId="0" fillId="0" borderId="0" numFmtId="1" xfId="0" applyNumberFormat="1"/>
    <xf fontId="0" fillId="0" borderId="0" numFmtId="0" xfId="0" applyAlignment="1">
      <alignment horizontal="left"/>
    </xf>
    <xf fontId="0" fillId="0" borderId="17" numFmtId="0" xfId="0" applyBorder="1"/>
    <xf fontId="0" fillId="23" borderId="14" numFmtId="0" xfId="0" applyFill="1" applyBorder="1"/>
    <xf fontId="0" fillId="23" borderId="14" numFmtId="1" xfId="0" applyNumberFormat="1" applyFill="1" applyBorder="1"/>
    <xf fontId="0" fillId="0" borderId="14" numFmtId="1" xfId="0" applyNumberFormat="1" applyBorder="1"/>
    <xf fontId="0" fillId="35" borderId="14" numFmtId="1" xfId="0" applyNumberFormat="1" applyFill="1" applyBorder="1"/>
    <xf fontId="0" fillId="35" borderId="15" numFmtId="0" xfId="0" applyFill="1" applyBorder="1"/>
    <xf fontId="0" fillId="0" borderId="14" numFmtId="9" xfId="0" applyNumberFormat="1" applyBorder="1"/>
    <xf fontId="18" fillId="33" borderId="14" numFmtId="2" xfId="0" applyNumberFormat="1" applyFont="1" applyFill="1" applyBorder="1"/>
    <xf fontId="19" fillId="0" borderId="0" numFmtId="0" xfId="0" applyFont="1"/>
    <xf fontId="19" fillId="0" borderId="0" numFmtId="1" xfId="0" applyNumberFormat="1" applyFont="1"/>
    <xf fontId="0" fillId="0" borderId="18" numFmtId="0" xfId="0" applyBorder="1"/>
    <xf fontId="0" fillId="0" borderId="19" numFmtId="0" xfId="0" applyBorder="1"/>
    <xf fontId="0" fillId="34" borderId="20" numFmtId="0" xfId="0" applyFill="1" applyBorder="1"/>
    <xf fontId="0" fillId="34" borderId="21" numFmtId="0" xfId="0" applyFill="1" applyBorder="1"/>
    <xf fontId="0" fillId="23" borderId="20" numFmtId="1" xfId="0" applyNumberFormat="1" applyFill="1" applyBorder="1"/>
    <xf fontId="0" fillId="0" borderId="22" numFmtId="0" xfId="0" applyBorder="1"/>
    <xf fontId="0" fillId="0" borderId="23" numFmtId="0" xfId="0" applyBorder="1"/>
    <xf fontId="0" fillId="0" borderId="24" numFmtId="9" xfId="0" applyNumberFormat="1" applyBorder="1"/>
    <xf fontId="18" fillId="0" borderId="23" numFmtId="0" xfId="0" applyFont="1" applyBorder="1"/>
    <xf fontId="0" fillId="0" borderId="25" numFmtId="0" xfId="0" applyBorder="1"/>
    <xf fontId="0" fillId="0" borderId="26" numFmtId="0" xfId="0" applyBorder="1"/>
    <xf fontId="0" fillId="36" borderId="27" numFmtId="0" xfId="0" applyFill="1" applyBorder="1" applyAlignment="1">
      <alignment horizontal="center"/>
    </xf>
    <xf fontId="0" fillId="36" borderId="28" numFmtId="0" xfId="0" applyFill="1" applyBorder="1" applyAlignment="1">
      <alignment horizontal="center"/>
    </xf>
    <xf fontId="0" fillId="36" borderId="29" numFmtId="0" xfId="0" applyFill="1" applyBorder="1" applyAlignment="1">
      <alignment horizontal="center"/>
    </xf>
    <xf fontId="0" fillId="36" borderId="30" numFmtId="0" xfId="0" applyFill="1" applyBorder="1" applyAlignment="1">
      <alignment horizontal="center"/>
    </xf>
    <xf fontId="20" fillId="37" borderId="31" numFmtId="0" xfId="0" applyFont="1" applyFill="1" applyBorder="1" applyAlignment="1">
      <alignment vertical="center" wrapText="1"/>
    </xf>
    <xf fontId="20" fillId="37" borderId="15" numFmtId="0" xfId="0" applyFont="1" applyFill="1" applyBorder="1" applyAlignment="1">
      <alignment vertical="center" wrapText="1"/>
    </xf>
    <xf fontId="20" fillId="0" borderId="14" numFmtId="0" xfId="0" applyFont="1" applyBorder="1" applyAlignment="1">
      <alignment vertical="center" wrapText="1"/>
    </xf>
    <xf fontId="20" fillId="0" borderId="0" numFmtId="0" xfId="0" applyFont="1" applyAlignment="1">
      <alignment vertical="center" wrapText="1"/>
    </xf>
    <xf fontId="20" fillId="0" borderId="14" numFmtId="0" xfId="0" applyFont="1" applyBorder="1" applyAlignment="1">
      <alignment wrapText="1"/>
    </xf>
    <xf fontId="21" fillId="37" borderId="15" numFmtId="0" xfId="0" applyFont="1" applyFill="1" applyBorder="1" applyAlignment="1">
      <alignment horizontal="center" vertical="center" wrapText="1"/>
    </xf>
    <xf fontId="0" fillId="0" borderId="14" numFmtId="9" xfId="76" applyNumberFormat="1" applyBorder="1"/>
    <xf fontId="0" fillId="0" borderId="0" numFmtId="2" xfId="76" applyNumberFormat="1"/>
    <xf fontId="22" fillId="0" borderId="0" numFmtId="0" xfId="0" applyFont="1">
      <protection hidden="0" locked="1"/>
    </xf>
    <xf fontId="0" fillId="38" borderId="14" numFmtId="1" xfId="0" applyNumberFormat="1" applyFill="1" applyBorder="1"/>
    <xf fontId="0" fillId="39" borderId="14" numFmtId="9" xfId="76" applyNumberFormat="1" applyFill="1" applyBorder="1"/>
    <xf fontId="21" fillId="37" borderId="31" numFmtId="0" xfId="0" applyFont="1" applyFill="1" applyBorder="1" applyAlignment="1">
      <alignment horizontal="left" vertical="center" wrapText="1"/>
    </xf>
    <xf fontId="0" fillId="0" borderId="14" numFmtId="0" xfId="0" applyBorder="1"/>
    <xf fontId="21" fillId="35" borderId="31" numFmtId="0" xfId="0" applyFont="1" applyFill="1" applyBorder="1" applyAlignment="1">
      <alignment horizontal="left" vertical="center" wrapText="1"/>
    </xf>
    <xf fontId="23" fillId="37" borderId="32" numFmtId="0" xfId="0" applyFont="1" applyFill="1" applyBorder="1" applyAlignment="1">
      <alignment horizontal="left" vertical="center" wrapText="1"/>
    </xf>
    <xf fontId="21" fillId="37" borderId="33" numFmtId="0" xfId="0" applyFont="1" applyFill="1" applyBorder="1" applyAlignment="1">
      <alignment horizontal="center" vertical="center" wrapText="1"/>
    </xf>
    <xf fontId="21" fillId="0" borderId="14" numFmtId="1" xfId="0" applyNumberFormat="1" applyFont="1" applyBorder="1" applyAlignment="1">
      <alignment horizontal="center" vertical="center" wrapText="1"/>
    </xf>
    <xf fontId="0" fillId="0" borderId="0" numFmtId="0" xfId="0" applyAlignment="1">
      <alignment horizontal="center"/>
    </xf>
    <xf fontId="0" fillId="0" borderId="11" numFmtId="0" xfId="0" applyBorder="1" applyAlignment="1">
      <alignment horizontal="center"/>
    </xf>
    <xf fontId="0" fillId="37" borderId="14" numFmtId="0" xfId="0" applyFill="1" applyBorder="1"/>
    <xf fontId="0" fillId="0" borderId="14" numFmtId="0" xfId="0" applyBorder="1"/>
    <xf fontId="22" fillId="0" borderId="0" numFmtId="0" xfId="0" applyFont="1" quotePrefix="1">
      <protection hidden="0" locked="1"/>
    </xf>
    <xf fontId="0" fillId="0" borderId="0" numFmtId="0" xfId="0" quotePrefix="1"/>
    <xf fontId="0" fillId="40" borderId="0" numFmtId="0" xfId="0" applyFill="1" applyAlignment="1">
      <alignment horizontal="center"/>
    </xf>
    <xf fontId="24" fillId="41" borderId="34" numFmtId="0" xfId="0" applyFont="1" applyFill="1" applyBorder="1" applyAlignment="1">
      <alignment horizontal="center" vertical="top" wrapText="1"/>
    </xf>
    <xf fontId="25" fillId="0" borderId="14" numFmtId="0" xfId="0" applyFont="1" applyBorder="1" applyAlignment="1">
      <alignment horizontal="left" vertical="top" wrapText="1"/>
    </xf>
    <xf fontId="8" fillId="0" borderId="14" numFmtId="0" xfId="67" applyFont="1" applyBorder="1" applyAlignment="1">
      <alignment horizontal="center" vertical="top"/>
    </xf>
    <xf fontId="24" fillId="0" borderId="14" numFmtId="0" xfId="0" applyFont="1" applyBorder="1" applyAlignment="1">
      <alignment horizontal="center" vertical="top"/>
    </xf>
    <xf fontId="24" fillId="0" borderId="14" numFmtId="10" xfId="0" applyNumberFormat="1" applyFont="1" applyBorder="1" applyAlignment="1">
      <alignment horizontal="center" vertical="top"/>
    </xf>
    <xf fontId="26" fillId="0" borderId="14" numFmtId="10" xfId="0" applyNumberFormat="1" applyFont="1" applyBorder="1" applyAlignment="1">
      <alignment horizontal="center" vertical="top"/>
    </xf>
    <xf fontId="24" fillId="41" borderId="14" numFmtId="0" xfId="0" applyFont="1" applyFill="1" applyBorder="1" applyAlignment="1">
      <alignment horizontal="left" vertical="top"/>
    </xf>
    <xf fontId="25" fillId="0" borderId="14" numFmtId="0" xfId="0" applyFont="1" applyBorder="1" applyAlignment="1">
      <alignment horizontal="left" vertical="top"/>
    </xf>
    <xf fontId="8" fillId="0" borderId="14" numFmtId="0" xfId="67" applyFont="1" applyBorder="1" applyAlignment="1">
      <alignment horizontal="left" vertical="top"/>
    </xf>
    <xf fontId="24" fillId="0" borderId="14" numFmtId="0" xfId="0" applyFont="1" applyBorder="1" applyAlignment="1">
      <alignment horizontal="left" vertical="top"/>
    </xf>
    <xf fontId="0" fillId="0" borderId="14" numFmtId="0" xfId="68" applyBorder="1"/>
    <xf fontId="24" fillId="0" borderId="14" numFmtId="10" xfId="0" applyNumberFormat="1" applyFont="1" applyBorder="1" applyAlignment="1">
      <alignment horizontal="left" vertical="top"/>
    </xf>
    <xf fontId="26" fillId="0" borderId="14" numFmtId="10" xfId="0" applyNumberFormat="1" applyFont="1" applyBorder="1" applyAlignment="1">
      <alignment horizontal="left" vertical="top"/>
    </xf>
    <xf fontId="0" fillId="0" borderId="0" numFmtId="0" xfId="68"/>
  </cellXfs>
  <cellStyles count="80">
    <cellStyle name="20% — акцент1" xfId="1" builtinId="30"/>
    <cellStyle name="20% — акцент1 2" xfId="2"/>
    <cellStyle name="20% — акцент1 3" xfId="3"/>
    <cellStyle name="20% — акцент2" xfId="4" builtinId="34"/>
    <cellStyle name="20% — акцент2 2" xfId="5"/>
    <cellStyle name="20% — акцент2 3" xfId="6"/>
    <cellStyle name="20% — акцент3" xfId="7" builtinId="38"/>
    <cellStyle name="20% — акцент3 2" xfId="8"/>
    <cellStyle name="20% — акцент3 3" xfId="9"/>
    <cellStyle name="20% — акцент4" xfId="10" builtinId="42"/>
    <cellStyle name="20% — акцент4 2" xfId="11"/>
    <cellStyle name="20% — акцент4 3" xfId="12"/>
    <cellStyle name="20% — акцент5" xfId="13" builtinId="46"/>
    <cellStyle name="20% — акцент5 2" xfId="14"/>
    <cellStyle name="20% — акцент5 3" xfId="15"/>
    <cellStyle name="20% — акцент6" xfId="16" builtinId="50"/>
    <cellStyle name="20% — акцент6 2" xfId="17"/>
    <cellStyle name="20% — акцент6 3" xfId="18"/>
    <cellStyle name="40% — акцент1" xfId="19" builtinId="31"/>
    <cellStyle name="40% — акцент1 2" xfId="20"/>
    <cellStyle name="40% — акцент1 3" xfId="21"/>
    <cellStyle name="40% — акцент2" xfId="22" builtinId="35"/>
    <cellStyle name="40% — акцент2 2" xfId="23"/>
    <cellStyle name="40% — акцент2 3" xfId="24"/>
    <cellStyle name="40% — акцент3" xfId="25" builtinId="39"/>
    <cellStyle name="40% — акцент3 2" xfId="26"/>
    <cellStyle name="40% — акцент3 3" xfId="27"/>
    <cellStyle name="40% — акцент4" xfId="28" builtinId="43"/>
    <cellStyle name="40% — акцент4 2" xfId="29"/>
    <cellStyle name="40% — акцент4 3" xfId="30"/>
    <cellStyle name="40% — акцент5" xfId="31" builtinId="47"/>
    <cellStyle name="40% — акцент5 2" xfId="32"/>
    <cellStyle name="40% — акцент5 3" xfId="33"/>
    <cellStyle name="40% — акцент6" xfId="34" builtinId="51"/>
    <cellStyle name="40% — акцент6 2" xfId="35"/>
    <cellStyle name="40% — акцент6 3" xfId="36"/>
    <cellStyle name="60% — акцент1" xfId="37" builtinId="32"/>
    <cellStyle name="60% — акцент1 2" xfId="38"/>
    <cellStyle name="60% — акцент2" xfId="39" builtinId="36"/>
    <cellStyle name="60% — акцент2 2" xfId="40"/>
    <cellStyle name="60% — акцент3" xfId="41" builtinId="40"/>
    <cellStyle name="60% — акцент3 2" xfId="42"/>
    <cellStyle name="60% — акцент4" xfId="43" builtinId="44"/>
    <cellStyle name="60% — акцент4 2" xfId="44"/>
    <cellStyle name="60% — акцент5" xfId="45" builtinId="48"/>
    <cellStyle name="60% — акцент5 2" xfId="46"/>
    <cellStyle name="60% — акцент6" xfId="47" builtinId="52"/>
    <cellStyle name="60% — акцент6 2" xfId="48"/>
    <cellStyle name="Акцент1" xfId="49" builtinId="29"/>
    <cellStyle name="Акцент2" xfId="50" builtinId="33"/>
    <cellStyle name="Акцент3" xfId="51" builtinId="37"/>
    <cellStyle name="Акцент4" xfId="52" builtinId="41"/>
    <cellStyle name="Акцент5" xfId="53" builtinId="45"/>
    <cellStyle name="Акцент6" xfId="54" builtinId="49"/>
    <cellStyle name="Ввод " xfId="55" builtinId="20"/>
    <cellStyle name="Вывод" xfId="56" builtinId="21"/>
    <cellStyle name="Вычисление" xfId="57" builtinId="22"/>
    <cellStyle name="Заголовок 1" xfId="58" builtinId="16"/>
    <cellStyle name="Заголовок 2" xfId="59" builtinId="17"/>
    <cellStyle name="Заголовок 3" xfId="60" builtinId="18"/>
    <cellStyle name="Заголовок 4" xfId="61" builtinId="19"/>
    <cellStyle name="Итог" xfId="62" builtinId="25"/>
    <cellStyle name="Контрольная ячейка" xfId="63" builtinId="23"/>
    <cellStyle name="Название" xfId="64" builtinId="15"/>
    <cellStyle name="Нейтральный" xfId="65" builtinId="28"/>
    <cellStyle name="Нейтральный 2" xfId="66"/>
    <cellStyle name="Обычный" xfId="0" builtinId="0"/>
    <cellStyle name="Обычный 2" xfId="67"/>
    <cellStyle name="Обычный 3" xfId="68"/>
    <cellStyle name="Обычный 4" xfId="69"/>
    <cellStyle name="Обычный 5" xfId="70"/>
    <cellStyle name="Плохой" xfId="71" builtinId="27"/>
    <cellStyle name="Пояснение" xfId="72" builtinId="53"/>
    <cellStyle name="Примечание 2" xfId="73"/>
    <cellStyle name="Примечание 3" xfId="74"/>
    <cellStyle name="Примечание 4" xfId="75"/>
    <cellStyle name="Процентный" xfId="76" builtinId="5"/>
    <cellStyle name="Связанная ячейка" xfId="77" builtinId="24"/>
    <cellStyle name="Текст предупреждения" xfId="78" builtinId="11"/>
    <cellStyle name="Хороший" xfId="79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4.xml"/><Relationship  Id="rId5" Type="http://schemas.openxmlformats.org/officeDocument/2006/relationships/worksheet" Target="worksheets/sheet3.xml"/><Relationship  Id="rId4" Type="http://schemas.openxmlformats.org/officeDocument/2006/relationships/worksheet" Target="worksheets/sheet2.xml"/><Relationship  Id="rId3" Type="http://schemas.openxmlformats.org/officeDocument/2006/relationships/worksheet" Target="worksheets/sheet1.xml"/><Relationship  Id="rId2" Type="http://schemas.microsoft.com/office/2017/10/relationships/person" Target="persons/person.xml"/><Relationship  Id="rId1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8759404F-AB4E-7877-519C-382B3E4680F5}"/>
</personList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tse" refreshedDate="45648.089031365744" createdVersion="6" refreshedVersion="6" minRefreshableVersion="3" recordCount="32">
  <cacheSource type="worksheet">
    <worksheetSource ref="A1:H33" sheet="Автоматизированный расчет"/>
  </cacheSource>
  <cacheFields count="8">
    <cacheField name="Script name" numFmtId="0">
      <sharedItems containsBlank="1"/>
    </cacheField>
    <cacheField name="transaction rq" numFmtId="0">
      <sharedItems containsBlank="1" count="14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/>
        <s v="*" u="1"/>
      </sharedItems>
    </cacheField>
    <cacheField name="count" numFmtId="0">
      <sharedItems containsString="0" containsBlank="1" containsNumber="1" containsInteger="1" minValue="0" maxValue="1"/>
    </cacheField>
    <cacheField name="VU" numFmtId="0">
      <sharedItems containsString="0" containsBlank="1" containsNumber="1" containsInteger="1" minValue="1" maxValue="3"/>
    </cacheField>
    <cacheField name="pacing" numFmtId="0">
      <sharedItems containsString="0" containsBlank="1" containsNumber="1" containsInteger="1" minValue="50" maxValue="80"/>
    </cacheField>
    <cacheField name="одним пользователем в минуту" numFmtId="2">
      <sharedItems containsString="0" containsBlank="1" containsNumber="1" minValue="0" maxValue="1.2"/>
    </cacheField>
    <cacheField name="Длительность ступени" numFmtId="0">
      <sharedItems containsString="0" containsBlank="1" containsNumber="1" containsInteger="1" minValue="20" maxValue="20"/>
    </cacheField>
    <cacheField name="Итого" numFmtId="1">
      <sharedItems containsString="0" containsBlank="1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Покупка билета"/>
    <x v="0"/>
    <n v="1"/>
    <n v="3"/>
    <n v="60"/>
    <n v="1"/>
    <n v="20"/>
    <n v="60"/>
  </r>
  <r>
    <s v="Покупка билета"/>
    <x v="1"/>
    <n v="1"/>
    <n v="3"/>
    <n v="60"/>
    <n v="1"/>
    <n v="20"/>
    <n v="60"/>
  </r>
  <r>
    <s v="Покупка билета"/>
    <x v="2"/>
    <n v="1"/>
    <n v="3"/>
    <n v="60"/>
    <n v="1"/>
    <n v="20"/>
    <n v="60"/>
  </r>
  <r>
    <s v="Покупка билета"/>
    <x v="3"/>
    <n v="1"/>
    <n v="3"/>
    <n v="60"/>
    <n v="1"/>
    <n v="20"/>
    <n v="60"/>
  </r>
  <r>
    <s v="Покупка билета"/>
    <x v="4"/>
    <n v="1"/>
    <n v="3"/>
    <n v="60"/>
    <n v="1"/>
    <n v="20"/>
    <n v="60"/>
  </r>
  <r>
    <s v="Покупка билета"/>
    <x v="5"/>
    <n v="1"/>
    <n v="3"/>
    <n v="60"/>
    <n v="1"/>
    <n v="20"/>
    <n v="60"/>
  </r>
  <r>
    <s v="Покупка билета"/>
    <x v="6"/>
    <n v="0"/>
    <n v="3"/>
    <n v="60"/>
    <n v="0"/>
    <n v="20"/>
    <n v="0"/>
  </r>
  <r>
    <s v="Покупка билета"/>
    <x v="7"/>
    <n v="1"/>
    <n v="3"/>
    <n v="60"/>
    <n v="1"/>
    <n v="20"/>
    <n v="60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6"/>
    <n v="1"/>
    <n v="1"/>
    <n v="50"/>
    <n v="1.2"/>
    <n v="20"/>
    <n v="24"/>
  </r>
  <r>
    <s v="Удаление бронирования "/>
    <x v="8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Регистрация новых пользователей"/>
    <x v="0"/>
    <n v="1"/>
    <n v="2"/>
    <n v="76"/>
    <n v="0.7894736842105263"/>
    <n v="20"/>
    <n v="31.578947368421055"/>
  </r>
  <r>
    <s v="Регистрация новых пользователей"/>
    <x v="9"/>
    <n v="1"/>
    <n v="2"/>
    <n v="76"/>
    <n v="0.7894736842105263"/>
    <n v="20"/>
    <n v="31.578947368421055"/>
  </r>
  <r>
    <s v="Регистрация новых пользователей"/>
    <x v="10"/>
    <n v="1"/>
    <n v="2"/>
    <n v="76"/>
    <n v="0.7894736842105263"/>
    <n v="20"/>
    <n v="31.578947368421055"/>
  </r>
  <r>
    <s v="Регистрация новых пользователей"/>
    <x v="11"/>
    <n v="1"/>
    <n v="2"/>
    <n v="76"/>
    <n v="0.7894736842105263"/>
    <n v="20"/>
    <n v="31.578947368421055"/>
  </r>
  <r>
    <s v="Регистрация новых пользователей"/>
    <x v="7"/>
    <n v="0"/>
    <n v="2"/>
    <n v="76"/>
    <n v="0"/>
    <n v="20"/>
    <n v="0"/>
  </r>
  <r>
    <m/>
    <x v="12"/>
    <m/>
    <m/>
    <m/>
    <m/>
    <m/>
    <m/>
  </r>
  <r>
    <m/>
    <x v="12"/>
    <m/>
    <m/>
    <m/>
    <m/>
    <m/>
    <m/>
  </r>
  <r>
    <m/>
    <x v="12"/>
    <m/>
    <m/>
    <m/>
    <m/>
    <m/>
    <m/>
  </r>
  <r>
    <s v="Поиск билета без покупки"/>
    <x v="0"/>
    <n v="1"/>
    <n v="2"/>
    <n v="68"/>
    <n v="0.8823529411764706"/>
    <n v="20"/>
    <n v="35.294117647058826"/>
  </r>
  <r>
    <s v="Поиск билета без покупки"/>
    <x v="1"/>
    <n v="1"/>
    <n v="2"/>
    <n v="68"/>
    <n v="0.8823529411764706"/>
    <n v="20"/>
    <n v="35.294117647058826"/>
  </r>
  <r>
    <s v="Поиск билета без покупки"/>
    <x v="2"/>
    <n v="1"/>
    <n v="2"/>
    <n v="68"/>
    <n v="0.8823529411764706"/>
    <n v="20"/>
    <n v="35.294117647058826"/>
  </r>
  <r>
    <s v="Поиск билета без покупки"/>
    <x v="3"/>
    <n v="1"/>
    <n v="2"/>
    <n v="68"/>
    <n v="0.8823529411764706"/>
    <n v="20"/>
    <n v="35.294117647058826"/>
  </r>
  <r>
    <s v="Поиск билета без покупки"/>
    <x v="4"/>
    <n v="1"/>
    <n v="2"/>
    <n v="68"/>
    <n v="0.8823529411764706"/>
    <n v="20"/>
    <n v="35.294117647058826"/>
  </r>
  <r>
    <s v="Поиск билета без покупки"/>
    <x v="6"/>
    <n v="1"/>
    <n v="2"/>
    <n v="68"/>
    <n v="0.8823529411764706"/>
    <n v="20"/>
    <n v="35.294117647058826"/>
  </r>
  <r>
    <s v="Поиск билета без покупки"/>
    <x v="7"/>
    <n v="0"/>
    <n v="2"/>
    <n v="68"/>
    <n v="0"/>
    <n v="20"/>
    <n v="0"/>
  </r>
  <r>
    <s v="Ознакомление с путевым листом"/>
    <x v="0"/>
    <n v="1"/>
    <n v="2"/>
    <n v="80"/>
    <n v="0.75"/>
    <n v="20"/>
    <n v="30"/>
  </r>
  <r>
    <s v="Ознакомление с путевым листом"/>
    <x v="1"/>
    <n v="1"/>
    <n v="2"/>
    <n v="80"/>
    <n v="0.75"/>
    <n v="20"/>
    <n v="30"/>
  </r>
  <r>
    <s v="Ознакомление с путевым листом"/>
    <x v="6"/>
    <n v="1"/>
    <n v="2"/>
    <n v="80"/>
    <n v="0.75"/>
    <n v="20"/>
    <n v="30"/>
  </r>
  <r>
    <s v="Ознакомление с путевым листом"/>
    <x v="7"/>
    <n v="1"/>
    <n v="2"/>
    <n v="80"/>
    <n v="0.75"/>
    <n v="20"/>
    <n v="30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5" firstHeaderRow="1" firstDataRow="1" firstDataCol="1"/>
  <pivotFields count="8">
    <pivotField showAll="0"/>
    <pivotField axis="axisRow" showAll="0">
      <items count="15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x="12"/>
        <item m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>
      <pivotArea outline="0" collapsedLevelsAreSubtotals="1" fieldPosition="0"/>
    </format>
    <format>
      <pivotArea outline="0" collapsedLevelsAreSubtotals="1" fieldPosition="0"/>
    </format>
    <format>
      <pivotArea outline="0" collapsedLevelsAreSubtotals="1" fieldPosition="0"/>
    </format>
    <format>
      <pivotArea outline="0" collapsedLevelsAreSubtotals="1" fieldPosition="0"/>
    </format>
    <format>
      <pivotArea outline="0" collapsedLevelsAreSubtotals="1" fieldPosition="0"/>
    </format>
    <format>
      <pivotArea outline="0" collapsedLevelsAreSubtotals="1" fieldPosition="0"/>
    </format>
    <format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personId="{8759404F-AB4E-7877-519C-382B3E4680F5}" id="{0030006F-00B4-4C40-8ECA-00EB00F6006A}" done="0">
    <text xml:space="preserve">Duration - заполняется на основе данных после выполнения итерации соотвествующего скрипта в Vugen'е
</text>
  </threadedComment>
  <threadedComment ref="O2" personId="{8759404F-AB4E-7877-519C-382B3E4680F5}" id="{00F700F9-0012-4CB2-8CEE-00D100220054}" done="0">
    <text xml:space="preserve">ThinkTime - заполнятеся на основе ThinkTime'ов по выполнению одной итерации соотвествующего скрипта в Vugen'е
</text>
  </threadedComment>
  <threadedComment ref="P2" personId="{8759404F-AB4E-7877-519C-382B3E4680F5}" id="{00F100CF-00AC-46BA-8CB0-00D200E2006E}" done="0">
    <text xml:space="preserve">Общая длительность одной итерации скрипта ThinkTime + Duration, считается автоматически
</text>
  </threadedComment>
  <threadedComment ref="Q2" personId="{8759404F-AB4E-7877-519C-382B3E4680F5}" id="{00B80000-0081-4D4E-897D-009E00B800DA}" done="0">
    <text xml:space="preserve">Pacing не должен быть меньше чем Duration + think time (столбец P). Изначально считается как Duration + think time * 2 (коэф запаса времени), далее подгоняется вручную
</text>
  </threadedComment>
  <threadedComment ref="R2" personId="{8759404F-AB4E-7877-519C-382B3E4680F5}" id="{00F400E8-00EF-4BA0-882F-008000EC0077}" done="0">
    <text xml:space="preserve">Количество пользователей для конкретного скрипта, заполняется вручную, сумма всех пользователей для 100% профиля не должна превышать 10.
</text>
  </threadedComment>
  <threadedComment ref="M21" personId="{8759404F-AB4E-7877-519C-382B3E4680F5}" id="{003A00BB-00F3-4FCB-AC14-00F900B90012}" done="0">
    <text xml:space="preserve">1. Отображение состояния скриптов
2. Расчёт интенсивности
3. Расчёт интенсивности для каждой транзакции
</text>
  </threadedComment>
</ThreadedComments>
</file>

<file path=xl/worksheets/_rels/sheet1.xml.rels><?xml version="1.0" encoding="UTF-8" standalone="yes"?><Relationships xmlns="http://schemas.openxmlformats.org/package/2006/relationships"><Relationship  Id="rId4" Type="http://schemas.openxmlformats.org/officeDocument/2006/relationships/pivotTable" Target="../pivotTables/pivotTable1.xml"/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" zoomScale="100" workbookViewId="0">
      <selection activeCell="E38" activeCellId="0" sqref="E38"/>
    </sheetView>
  </sheetViews>
  <sheetFormatPr defaultColWidth="11.42578125" defaultRowHeight="14.25"/>
  <cols>
    <col customWidth="1" min="1" max="1" width="31.7109375"/>
    <col bestFit="1" customWidth="1" min="2" max="2" width="31.42578125"/>
    <col customWidth="1" min="3" max="3" width="18.140625"/>
    <col customWidth="1" min="4" max="4" width="17.85546875"/>
    <col bestFit="1" customWidth="1" min="5" max="5" width="19.140625"/>
    <col customWidth="1" min="6" max="6" width="28.28515625"/>
    <col bestFit="1" customWidth="1" min="7" max="7" width="18.7109375"/>
    <col customWidth="1" min="8" max="8" width="17"/>
    <col bestFit="1" customWidth="1" min="9" max="9" width="47.42578125"/>
    <col bestFit="1" customWidth="1" min="10" max="10" width="21.5703125"/>
    <col customWidth="1" min="11" max="11" width="18.140625"/>
    <col customWidth="1" min="12" max="12" width="26.7109375"/>
    <col bestFit="1" customWidth="1" min="13" max="13" width="35.140625"/>
    <col customWidth="1" min="14" max="14" width="17.85546875"/>
    <col customWidth="1" min="15" max="15" width="23.85546875"/>
    <col bestFit="1" customWidth="1" min="16" max="16" width="23.42578125"/>
    <col customWidth="1" min="17" max="17" width="26"/>
    <col customWidth="1" min="18" max="18" width="10.42578125"/>
    <col bestFit="1" customWidth="1" min="19" max="19" width="34.140625"/>
    <col bestFit="1" customWidth="1" min="20" max="20" width="53.7109375"/>
  </cols>
  <sheetData>
    <row r="1" ht="15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M1" s="2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3</v>
      </c>
      <c r="S1" s="4" t="s">
        <v>15</v>
      </c>
      <c r="T1" s="5" t="s">
        <v>16</v>
      </c>
      <c r="U1" s="6" t="s">
        <v>17</v>
      </c>
      <c r="V1" s="6" t="s">
        <v>18</v>
      </c>
      <c r="W1" s="7" t="s">
        <v>19</v>
      </c>
    </row>
    <row r="2">
      <c r="A2" s="8" t="s">
        <v>20</v>
      </c>
      <c r="B2" s="8" t="s">
        <v>21</v>
      </c>
      <c r="C2" s="9">
        <v>1</v>
      </c>
      <c r="D2" s="10">
        <f t="shared" ref="D2:D3" si="0">VLOOKUP(A2,$M$1:$X$8,6,FALSE)</f>
        <v>3</v>
      </c>
      <c r="E2">
        <f t="shared" ref="E2:E3" si="1">VLOOKUP(A2,$M$1:$X$8,5,FALSE)</f>
        <v>60</v>
      </c>
      <c r="F2" s="11">
        <f t="shared" ref="F2:F9" si="2">60/E2*C2</f>
        <v>1</v>
      </c>
      <c r="G2">
        <f t="shared" ref="G2:G9" si="3">VLOOKUP(A2,$M$1:$X$8,9,FALSE)</f>
        <v>20</v>
      </c>
      <c r="H2" s="12">
        <f t="shared" ref="H2:H9" si="4">D2*F2*G2</f>
        <v>60</v>
      </c>
      <c r="I2" s="13" t="s">
        <v>22</v>
      </c>
      <c r="J2" s="12">
        <v>149.29411764705884</v>
      </c>
      <c r="M2" s="14" t="s">
        <v>20</v>
      </c>
      <c r="N2" s="15">
        <v>5</v>
      </c>
      <c r="O2" s="16">
        <v>25</v>
      </c>
      <c r="P2" s="17">
        <f t="shared" ref="P2:P7" si="5">N2+O2</f>
        <v>30</v>
      </c>
      <c r="Q2" s="18">
        <f t="shared" ref="Q2:Q7" si="6">P2*2</f>
        <v>60</v>
      </c>
      <c r="R2" s="19">
        <v>3</v>
      </c>
      <c r="S2" s="20">
        <f t="shared" ref="S2:S7" si="7">R2/W$2</f>
        <v>0.29999999999999999</v>
      </c>
      <c r="T2" s="21">
        <f t="shared" ref="T2:T7" si="8">60/(Q2)</f>
        <v>1</v>
      </c>
      <c r="U2" s="22">
        <v>20</v>
      </c>
      <c r="V2" s="23">
        <f t="shared" ref="V2:V6" si="9">ROUND(R2*T2*U2,0)</f>
        <v>60</v>
      </c>
      <c r="W2" s="24">
        <f>SUM(R2:R7)</f>
        <v>10</v>
      </c>
    </row>
    <row r="3">
      <c r="A3" s="8" t="s">
        <v>20</v>
      </c>
      <c r="B3" s="8" t="s">
        <v>22</v>
      </c>
      <c r="C3" s="9">
        <v>1</v>
      </c>
      <c r="D3" s="25">
        <f t="shared" si="0"/>
        <v>3</v>
      </c>
      <c r="E3">
        <f t="shared" si="1"/>
        <v>60</v>
      </c>
      <c r="F3" s="11">
        <f t="shared" si="2"/>
        <v>1</v>
      </c>
      <c r="G3">
        <f t="shared" si="3"/>
        <v>20</v>
      </c>
      <c r="H3" s="12">
        <f t="shared" si="4"/>
        <v>60</v>
      </c>
      <c r="I3" s="13" t="s">
        <v>23</v>
      </c>
      <c r="J3" s="12">
        <v>95.294117647058826</v>
      </c>
      <c r="M3" s="14" t="s">
        <v>24</v>
      </c>
      <c r="N3" s="15">
        <v>5</v>
      </c>
      <c r="O3" s="16">
        <v>20</v>
      </c>
      <c r="P3" s="17">
        <f t="shared" si="5"/>
        <v>25</v>
      </c>
      <c r="Q3" s="18">
        <f t="shared" si="6"/>
        <v>50</v>
      </c>
      <c r="R3" s="19">
        <v>1</v>
      </c>
      <c r="S3" s="20">
        <f t="shared" si="7"/>
        <v>0.10000000000000001</v>
      </c>
      <c r="T3" s="21">
        <f t="shared" si="8"/>
        <v>1.2</v>
      </c>
      <c r="U3" s="22">
        <v>20</v>
      </c>
      <c r="V3" s="23">
        <f t="shared" si="9"/>
        <v>24</v>
      </c>
      <c r="W3" s="24"/>
    </row>
    <row r="4">
      <c r="A4" s="8" t="s">
        <v>20</v>
      </c>
      <c r="B4" s="8" t="s">
        <v>25</v>
      </c>
      <c r="C4" s="9">
        <v>1</v>
      </c>
      <c r="D4" s="25">
        <f t="shared" ref="D4:D5" si="10">VLOOKUP(A5,$M$1:$X$8,6,FALSE)</f>
        <v>3</v>
      </c>
      <c r="E4">
        <f t="shared" ref="E4:E5" si="11">VLOOKUP(A5,$M$1:$X$8,5,FALSE)</f>
        <v>60</v>
      </c>
      <c r="F4" s="11">
        <f t="shared" si="2"/>
        <v>1</v>
      </c>
      <c r="G4">
        <f t="shared" si="3"/>
        <v>20</v>
      </c>
      <c r="H4" s="12">
        <f t="shared" si="4"/>
        <v>60</v>
      </c>
      <c r="I4" s="13" t="s">
        <v>26</v>
      </c>
      <c r="J4" s="12">
        <v>114</v>
      </c>
      <c r="M4" s="14" t="s">
        <v>27</v>
      </c>
      <c r="N4" s="15">
        <v>3</v>
      </c>
      <c r="O4" s="16">
        <v>35</v>
      </c>
      <c r="P4" s="17">
        <f t="shared" si="5"/>
        <v>38</v>
      </c>
      <c r="Q4" s="18">
        <f t="shared" si="6"/>
        <v>76</v>
      </c>
      <c r="R4" s="19">
        <v>2</v>
      </c>
      <c r="S4" s="20">
        <f t="shared" si="7"/>
        <v>0.20000000000000001</v>
      </c>
      <c r="T4" s="21">
        <f t="shared" si="8"/>
        <v>0.78947368421052633</v>
      </c>
      <c r="U4" s="22">
        <v>20</v>
      </c>
      <c r="V4" s="23">
        <f t="shared" si="9"/>
        <v>32</v>
      </c>
      <c r="W4" s="24"/>
    </row>
    <row r="5">
      <c r="A5" s="8" t="s">
        <v>20</v>
      </c>
      <c r="B5" s="8" t="s">
        <v>28</v>
      </c>
      <c r="C5" s="9">
        <v>1</v>
      </c>
      <c r="D5" s="25">
        <f t="shared" si="10"/>
        <v>3</v>
      </c>
      <c r="E5">
        <f t="shared" si="11"/>
        <v>60</v>
      </c>
      <c r="F5" s="11">
        <f t="shared" si="2"/>
        <v>1</v>
      </c>
      <c r="G5">
        <f t="shared" si="3"/>
        <v>20</v>
      </c>
      <c r="H5" s="12">
        <f t="shared" si="4"/>
        <v>60</v>
      </c>
      <c r="I5" s="13" t="s">
        <v>28</v>
      </c>
      <c r="J5" s="12">
        <v>95.294117647058826</v>
      </c>
      <c r="M5" s="14" t="s">
        <v>29</v>
      </c>
      <c r="N5" s="15">
        <v>3</v>
      </c>
      <c r="O5" s="16">
        <v>31</v>
      </c>
      <c r="P5" s="17">
        <f t="shared" si="5"/>
        <v>34</v>
      </c>
      <c r="Q5" s="18">
        <f t="shared" si="6"/>
        <v>68</v>
      </c>
      <c r="R5" s="19">
        <v>2</v>
      </c>
      <c r="S5" s="20">
        <f t="shared" si="7"/>
        <v>0.20000000000000001</v>
      </c>
      <c r="T5" s="21">
        <f t="shared" si="8"/>
        <v>0.88235294117647056</v>
      </c>
      <c r="U5" s="22">
        <v>20</v>
      </c>
      <c r="V5" s="23">
        <f t="shared" si="9"/>
        <v>35</v>
      </c>
      <c r="W5" s="24"/>
    </row>
    <row r="6">
      <c r="A6" s="8" t="s">
        <v>20</v>
      </c>
      <c r="B6" s="8" t="s">
        <v>23</v>
      </c>
      <c r="C6" s="9">
        <v>1</v>
      </c>
      <c r="D6" s="25">
        <f t="shared" ref="D6:D9" si="12">VLOOKUP(A6,$M$1:$X$8,6,FALSE)</f>
        <v>3</v>
      </c>
      <c r="E6">
        <f t="shared" ref="E6:E9" si="13">VLOOKUP(A6,$M$1:$X$8,5,FALSE)</f>
        <v>60</v>
      </c>
      <c r="F6" s="11">
        <f t="shared" si="2"/>
        <v>1</v>
      </c>
      <c r="G6">
        <f t="shared" si="3"/>
        <v>20</v>
      </c>
      <c r="H6" s="12">
        <f t="shared" si="4"/>
        <v>60</v>
      </c>
      <c r="I6" s="13" t="s">
        <v>30</v>
      </c>
      <c r="J6" s="12">
        <v>60</v>
      </c>
      <c r="M6" s="14" t="s">
        <v>31</v>
      </c>
      <c r="N6" s="15">
        <v>3</v>
      </c>
      <c r="O6" s="16">
        <v>37</v>
      </c>
      <c r="P6" s="17">
        <f t="shared" si="5"/>
        <v>40</v>
      </c>
      <c r="Q6" s="18">
        <f t="shared" si="6"/>
        <v>80</v>
      </c>
      <c r="R6" s="19">
        <v>2</v>
      </c>
      <c r="S6" s="20">
        <f t="shared" si="7"/>
        <v>0.20000000000000001</v>
      </c>
      <c r="T6" s="21">
        <f t="shared" si="8"/>
        <v>0.75</v>
      </c>
      <c r="U6" s="22">
        <v>20</v>
      </c>
      <c r="V6" s="23">
        <f t="shared" si="9"/>
        <v>30</v>
      </c>
      <c r="W6" s="24"/>
    </row>
    <row r="7">
      <c r="A7" s="26" t="s">
        <v>20</v>
      </c>
      <c r="B7" s="8" t="s">
        <v>30</v>
      </c>
      <c r="C7" s="27">
        <v>1</v>
      </c>
      <c r="D7" s="25">
        <f t="shared" si="12"/>
        <v>3</v>
      </c>
      <c r="E7">
        <f t="shared" si="13"/>
        <v>60</v>
      </c>
      <c r="F7" s="11">
        <f t="shared" si="2"/>
        <v>1</v>
      </c>
      <c r="G7">
        <f t="shared" si="3"/>
        <v>20</v>
      </c>
      <c r="H7" s="12">
        <f t="shared" si="4"/>
        <v>60</v>
      </c>
      <c r="I7" s="13" t="s">
        <v>32</v>
      </c>
      <c r="J7" s="12">
        <v>24</v>
      </c>
      <c r="M7" s="14" t="s">
        <v>33</v>
      </c>
      <c r="N7" s="15">
        <v>0.60999999999999999</v>
      </c>
      <c r="O7" s="28">
        <v>5</v>
      </c>
      <c r="P7" s="17">
        <f t="shared" si="5"/>
        <v>5.6100000000000003</v>
      </c>
      <c r="Q7" s="18">
        <f t="shared" si="6"/>
        <v>11.220000000000001</v>
      </c>
      <c r="R7" s="19">
        <v>0</v>
      </c>
      <c r="S7" s="20">
        <f t="shared" si="7"/>
        <v>0</v>
      </c>
      <c r="T7" s="21">
        <f t="shared" si="8"/>
        <v>5.3475935828877006</v>
      </c>
      <c r="U7" s="22">
        <v>20</v>
      </c>
      <c r="V7" s="23">
        <f>SUM(V2:V6)</f>
        <v>181</v>
      </c>
      <c r="W7" s="24"/>
    </row>
    <row r="8" ht="15.75">
      <c r="A8" s="26" t="s">
        <v>20</v>
      </c>
      <c r="B8" s="26" t="s">
        <v>34</v>
      </c>
      <c r="C8" s="27">
        <v>0</v>
      </c>
      <c r="D8" s="25">
        <f t="shared" si="12"/>
        <v>3</v>
      </c>
      <c r="E8">
        <f t="shared" si="13"/>
        <v>60</v>
      </c>
      <c r="F8" s="11">
        <f t="shared" si="2"/>
        <v>0</v>
      </c>
      <c r="G8">
        <f t="shared" si="3"/>
        <v>20</v>
      </c>
      <c r="H8" s="12">
        <f t="shared" si="4"/>
        <v>0</v>
      </c>
      <c r="I8" s="13" t="s">
        <v>34</v>
      </c>
      <c r="J8" s="12">
        <v>89.294117647058826</v>
      </c>
      <c r="M8" s="29"/>
      <c r="N8" s="30"/>
      <c r="O8" s="30"/>
      <c r="P8" s="30"/>
      <c r="Q8" s="30"/>
      <c r="R8" s="30"/>
      <c r="S8" s="31">
        <f>SUM(S2:S7)</f>
        <v>1</v>
      </c>
      <c r="T8" s="32"/>
      <c r="U8" s="30"/>
      <c r="V8" s="30"/>
      <c r="W8" s="33"/>
    </row>
    <row r="9" ht="15.75">
      <c r="A9" s="8" t="s">
        <v>20</v>
      </c>
      <c r="B9" s="8" t="s">
        <v>26</v>
      </c>
      <c r="C9" s="9">
        <v>1</v>
      </c>
      <c r="D9" s="25">
        <f t="shared" si="12"/>
        <v>3</v>
      </c>
      <c r="E9">
        <f t="shared" si="13"/>
        <v>60</v>
      </c>
      <c r="F9" s="11">
        <f t="shared" si="2"/>
        <v>1</v>
      </c>
      <c r="G9">
        <f t="shared" si="3"/>
        <v>20</v>
      </c>
      <c r="H9" s="12">
        <f t="shared" si="4"/>
        <v>60</v>
      </c>
      <c r="I9" s="13" t="s">
        <v>21</v>
      </c>
      <c r="J9" s="12">
        <v>180.87306501547988</v>
      </c>
    </row>
    <row r="10">
      <c r="A10" s="8" t="s">
        <v>24</v>
      </c>
      <c r="B10" s="8" t="s">
        <v>21</v>
      </c>
      <c r="C10" s="8">
        <v>1</v>
      </c>
      <c r="D10" s="7">
        <f t="shared" ref="D10:D33" si="14">VLOOKUP(A10,$M$1:$X$8,6,FALSE)</f>
        <v>1</v>
      </c>
      <c r="E10" s="12">
        <f t="shared" ref="E10:E33" si="15">VLOOKUP(A10,$M$1:$X$8,5,FALSE)</f>
        <v>50</v>
      </c>
      <c r="F10" s="11">
        <f t="shared" ref="F10:F33" si="16">60/E10*C10</f>
        <v>1.2</v>
      </c>
      <c r="G10">
        <f t="shared" ref="G10:G33" si="17">VLOOKUP(A10,$M$1:$X$8,9,FALSE)</f>
        <v>20</v>
      </c>
      <c r="H10" s="12">
        <f t="shared" ref="H10:H33" si="18">D10*F10*G10</f>
        <v>24</v>
      </c>
      <c r="I10" s="13" t="s">
        <v>35</v>
      </c>
      <c r="J10" s="12">
        <v>31.578947368421055</v>
      </c>
    </row>
    <row r="11">
      <c r="A11" s="8" t="s">
        <v>24</v>
      </c>
      <c r="B11" s="8" t="s">
        <v>22</v>
      </c>
      <c r="C11" s="8">
        <v>1</v>
      </c>
      <c r="D11" s="24">
        <f t="shared" si="14"/>
        <v>1</v>
      </c>
      <c r="E11" s="12">
        <f t="shared" si="15"/>
        <v>50</v>
      </c>
      <c r="F11" s="11">
        <f t="shared" si="16"/>
        <v>1.2</v>
      </c>
      <c r="G11">
        <f t="shared" si="17"/>
        <v>20</v>
      </c>
      <c r="H11" s="12">
        <f t="shared" si="18"/>
        <v>24</v>
      </c>
      <c r="I11" s="13" t="s">
        <v>36</v>
      </c>
      <c r="J11" s="12">
        <v>31.578947368421055</v>
      </c>
    </row>
    <row r="12">
      <c r="A12" s="8" t="s">
        <v>24</v>
      </c>
      <c r="B12" s="8" t="s">
        <v>34</v>
      </c>
      <c r="C12" s="8">
        <v>1</v>
      </c>
      <c r="D12" s="24">
        <f t="shared" si="14"/>
        <v>1</v>
      </c>
      <c r="E12" s="12">
        <f t="shared" si="15"/>
        <v>50</v>
      </c>
      <c r="F12" s="11">
        <f t="shared" si="16"/>
        <v>1.2</v>
      </c>
      <c r="G12">
        <f t="shared" si="17"/>
        <v>20</v>
      </c>
      <c r="H12" s="12">
        <f t="shared" si="18"/>
        <v>24</v>
      </c>
      <c r="I12" s="13" t="s">
        <v>37</v>
      </c>
      <c r="J12" s="12">
        <v>31.578947368421055</v>
      </c>
    </row>
    <row r="13">
      <c r="A13" s="8" t="s">
        <v>24</v>
      </c>
      <c r="B13" s="8" t="s">
        <v>32</v>
      </c>
      <c r="C13" s="8">
        <v>1</v>
      </c>
      <c r="D13" s="24">
        <f t="shared" si="14"/>
        <v>1</v>
      </c>
      <c r="E13" s="12">
        <f t="shared" si="15"/>
        <v>50</v>
      </c>
      <c r="F13" s="11">
        <f t="shared" si="16"/>
        <v>1.2</v>
      </c>
      <c r="G13">
        <f t="shared" si="17"/>
        <v>20</v>
      </c>
      <c r="H13" s="12">
        <f t="shared" si="18"/>
        <v>24</v>
      </c>
      <c r="I13" s="13" t="s">
        <v>25</v>
      </c>
      <c r="J13" s="12">
        <v>95.294117647058826</v>
      </c>
    </row>
    <row r="14" ht="15.75">
      <c r="A14" s="8" t="s">
        <v>24</v>
      </c>
      <c r="B14" s="8" t="s">
        <v>26</v>
      </c>
      <c r="C14" s="8">
        <v>1</v>
      </c>
      <c r="D14" s="33">
        <f t="shared" si="14"/>
        <v>1</v>
      </c>
      <c r="E14" s="12">
        <f t="shared" si="15"/>
        <v>50</v>
      </c>
      <c r="F14" s="11">
        <f t="shared" si="16"/>
        <v>1.2</v>
      </c>
      <c r="G14">
        <f t="shared" si="17"/>
        <v>20</v>
      </c>
      <c r="H14" s="12">
        <f t="shared" si="18"/>
        <v>24</v>
      </c>
      <c r="I14" s="13" t="s">
        <v>38</v>
      </c>
      <c r="J14" s="12"/>
    </row>
    <row r="15">
      <c r="A15" s="8" t="s">
        <v>27</v>
      </c>
      <c r="B15" s="8" t="s">
        <v>21</v>
      </c>
      <c r="C15" s="8">
        <v>1</v>
      </c>
      <c r="D15" s="7">
        <f t="shared" si="14"/>
        <v>2</v>
      </c>
      <c r="E15" s="12">
        <f t="shared" si="15"/>
        <v>76</v>
      </c>
      <c r="F15" s="11">
        <f t="shared" si="16"/>
        <v>0.78947368421052633</v>
      </c>
      <c r="G15">
        <f t="shared" si="17"/>
        <v>20</v>
      </c>
      <c r="H15" s="12">
        <f t="shared" si="18"/>
        <v>31.578947368421055</v>
      </c>
      <c r="I15" s="13" t="s">
        <v>39</v>
      </c>
      <c r="J15" s="12">
        <v>998.08049535603709</v>
      </c>
    </row>
    <row r="16">
      <c r="A16" s="8" t="s">
        <v>27</v>
      </c>
      <c r="B16" s="8" t="s">
        <v>35</v>
      </c>
      <c r="C16" s="8">
        <v>1</v>
      </c>
      <c r="D16" s="24">
        <f t="shared" si="14"/>
        <v>2</v>
      </c>
      <c r="E16" s="12">
        <f t="shared" si="15"/>
        <v>76</v>
      </c>
      <c r="F16" s="11">
        <f t="shared" si="16"/>
        <v>0.78947368421052633</v>
      </c>
      <c r="G16">
        <f t="shared" si="17"/>
        <v>20</v>
      </c>
      <c r="H16" s="12">
        <f t="shared" si="18"/>
        <v>31.578947368421055</v>
      </c>
    </row>
    <row r="17">
      <c r="A17" s="8" t="s">
        <v>27</v>
      </c>
      <c r="B17" s="8" t="s">
        <v>36</v>
      </c>
      <c r="C17" s="8">
        <v>1</v>
      </c>
      <c r="D17" s="24">
        <f t="shared" si="14"/>
        <v>2</v>
      </c>
      <c r="E17" s="12">
        <f t="shared" si="15"/>
        <v>76</v>
      </c>
      <c r="F17" s="11">
        <f t="shared" si="16"/>
        <v>0.78947368421052633</v>
      </c>
      <c r="G17">
        <f t="shared" si="17"/>
        <v>20</v>
      </c>
      <c r="H17" s="12">
        <f t="shared" si="18"/>
        <v>31.578947368421055</v>
      </c>
    </row>
    <row r="18">
      <c r="A18" s="8" t="s">
        <v>27</v>
      </c>
      <c r="B18" s="8" t="s">
        <v>37</v>
      </c>
      <c r="C18" s="8">
        <v>1</v>
      </c>
      <c r="D18" s="24">
        <f t="shared" si="14"/>
        <v>2</v>
      </c>
      <c r="E18" s="12">
        <f t="shared" si="15"/>
        <v>76</v>
      </c>
      <c r="F18" s="11">
        <f t="shared" si="16"/>
        <v>0.78947368421052633</v>
      </c>
      <c r="G18">
        <f t="shared" si="17"/>
        <v>20</v>
      </c>
      <c r="H18" s="12">
        <f t="shared" si="18"/>
        <v>31.578947368421055</v>
      </c>
    </row>
    <row r="19" ht="15.75">
      <c r="A19" s="8" t="s">
        <v>27</v>
      </c>
      <c r="B19" s="8" t="s">
        <v>26</v>
      </c>
      <c r="C19" s="8">
        <v>0</v>
      </c>
      <c r="D19" s="24">
        <f t="shared" si="14"/>
        <v>2</v>
      </c>
      <c r="E19" s="12">
        <f t="shared" si="15"/>
        <v>76</v>
      </c>
      <c r="F19" s="11">
        <f t="shared" si="16"/>
        <v>0</v>
      </c>
      <c r="G19">
        <f t="shared" si="17"/>
        <v>20</v>
      </c>
      <c r="H19" s="12">
        <f t="shared" si="18"/>
        <v>0</v>
      </c>
    </row>
    <row r="20">
      <c r="A20" s="8"/>
      <c r="B20" s="8"/>
      <c r="C20" s="9"/>
      <c r="D20" s="10"/>
      <c r="F20" s="11"/>
      <c r="H20" s="12"/>
    </row>
    <row r="21">
      <c r="A21" s="8"/>
      <c r="B21" s="8"/>
      <c r="C21" s="9"/>
      <c r="D21" s="25"/>
      <c r="F21" s="11"/>
      <c r="H21" s="12"/>
    </row>
    <row r="22" ht="15.75">
      <c r="A22" s="8"/>
      <c r="B22" s="8"/>
      <c r="C22" s="9"/>
      <c r="D22" s="34"/>
      <c r="F22" s="11"/>
      <c r="H22" s="12"/>
    </row>
    <row r="23">
      <c r="A23" s="8" t="s">
        <v>29</v>
      </c>
      <c r="B23" s="8" t="s">
        <v>21</v>
      </c>
      <c r="C23" s="8">
        <v>1</v>
      </c>
      <c r="D23" s="24">
        <f t="shared" si="14"/>
        <v>2</v>
      </c>
      <c r="E23">
        <f t="shared" si="15"/>
        <v>68</v>
      </c>
      <c r="F23" s="11">
        <f t="shared" si="16"/>
        <v>0.88235294117647056</v>
      </c>
      <c r="G23">
        <f t="shared" si="17"/>
        <v>20</v>
      </c>
      <c r="H23" s="12">
        <f t="shared" si="18"/>
        <v>35.294117647058826</v>
      </c>
    </row>
    <row r="24">
      <c r="A24" s="8" t="s">
        <v>29</v>
      </c>
      <c r="B24" s="8" t="s">
        <v>22</v>
      </c>
      <c r="C24" s="8">
        <v>1</v>
      </c>
      <c r="D24" s="24">
        <f t="shared" si="14"/>
        <v>2</v>
      </c>
      <c r="E24">
        <f t="shared" si="15"/>
        <v>68</v>
      </c>
      <c r="F24" s="11">
        <f t="shared" si="16"/>
        <v>0.88235294117647056</v>
      </c>
      <c r="G24">
        <f t="shared" si="17"/>
        <v>20</v>
      </c>
      <c r="H24" s="12">
        <f t="shared" si="18"/>
        <v>35.294117647058826</v>
      </c>
    </row>
    <row r="25">
      <c r="A25" s="8" t="s">
        <v>29</v>
      </c>
      <c r="B25" t="s">
        <v>25</v>
      </c>
      <c r="C25" s="27">
        <v>1</v>
      </c>
      <c r="D25" s="24">
        <f t="shared" si="14"/>
        <v>2</v>
      </c>
      <c r="E25">
        <f t="shared" si="15"/>
        <v>68</v>
      </c>
      <c r="F25" s="11">
        <f t="shared" si="16"/>
        <v>0.88235294117647056</v>
      </c>
      <c r="G25">
        <f t="shared" si="17"/>
        <v>20</v>
      </c>
      <c r="H25" s="12">
        <f t="shared" si="18"/>
        <v>35.294117647058826</v>
      </c>
    </row>
    <row r="26">
      <c r="A26" s="8" t="s">
        <v>29</v>
      </c>
      <c r="B26" s="8" t="s">
        <v>28</v>
      </c>
      <c r="C26" s="8">
        <v>1</v>
      </c>
      <c r="D26" s="24">
        <f t="shared" si="14"/>
        <v>2</v>
      </c>
      <c r="E26">
        <f t="shared" si="15"/>
        <v>68</v>
      </c>
      <c r="F26" s="11">
        <f t="shared" si="16"/>
        <v>0.88235294117647056</v>
      </c>
      <c r="G26">
        <f t="shared" si="17"/>
        <v>20</v>
      </c>
      <c r="H26" s="12">
        <f t="shared" si="18"/>
        <v>35.294117647058826</v>
      </c>
    </row>
    <row r="27">
      <c r="A27" s="8" t="s">
        <v>29</v>
      </c>
      <c r="B27" s="8" t="s">
        <v>23</v>
      </c>
      <c r="C27" s="8">
        <v>1</v>
      </c>
      <c r="D27" s="24">
        <f t="shared" si="14"/>
        <v>2</v>
      </c>
      <c r="E27">
        <f t="shared" si="15"/>
        <v>68</v>
      </c>
      <c r="F27" s="11">
        <f t="shared" si="16"/>
        <v>0.88235294117647056</v>
      </c>
      <c r="G27">
        <f t="shared" si="17"/>
        <v>20</v>
      </c>
      <c r="H27" s="12">
        <f t="shared" si="18"/>
        <v>35.294117647058826</v>
      </c>
    </row>
    <row r="28">
      <c r="A28" s="26" t="s">
        <v>29</v>
      </c>
      <c r="B28" s="26" t="s">
        <v>34</v>
      </c>
      <c r="C28" s="27">
        <v>1</v>
      </c>
      <c r="D28" s="24">
        <f t="shared" si="14"/>
        <v>2</v>
      </c>
      <c r="E28">
        <f t="shared" si="15"/>
        <v>68</v>
      </c>
      <c r="F28" s="11">
        <f t="shared" si="16"/>
        <v>0.88235294117647056</v>
      </c>
      <c r="G28">
        <f t="shared" si="17"/>
        <v>20</v>
      </c>
      <c r="H28" s="12">
        <f t="shared" si="18"/>
        <v>35.294117647058826</v>
      </c>
    </row>
    <row r="29" ht="15.75">
      <c r="A29" s="26" t="s">
        <v>29</v>
      </c>
      <c r="B29" s="26" t="s">
        <v>26</v>
      </c>
      <c r="C29" s="27">
        <v>0</v>
      </c>
      <c r="D29" s="24">
        <f t="shared" si="14"/>
        <v>2</v>
      </c>
      <c r="E29">
        <f t="shared" si="15"/>
        <v>68</v>
      </c>
      <c r="F29" s="11">
        <f t="shared" si="16"/>
        <v>0</v>
      </c>
      <c r="G29">
        <f t="shared" si="17"/>
        <v>20</v>
      </c>
      <c r="H29" s="12">
        <f t="shared" si="18"/>
        <v>0</v>
      </c>
    </row>
    <row r="30">
      <c r="A30" s="8" t="s">
        <v>31</v>
      </c>
      <c r="B30" s="8" t="s">
        <v>21</v>
      </c>
      <c r="C30" s="8">
        <v>1</v>
      </c>
      <c r="D30" s="7">
        <f t="shared" si="14"/>
        <v>2</v>
      </c>
      <c r="E30">
        <f t="shared" si="15"/>
        <v>80</v>
      </c>
      <c r="F30" s="11">
        <f t="shared" si="16"/>
        <v>0.75</v>
      </c>
      <c r="G30">
        <f t="shared" si="17"/>
        <v>20</v>
      </c>
      <c r="H30" s="12">
        <f t="shared" si="18"/>
        <v>30</v>
      </c>
    </row>
    <row r="31">
      <c r="A31" s="8" t="s">
        <v>31</v>
      </c>
      <c r="B31" s="8" t="s">
        <v>22</v>
      </c>
      <c r="C31" s="8">
        <v>1</v>
      </c>
      <c r="D31" s="24">
        <f t="shared" si="14"/>
        <v>2</v>
      </c>
      <c r="E31">
        <f t="shared" si="15"/>
        <v>80</v>
      </c>
      <c r="F31" s="11">
        <f t="shared" si="16"/>
        <v>0.75</v>
      </c>
      <c r="G31">
        <f t="shared" si="17"/>
        <v>20</v>
      </c>
      <c r="H31" s="12">
        <f t="shared" si="18"/>
        <v>30</v>
      </c>
    </row>
    <row r="32">
      <c r="A32" s="8" t="s">
        <v>31</v>
      </c>
      <c r="B32" s="8" t="s">
        <v>34</v>
      </c>
      <c r="C32" s="8">
        <v>1</v>
      </c>
      <c r="D32" s="24">
        <f t="shared" si="14"/>
        <v>2</v>
      </c>
      <c r="E32">
        <f t="shared" si="15"/>
        <v>80</v>
      </c>
      <c r="F32" s="11">
        <f t="shared" si="16"/>
        <v>0.75</v>
      </c>
      <c r="G32">
        <f t="shared" si="17"/>
        <v>20</v>
      </c>
      <c r="H32" s="12">
        <f t="shared" si="18"/>
        <v>30</v>
      </c>
    </row>
    <row r="33">
      <c r="A33" s="8" t="s">
        <v>31</v>
      </c>
      <c r="B33" s="8" t="s">
        <v>26</v>
      </c>
      <c r="C33" s="8">
        <v>1</v>
      </c>
      <c r="D33" s="24">
        <f t="shared" si="14"/>
        <v>2</v>
      </c>
      <c r="E33">
        <f t="shared" si="15"/>
        <v>80</v>
      </c>
      <c r="F33" s="11">
        <f t="shared" si="16"/>
        <v>0.75</v>
      </c>
      <c r="G33">
        <f t="shared" si="17"/>
        <v>20</v>
      </c>
      <c r="H33" s="12">
        <f t="shared" si="18"/>
        <v>30</v>
      </c>
    </row>
    <row r="36" ht="15.75"/>
    <row r="37">
      <c r="A37" s="35" t="s">
        <v>40</v>
      </c>
      <c r="B37" s="36"/>
      <c r="C37" s="37" t="s">
        <v>41</v>
      </c>
      <c r="D37" s="38"/>
    </row>
    <row r="38" ht="75">
      <c r="A38" s="39" t="s">
        <v>42</v>
      </c>
      <c r="B38" s="40" t="s">
        <v>43</v>
      </c>
      <c r="C38" s="41" t="s">
        <v>44</v>
      </c>
      <c r="D38" s="41" t="s">
        <v>45</v>
      </c>
      <c r="E38" s="42"/>
      <c r="F38" s="43" t="s">
        <v>46</v>
      </c>
      <c r="G38" s="41" t="s">
        <v>47</v>
      </c>
      <c r="H38" s="41" t="s">
        <v>48</v>
      </c>
      <c r="I38" s="41" t="s">
        <v>49</v>
      </c>
    </row>
    <row r="39" ht="18.75">
      <c r="A39" s="39" t="s">
        <v>21</v>
      </c>
      <c r="B39" s="44">
        <v>520</v>
      </c>
      <c r="C39" s="17">
        <f t="shared" ref="C39:C50" si="19">GETPIVOTDATA("Итого",$I$1,"transaction rq",A39)*3</f>
        <v>542.6191950464397</v>
      </c>
      <c r="D39" s="45">
        <f t="shared" ref="D39:D51" si="20">1-B39/C39</f>
        <v>0.04168520990950908</v>
      </c>
      <c r="E39" s="46"/>
      <c r="F39" s="47" t="s">
        <v>50</v>
      </c>
      <c r="G39" s="48">
        <f t="shared" ref="G39:G50" si="21">C39/3</f>
        <v>180.87306501547991</v>
      </c>
      <c r="H39" s="8">
        <f>VLOOKUP(F39,SummaryReport!A:J,8,FALSE)</f>
        <v>182</v>
      </c>
      <c r="I39" s="49">
        <f t="shared" ref="I39:I50" si="22">1-G39/H39</f>
        <v>0.0061919504643961343</v>
      </c>
    </row>
    <row r="40" ht="17.25">
      <c r="A40" s="50" t="s">
        <v>22</v>
      </c>
      <c r="B40" s="44">
        <v>422</v>
      </c>
      <c r="C40" s="17">
        <f t="shared" si="19"/>
        <v>447.88235294117652</v>
      </c>
      <c r="D40" s="45">
        <f t="shared" si="20"/>
        <v>0.057788284738639506</v>
      </c>
      <c r="E40" s="46"/>
      <c r="F40" s="51" t="str">
        <f>VLOOKUP(A40,'Соответствие'!A:B,2,FALSE)</f>
        <v>Login</v>
      </c>
      <c r="G40" s="48">
        <f t="shared" si="21"/>
        <v>149.29411764705884</v>
      </c>
      <c r="H40" s="8">
        <f>VLOOKUP(F40,SummaryReport!A:J,8,FALSE)</f>
        <v>150</v>
      </c>
      <c r="I40" s="49">
        <f t="shared" si="22"/>
        <v>0.0047058823529411153</v>
      </c>
    </row>
    <row r="41" ht="34.5">
      <c r="A41" s="52" t="s">
        <v>25</v>
      </c>
      <c r="B41" s="44">
        <v>305</v>
      </c>
      <c r="C41" s="17">
        <f t="shared" si="19"/>
        <v>285.88235294117646</v>
      </c>
      <c r="D41" s="45">
        <f t="shared" si="20"/>
        <v>-0.066872427983539096</v>
      </c>
      <c r="E41" s="46"/>
      <c r="F41" s="47" t="s">
        <v>51</v>
      </c>
      <c r="G41" s="48">
        <f t="shared" si="21"/>
        <v>95.294117647058826</v>
      </c>
      <c r="H41" s="8">
        <f>VLOOKUP(F41,SummaryReport!A:J,8,FALSE)</f>
        <v>96</v>
      </c>
      <c r="I41" s="49">
        <f t="shared" si="22"/>
        <v>0.0073529411764705621</v>
      </c>
    </row>
    <row r="42" ht="34.5">
      <c r="A42" s="50" t="s">
        <v>28</v>
      </c>
      <c r="B42" s="44">
        <v>282</v>
      </c>
      <c r="C42" s="17">
        <f t="shared" si="19"/>
        <v>285.88235294117646</v>
      </c>
      <c r="D42" s="45">
        <f t="shared" si="20"/>
        <v>0.013580246913580174</v>
      </c>
      <c r="E42" s="46"/>
      <c r="F42" s="47" t="s">
        <v>52</v>
      </c>
      <c r="G42" s="48">
        <f t="shared" si="21"/>
        <v>95.294117647058826</v>
      </c>
      <c r="H42" s="8">
        <f>VLOOKUP(F42,SummaryReport!A:J,8,FALSE)</f>
        <v>96</v>
      </c>
      <c r="I42" s="49">
        <f t="shared" si="22"/>
        <v>0.0073529411764705621</v>
      </c>
    </row>
    <row r="43" ht="17.25">
      <c r="A43" s="50" t="s">
        <v>23</v>
      </c>
      <c r="B43" s="44">
        <v>270</v>
      </c>
      <c r="C43" s="17">
        <f t="shared" si="19"/>
        <v>285.88235294117646</v>
      </c>
      <c r="D43" s="45">
        <f t="shared" si="20"/>
        <v>0.05555555555555558</v>
      </c>
      <c r="E43" s="46"/>
      <c r="F43" s="47" t="s">
        <v>53</v>
      </c>
      <c r="G43" s="48">
        <f t="shared" si="21"/>
        <v>95.294117647058826</v>
      </c>
      <c r="H43" s="8">
        <f>VLOOKUP(F43,SummaryReport!A:J,8,FALSE)</f>
        <v>96</v>
      </c>
      <c r="I43" s="49">
        <f t="shared" si="22"/>
        <v>0.0073529411764705621</v>
      </c>
    </row>
    <row r="44" ht="17.25">
      <c r="A44" s="50" t="s">
        <v>30</v>
      </c>
      <c r="B44" s="44">
        <v>175</v>
      </c>
      <c r="C44" s="17">
        <f t="shared" si="19"/>
        <v>180</v>
      </c>
      <c r="D44" s="45">
        <f t="shared" si="20"/>
        <v>0.02777777777777779</v>
      </c>
      <c r="E44" s="46"/>
      <c r="F44" s="47" t="s">
        <v>54</v>
      </c>
      <c r="G44" s="48">
        <f t="shared" si="21"/>
        <v>60</v>
      </c>
      <c r="H44" s="8">
        <f>VLOOKUP(F44,SummaryReport!A:J,8,FALSE)</f>
        <v>60</v>
      </c>
      <c r="I44" s="49">
        <f t="shared" si="22"/>
        <v>0</v>
      </c>
    </row>
    <row r="45" ht="17.25">
      <c r="A45" s="50" t="s">
        <v>34</v>
      </c>
      <c r="B45" s="44">
        <v>280</v>
      </c>
      <c r="C45" s="17">
        <f t="shared" si="19"/>
        <v>267.88235294117646</v>
      </c>
      <c r="D45" s="45">
        <f t="shared" si="20"/>
        <v>-0.045234958278436599</v>
      </c>
      <c r="E45" s="46"/>
      <c r="F45" s="47" t="s">
        <v>55</v>
      </c>
      <c r="G45" s="48">
        <f t="shared" si="21"/>
        <v>89.294117647058826</v>
      </c>
      <c r="H45" s="8">
        <f>VLOOKUP(F45,SummaryReport!A:J,8,FALSE)</f>
        <v>90</v>
      </c>
      <c r="I45" s="49">
        <f t="shared" si="22"/>
        <v>0.0078431372549019329</v>
      </c>
    </row>
    <row r="46" ht="17.25">
      <c r="A46" s="50" t="s">
        <v>32</v>
      </c>
      <c r="B46" s="44">
        <v>73</v>
      </c>
      <c r="C46" s="17">
        <f t="shared" si="19"/>
        <v>72</v>
      </c>
      <c r="D46" s="45">
        <f t="shared" si="20"/>
        <v>-0.01388888888888884</v>
      </c>
      <c r="E46" s="46"/>
      <c r="F46" s="47" t="s">
        <v>56</v>
      </c>
      <c r="G46" s="48">
        <f t="shared" si="21"/>
        <v>24</v>
      </c>
      <c r="H46" s="8">
        <f>VLOOKUP(F46,SummaryReport!A:J,8,FALSE)</f>
        <v>24</v>
      </c>
      <c r="I46" s="49">
        <f t="shared" si="22"/>
        <v>0</v>
      </c>
    </row>
    <row r="47" ht="17.25">
      <c r="A47" s="50" t="s">
        <v>26</v>
      </c>
      <c r="B47" s="44">
        <v>326</v>
      </c>
      <c r="C47" s="17">
        <f t="shared" si="19"/>
        <v>342</v>
      </c>
      <c r="D47" s="45">
        <f t="shared" si="20"/>
        <v>0.046783625730994149</v>
      </c>
      <c r="E47" s="46"/>
      <c r="F47" s="47" t="s">
        <v>57</v>
      </c>
      <c r="G47" s="48">
        <f t="shared" si="21"/>
        <v>114</v>
      </c>
      <c r="H47" s="8">
        <f>VLOOKUP(F47,SummaryReport!A:J,8,FALSE)</f>
        <v>114</v>
      </c>
      <c r="I47" s="49">
        <f t="shared" si="22"/>
        <v>0</v>
      </c>
    </row>
    <row r="48" ht="34.5">
      <c r="A48" s="50" t="s">
        <v>35</v>
      </c>
      <c r="B48" s="44">
        <v>97</v>
      </c>
      <c r="C48" s="17">
        <f t="shared" si="19"/>
        <v>94.736842105263165</v>
      </c>
      <c r="D48" s="45">
        <f t="shared" si="20"/>
        <v>-0.023888888888888848</v>
      </c>
      <c r="E48" s="46"/>
      <c r="F48" s="47" t="s">
        <v>58</v>
      </c>
      <c r="G48" s="48">
        <f t="shared" si="21"/>
        <v>31.578947368421055</v>
      </c>
      <c r="H48" s="8">
        <f>VLOOKUP(F48,SummaryReport!A:J,8,FALSE)</f>
        <v>32</v>
      </c>
      <c r="I48" s="49">
        <f t="shared" si="22"/>
        <v>0.013157894736842035</v>
      </c>
    </row>
    <row r="49" ht="34.5">
      <c r="A49" s="50" t="s">
        <v>36</v>
      </c>
      <c r="B49" s="44">
        <v>97</v>
      </c>
      <c r="C49" s="17">
        <f t="shared" si="19"/>
        <v>94.736842105263165</v>
      </c>
      <c r="D49" s="45">
        <f t="shared" si="20"/>
        <v>-0.023888888888888848</v>
      </c>
      <c r="E49" s="46"/>
      <c r="F49" s="47" t="s">
        <v>59</v>
      </c>
      <c r="G49" s="48">
        <f t="shared" si="21"/>
        <v>31.578947368421055</v>
      </c>
      <c r="H49" s="8">
        <f>VLOOKUP(F49,SummaryReport!A:J,8,FALSE)</f>
        <v>32</v>
      </c>
      <c r="I49" s="49">
        <f t="shared" si="22"/>
        <v>0.013157894736842035</v>
      </c>
    </row>
    <row r="50" ht="34.5">
      <c r="A50" s="50" t="s">
        <v>37</v>
      </c>
      <c r="B50" s="44">
        <v>97</v>
      </c>
      <c r="C50" s="17">
        <f t="shared" si="19"/>
        <v>94.736842105263165</v>
      </c>
      <c r="D50" s="45">
        <f t="shared" si="20"/>
        <v>-0.023888888888888848</v>
      </c>
      <c r="E50" s="46"/>
      <c r="F50" s="47" t="s">
        <v>60</v>
      </c>
      <c r="G50" s="48">
        <f t="shared" si="21"/>
        <v>31.578947368421055</v>
      </c>
      <c r="H50" s="8">
        <f>VLOOKUP(F50,SummaryReport!A:J,8,FALSE)</f>
        <v>32</v>
      </c>
      <c r="I50" s="49">
        <f t="shared" si="22"/>
        <v>0.013157894736842035</v>
      </c>
    </row>
    <row r="51" ht="17.25">
      <c r="A51" s="53" t="s">
        <v>7</v>
      </c>
      <c r="B51" s="54">
        <f>SUM(B39:B50)</f>
        <v>2944</v>
      </c>
      <c r="C51" s="55">
        <f>SUM(C39:C50)</f>
        <v>2994.2414860681124</v>
      </c>
      <c r="D51" s="45">
        <f t="shared" si="20"/>
        <v>0.01677937010153685</v>
      </c>
    </row>
    <row r="52" ht="15.75">
      <c r="I52" s="56"/>
    </row>
    <row r="53">
      <c r="A53" s="2"/>
      <c r="B53" s="3"/>
      <c r="C53" s="57" t="s">
        <v>61</v>
      </c>
      <c r="D53" s="57"/>
      <c r="E53" s="57"/>
      <c r="F53" s="57"/>
      <c r="G53" s="57"/>
      <c r="H53" s="57"/>
      <c r="I53" s="7"/>
    </row>
  </sheetData>
  <mergeCells count="2">
    <mergeCell ref="A37:B37"/>
    <mergeCell ref="C37:D37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0" activeCellId="0" sqref="B30"/>
    </sheetView>
  </sheetViews>
  <sheetFormatPr defaultColWidth="8.85546875" defaultRowHeight="14.25"/>
  <cols>
    <col bestFit="1" customWidth="1" min="1" max="1" width="47.42578125"/>
    <col bestFit="1" customWidth="1" min="2" max="2" width="22.28515625"/>
  </cols>
  <sheetData>
    <row r="1">
      <c r="A1" s="58" t="s">
        <v>62</v>
      </c>
      <c r="B1" s="58" t="s">
        <v>63</v>
      </c>
    </row>
    <row r="2">
      <c r="A2" s="51" t="str">
        <f>'Автоматизированный расчет'!A39</f>
        <v xml:space="preserve">Главная Welcome страница</v>
      </c>
      <c r="B2" s="59" t="s">
        <v>50</v>
      </c>
    </row>
    <row r="3">
      <c r="A3" s="51" t="str">
        <f>'Автоматизированный расчет'!A40</f>
        <v xml:space="preserve">Вход в систему</v>
      </c>
      <c r="B3" s="59" t="s">
        <v>64</v>
      </c>
    </row>
    <row r="4">
      <c r="A4" s="51" t="str">
        <f>'Автоматизированный расчет'!A41</f>
        <v xml:space="preserve">Переход на страницу поиска билетов</v>
      </c>
      <c r="B4" s="60" t="s">
        <v>51</v>
      </c>
    </row>
    <row r="5">
      <c r="A5" s="51" t="str">
        <f>'Автоматизированный расчет'!A42</f>
        <v xml:space="preserve">Заполнение полей для поиска билета </v>
      </c>
      <c r="B5" s="47" t="s">
        <v>52</v>
      </c>
    </row>
    <row r="6">
      <c r="A6" s="51" t="str">
        <f>'Автоматизированный расчет'!A43</f>
        <v xml:space="preserve">Выбор рейса из найденных </v>
      </c>
      <c r="B6" s="47" t="s">
        <v>53</v>
      </c>
    </row>
    <row r="7">
      <c r="A7" s="51" t="str">
        <f>'Автоматизированный расчет'!A44</f>
        <v xml:space="preserve">Оплата билета</v>
      </c>
      <c r="B7" s="47" t="s">
        <v>54</v>
      </c>
    </row>
    <row r="8">
      <c r="A8" s="51" t="str">
        <f>'Автоматизированный расчет'!A45</f>
        <v xml:space="preserve">Просмотр квитанций</v>
      </c>
      <c r="B8" s="47" t="s">
        <v>55</v>
      </c>
    </row>
    <row r="9">
      <c r="A9" s="51" t="str">
        <f>'Автоматизированный расчет'!A46</f>
        <v xml:space="preserve">Отмена бронирования </v>
      </c>
      <c r="B9" s="47" t="s">
        <v>56</v>
      </c>
    </row>
    <row r="10">
      <c r="A10" s="51" t="str">
        <f>'Автоматизированный расчет'!A47</f>
        <v xml:space="preserve">Выход из системы</v>
      </c>
      <c r="B10" s="47" t="s">
        <v>57</v>
      </c>
    </row>
    <row r="11">
      <c r="A11" s="51" t="str">
        <f>'Автоматизированный расчет'!A48</f>
        <v xml:space="preserve">Перход на страницу регистрации</v>
      </c>
      <c r="B11" s="47" t="s">
        <v>58</v>
      </c>
    </row>
    <row r="12">
      <c r="A12" s="51" t="str">
        <f>'Автоматизированный расчет'!A49</f>
        <v xml:space="preserve">Заполнение полей регистарции</v>
      </c>
      <c r="B12" s="47" t="s">
        <v>59</v>
      </c>
    </row>
    <row r="13">
      <c r="A13" s="51" t="str">
        <f>'Автоматизированный расчет'!A50</f>
        <v xml:space="preserve">Переход на следуюущий эран после регистарции</v>
      </c>
      <c r="B13" s="47" t="s">
        <v>60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17" activeCellId="0" sqref="H17"/>
    </sheetView>
  </sheetViews>
  <sheetFormatPr defaultColWidth="8.85546875" defaultRowHeight="14.25"/>
  <cols>
    <col bestFit="1" customWidth="1" min="1" max="1" width="36.42578125"/>
  </cols>
  <sheetData>
    <row r="1">
      <c r="A1" s="61" t="s">
        <v>65</v>
      </c>
      <c r="B1" s="61" t="s">
        <v>66</v>
      </c>
      <c r="C1" s="61" t="s">
        <v>67</v>
      </c>
      <c r="D1" s="61" t="s">
        <v>68</v>
      </c>
      <c r="E1" s="61" t="s">
        <v>69</v>
      </c>
      <c r="F1" s="61" t="s">
        <v>70</v>
      </c>
      <c r="G1" s="61" t="s">
        <v>71</v>
      </c>
      <c r="H1" s="61" t="s">
        <v>72</v>
      </c>
      <c r="I1" s="61" t="s">
        <v>73</v>
      </c>
      <c r="J1" s="61" t="s">
        <v>74</v>
      </c>
    </row>
    <row r="2">
      <c r="A2" s="60" t="s">
        <v>75</v>
      </c>
      <c r="B2" s="60" t="s">
        <v>76</v>
      </c>
      <c r="C2" s="60">
        <v>0.33300000000000002</v>
      </c>
      <c r="D2" s="60">
        <v>0.53900000000000003</v>
      </c>
      <c r="E2" s="60">
        <v>0.72399999999999998</v>
      </c>
      <c r="F2" s="60">
        <v>0.125</v>
      </c>
      <c r="G2" s="60">
        <v>0.67900000000000005</v>
      </c>
      <c r="H2" s="60">
        <v>182</v>
      </c>
      <c r="I2" s="60">
        <v>0</v>
      </c>
      <c r="J2" s="60">
        <v>0</v>
      </c>
    </row>
    <row r="3">
      <c r="A3" s="60" t="s">
        <v>53</v>
      </c>
      <c r="B3" s="60" t="s">
        <v>72</v>
      </c>
      <c r="C3" s="60">
        <v>0.082000000000000003</v>
      </c>
      <c r="D3" s="60">
        <v>0.091999999999999998</v>
      </c>
      <c r="E3" s="60">
        <v>0.10000000000000001</v>
      </c>
      <c r="F3" s="60">
        <v>0.0040000000000000001</v>
      </c>
      <c r="G3" s="60">
        <v>0.098000000000000004</v>
      </c>
      <c r="H3" s="60">
        <v>96</v>
      </c>
      <c r="I3" s="60">
        <v>0</v>
      </c>
      <c r="J3" s="60">
        <v>0</v>
      </c>
    </row>
    <row r="4">
      <c r="A4" s="60" t="s">
        <v>51</v>
      </c>
      <c r="B4" s="60" t="s">
        <v>72</v>
      </c>
      <c r="C4" s="60">
        <v>0.082000000000000003</v>
      </c>
      <c r="D4" s="60">
        <v>0.11</v>
      </c>
      <c r="E4" s="60">
        <v>0.128</v>
      </c>
      <c r="F4" s="60">
        <v>0.01</v>
      </c>
      <c r="G4" s="60">
        <v>0.124</v>
      </c>
      <c r="H4" s="60">
        <v>96</v>
      </c>
      <c r="I4" s="60">
        <v>0</v>
      </c>
      <c r="J4" s="60">
        <v>0</v>
      </c>
    </row>
    <row r="5">
      <c r="A5" s="60" t="s">
        <v>60</v>
      </c>
      <c r="B5" s="60" t="s">
        <v>72</v>
      </c>
      <c r="C5" s="60">
        <v>0.13</v>
      </c>
      <c r="D5" s="60">
        <v>0.14799999999999999</v>
      </c>
      <c r="E5" s="60">
        <v>0.184</v>
      </c>
      <c r="F5" s="60">
        <v>0.012</v>
      </c>
      <c r="G5" s="60">
        <v>0.156</v>
      </c>
      <c r="H5" s="60">
        <v>32</v>
      </c>
      <c r="I5" s="60">
        <v>0</v>
      </c>
      <c r="J5" s="60">
        <v>0</v>
      </c>
    </row>
    <row r="6">
      <c r="A6" s="60" t="s">
        <v>55</v>
      </c>
      <c r="B6" s="60" t="s">
        <v>72</v>
      </c>
      <c r="C6" s="60">
        <v>0.076999999999999999</v>
      </c>
      <c r="D6" s="60">
        <v>0.13200000000000001</v>
      </c>
      <c r="E6" s="60">
        <v>0.193</v>
      </c>
      <c r="F6" s="60">
        <v>0.029999999999999999</v>
      </c>
      <c r="G6" s="60">
        <v>0.16900000000000001</v>
      </c>
      <c r="H6" s="60">
        <v>90</v>
      </c>
      <c r="I6" s="60">
        <v>0</v>
      </c>
      <c r="J6" s="60">
        <v>0</v>
      </c>
    </row>
    <row r="7">
      <c r="A7" s="60" t="s">
        <v>58</v>
      </c>
      <c r="B7" s="60" t="s">
        <v>72</v>
      </c>
      <c r="C7" s="60">
        <v>0.076999999999999999</v>
      </c>
      <c r="D7" s="60">
        <v>0.092999999999999999</v>
      </c>
      <c r="E7" s="60">
        <v>0.16300000000000001</v>
      </c>
      <c r="F7" s="60">
        <v>0.014</v>
      </c>
      <c r="G7" s="60">
        <v>0.10199999999999999</v>
      </c>
      <c r="H7" s="60">
        <v>32</v>
      </c>
      <c r="I7" s="60">
        <v>0</v>
      </c>
      <c r="J7" s="60">
        <v>0</v>
      </c>
    </row>
    <row r="8">
      <c r="A8" s="60" t="s">
        <v>50</v>
      </c>
      <c r="B8" s="60" t="s">
        <v>72</v>
      </c>
      <c r="C8" s="60">
        <v>0.051999999999999998</v>
      </c>
      <c r="D8" s="60">
        <v>0.063</v>
      </c>
      <c r="E8" s="60">
        <v>0.28199999999999997</v>
      </c>
      <c r="F8" s="60">
        <v>0.017999999999999999</v>
      </c>
      <c r="G8" s="60">
        <v>0.072999999999999995</v>
      </c>
      <c r="H8" s="60">
        <v>182</v>
      </c>
      <c r="I8" s="60">
        <v>0</v>
      </c>
      <c r="J8" s="60">
        <v>0</v>
      </c>
    </row>
    <row r="9">
      <c r="A9" s="60" t="s">
        <v>52</v>
      </c>
      <c r="B9" s="60" t="s">
        <v>72</v>
      </c>
      <c r="C9" s="60">
        <v>0.029999999999999999</v>
      </c>
      <c r="D9" s="60">
        <v>0.037999999999999999</v>
      </c>
      <c r="E9" s="60">
        <v>0.052999999999999999</v>
      </c>
      <c r="F9" s="60">
        <v>0.0040000000000000001</v>
      </c>
      <c r="G9" s="60">
        <v>0.041000000000000002</v>
      </c>
      <c r="H9" s="60">
        <v>96</v>
      </c>
      <c r="I9" s="60">
        <v>0</v>
      </c>
      <c r="J9" s="60">
        <v>0</v>
      </c>
    </row>
    <row r="10">
      <c r="A10" s="60" t="s">
        <v>64</v>
      </c>
      <c r="B10" s="60" t="s">
        <v>72</v>
      </c>
      <c r="C10" s="60">
        <v>0.125</v>
      </c>
      <c r="D10" s="60">
        <v>0.151</v>
      </c>
      <c r="E10" s="60">
        <v>0.246</v>
      </c>
      <c r="F10" s="60">
        <v>0.014999999999999999</v>
      </c>
      <c r="G10" s="60">
        <v>0.16800000000000001</v>
      </c>
      <c r="H10" s="60">
        <v>150</v>
      </c>
      <c r="I10" s="60">
        <v>0</v>
      </c>
      <c r="J10" s="60">
        <v>0</v>
      </c>
    </row>
    <row r="11">
      <c r="A11" s="60" t="s">
        <v>57</v>
      </c>
      <c r="B11" s="60" t="s">
        <v>72</v>
      </c>
      <c r="C11" s="60">
        <v>0.052999999999999999</v>
      </c>
      <c r="D11" s="60">
        <v>0.10000000000000001</v>
      </c>
      <c r="E11" s="60">
        <v>0.155</v>
      </c>
      <c r="F11" s="60">
        <v>0.025999999999999999</v>
      </c>
      <c r="G11" s="60">
        <v>0.121</v>
      </c>
      <c r="H11" s="60">
        <v>114</v>
      </c>
      <c r="I11" s="60">
        <v>0</v>
      </c>
      <c r="J11" s="60">
        <v>0</v>
      </c>
    </row>
    <row r="12">
      <c r="A12" s="60" t="s">
        <v>54</v>
      </c>
      <c r="B12" s="60" t="s">
        <v>72</v>
      </c>
      <c r="C12" s="60">
        <v>0.085999999999999993</v>
      </c>
      <c r="D12" s="60">
        <v>0.094</v>
      </c>
      <c r="E12" s="60">
        <v>0.10199999999999999</v>
      </c>
      <c r="F12" s="60">
        <v>0.0040000000000000001</v>
      </c>
      <c r="G12" s="60">
        <v>0.099000000000000005</v>
      </c>
      <c r="H12" s="60">
        <v>60</v>
      </c>
      <c r="I12" s="60">
        <v>0</v>
      </c>
      <c r="J12" s="60">
        <v>0</v>
      </c>
    </row>
    <row r="13">
      <c r="A13" s="60" t="s">
        <v>59</v>
      </c>
      <c r="B13" s="60" t="s">
        <v>72</v>
      </c>
      <c r="C13" s="60">
        <v>0.075999999999999998</v>
      </c>
      <c r="D13" s="60">
        <v>0.087999999999999995</v>
      </c>
      <c r="E13" s="60">
        <v>0.098000000000000004</v>
      </c>
      <c r="F13" s="60">
        <v>0.0050000000000000001</v>
      </c>
      <c r="G13" s="60">
        <v>0.094</v>
      </c>
      <c r="H13" s="60">
        <v>32</v>
      </c>
      <c r="I13" s="60">
        <v>0</v>
      </c>
      <c r="J13" s="60">
        <v>0</v>
      </c>
    </row>
    <row r="14">
      <c r="A14" s="60" t="s">
        <v>56</v>
      </c>
      <c r="B14" s="60" t="s">
        <v>72</v>
      </c>
      <c r="C14" s="60">
        <v>0.041000000000000002</v>
      </c>
      <c r="D14" s="60">
        <v>0.052999999999999999</v>
      </c>
      <c r="E14" s="60">
        <v>0.075999999999999998</v>
      </c>
      <c r="F14" s="60">
        <v>0.010999999999999999</v>
      </c>
      <c r="G14" s="60">
        <v>0.073999999999999996</v>
      </c>
      <c r="H14" s="60">
        <v>24</v>
      </c>
      <c r="I14" s="60">
        <v>0</v>
      </c>
      <c r="J14" s="60">
        <v>0</v>
      </c>
    </row>
    <row r="15">
      <c r="A15" s="61" t="s">
        <v>77</v>
      </c>
      <c r="B15" s="61" t="s">
        <v>73</v>
      </c>
      <c r="C15" s="61">
        <v>1.9690000000000001</v>
      </c>
      <c r="D15" s="61">
        <v>2.3410000000000002</v>
      </c>
      <c r="E15" s="61">
        <v>3.4500000000000002</v>
      </c>
      <c r="F15" s="61">
        <v>0.32000000000000001</v>
      </c>
      <c r="G15" s="61">
        <v>2.806</v>
      </c>
      <c r="H15" s="61">
        <v>31</v>
      </c>
      <c r="I15" s="61">
        <v>0</v>
      </c>
      <c r="J15" s="61">
        <v>0</v>
      </c>
    </row>
    <row r="16">
      <c r="A16" s="61" t="s">
        <v>78</v>
      </c>
      <c r="B16" s="61" t="s">
        <v>73</v>
      </c>
      <c r="C16" s="61">
        <v>1.994</v>
      </c>
      <c r="D16" s="61">
        <v>2.5310000000000001</v>
      </c>
      <c r="E16" s="61">
        <v>3.798</v>
      </c>
      <c r="F16" s="61">
        <v>0.47199999999999998</v>
      </c>
      <c r="G16" s="61">
        <v>3.3660000000000001</v>
      </c>
      <c r="H16" s="61">
        <v>25</v>
      </c>
      <c r="I16" s="61">
        <v>0</v>
      </c>
      <c r="J16" s="61">
        <v>0</v>
      </c>
    </row>
    <row r="17">
      <c r="A17" s="61" t="s">
        <v>79</v>
      </c>
      <c r="B17" s="61" t="s">
        <v>73</v>
      </c>
      <c r="C17" s="61">
        <v>2.3759999999999999</v>
      </c>
      <c r="D17" s="61">
        <v>2.8780000000000001</v>
      </c>
      <c r="E17" s="61">
        <v>4.5129999999999999</v>
      </c>
      <c r="F17" s="61">
        <v>0.44900000000000001</v>
      </c>
      <c r="G17" s="61">
        <v>3.222</v>
      </c>
      <c r="H17" s="61">
        <v>23</v>
      </c>
      <c r="I17" s="61">
        <v>0</v>
      </c>
      <c r="J17" s="61">
        <v>0</v>
      </c>
    </row>
    <row r="18">
      <c r="A18" s="61" t="s">
        <v>80</v>
      </c>
      <c r="B18" s="61" t="s">
        <v>73</v>
      </c>
      <c r="C18" s="61">
        <v>2.3380000000000001</v>
      </c>
      <c r="D18" s="61">
        <v>3.0390000000000001</v>
      </c>
      <c r="E18" s="61">
        <v>4.7709999999999999</v>
      </c>
      <c r="F18" s="61">
        <v>0.57099999999999995</v>
      </c>
      <c r="G18" s="61">
        <v>3.6869999999999998</v>
      </c>
      <c r="H18" s="61">
        <v>34</v>
      </c>
      <c r="I18" s="61">
        <v>6</v>
      </c>
      <c r="J18" s="61">
        <v>0</v>
      </c>
    </row>
    <row r="19">
      <c r="A19" s="61" t="s">
        <v>81</v>
      </c>
      <c r="B19" s="61" t="s">
        <v>73</v>
      </c>
      <c r="C19" s="61">
        <v>3.012</v>
      </c>
      <c r="D19" s="61">
        <v>4.0720000000000001</v>
      </c>
      <c r="E19" s="61">
        <v>5.6100000000000003</v>
      </c>
      <c r="F19" s="61">
        <v>0.45100000000000001</v>
      </c>
      <c r="G19" s="61">
        <v>4.633</v>
      </c>
      <c r="H19" s="61">
        <v>57</v>
      </c>
      <c r="I19" s="61">
        <v>0</v>
      </c>
      <c r="J19" s="61">
        <v>0</v>
      </c>
    </row>
    <row r="20">
      <c r="A20" s="61" t="s">
        <v>82</v>
      </c>
      <c r="B20" s="61" t="s">
        <v>73</v>
      </c>
      <c r="C20" s="61">
        <v>2.0299999999999998</v>
      </c>
      <c r="D20" s="61">
        <v>2.5419999999999998</v>
      </c>
      <c r="E20" s="61">
        <v>3.1019999999999999</v>
      </c>
      <c r="F20" s="61">
        <v>0.33400000000000002</v>
      </c>
      <c r="G20" s="61">
        <v>2.9420000000000002</v>
      </c>
      <c r="H20" s="61">
        <v>10</v>
      </c>
      <c r="I20" s="61">
        <v>0</v>
      </c>
      <c r="J20" s="61">
        <v>0</v>
      </c>
    </row>
    <row r="24" ht="14.25">
      <c r="A24" s="47" t="s">
        <v>65</v>
      </c>
      <c r="B24" s="47" t="s">
        <v>66</v>
      </c>
      <c r="C24" s="47" t="s">
        <v>67</v>
      </c>
      <c r="D24" s="47" t="s">
        <v>68</v>
      </c>
      <c r="E24" s="47" t="s">
        <v>69</v>
      </c>
      <c r="F24" s="47" t="s">
        <v>70</v>
      </c>
      <c r="G24" s="47" t="s">
        <v>71</v>
      </c>
      <c r="H24" s="47" t="s">
        <v>72</v>
      </c>
      <c r="I24" s="47" t="s">
        <v>73</v>
      </c>
      <c r="J24" s="47" t="s">
        <v>74</v>
      </c>
    </row>
    <row r="25" ht="14.25">
      <c r="A25" s="47" t="s">
        <v>75</v>
      </c>
      <c r="B25" s="47" t="s">
        <v>76</v>
      </c>
      <c r="C25" s="47">
        <v>0.33300000000000002</v>
      </c>
      <c r="D25" s="47">
        <v>0.53900000000000003</v>
      </c>
      <c r="E25" s="47">
        <v>0.72399999999999998</v>
      </c>
      <c r="F25" s="47">
        <v>0.125</v>
      </c>
      <c r="G25" s="47">
        <v>0.67900000000000005</v>
      </c>
      <c r="H25" s="47">
        <v>182</v>
      </c>
      <c r="I25" s="47">
        <v>0</v>
      </c>
      <c r="J25" s="47">
        <v>0</v>
      </c>
    </row>
    <row r="26" ht="14.25">
      <c r="A26" s="47" t="s">
        <v>83</v>
      </c>
      <c r="B26" s="47" t="s">
        <v>76</v>
      </c>
      <c r="C26" s="47">
        <v>0.33300000000000002</v>
      </c>
      <c r="D26" s="47">
        <v>0.53900000000000003</v>
      </c>
      <c r="E26" s="47">
        <v>0.72399999999999998</v>
      </c>
      <c r="F26" s="47">
        <v>0</v>
      </c>
      <c r="G26" s="47">
        <v>0.67900000000000005</v>
      </c>
      <c r="H26" s="47">
        <v>182</v>
      </c>
      <c r="I26" s="47">
        <v>0</v>
      </c>
      <c r="J26" s="47">
        <v>0</v>
      </c>
    </row>
    <row r="27" ht="14.25">
      <c r="A27" s="47" t="s">
        <v>53</v>
      </c>
      <c r="B27" s="47" t="s">
        <v>72</v>
      </c>
      <c r="C27" s="47">
        <v>0.082000000000000003</v>
      </c>
      <c r="D27" s="47">
        <v>0.091999999999999998</v>
      </c>
      <c r="E27" s="47">
        <v>0.10000000000000001</v>
      </c>
      <c r="F27" s="47">
        <v>0.0040000000000000001</v>
      </c>
      <c r="G27" s="47">
        <v>0.098000000000000004</v>
      </c>
      <c r="H27" s="47">
        <v>96</v>
      </c>
      <c r="I27" s="47">
        <v>0</v>
      </c>
      <c r="J27" s="47">
        <v>0</v>
      </c>
    </row>
    <row r="28" ht="14.25">
      <c r="A28" s="47" t="s">
        <v>83</v>
      </c>
      <c r="B28" s="47" t="s">
        <v>76</v>
      </c>
      <c r="C28" s="47">
        <v>0.082000000000000003</v>
      </c>
      <c r="D28" s="47">
        <v>0.091999999999999998</v>
      </c>
      <c r="E28" s="47">
        <v>0.10000000000000001</v>
      </c>
      <c r="F28" s="47">
        <v>0</v>
      </c>
      <c r="G28" s="47">
        <v>0.098000000000000004</v>
      </c>
      <c r="H28" s="47">
        <v>96</v>
      </c>
      <c r="I28" s="47">
        <v>0</v>
      </c>
      <c r="J28" s="47">
        <v>0</v>
      </c>
    </row>
    <row r="29" ht="14.25">
      <c r="A29" s="47" t="s">
        <v>60</v>
      </c>
      <c r="B29" s="47" t="s">
        <v>72</v>
      </c>
      <c r="C29" s="47">
        <v>0.13</v>
      </c>
      <c r="D29" s="47">
        <v>0.14799999999999999</v>
      </c>
      <c r="E29" s="47">
        <v>0.184</v>
      </c>
      <c r="F29" s="47">
        <v>0.012</v>
      </c>
      <c r="G29" s="47">
        <v>0.156</v>
      </c>
      <c r="H29" s="47">
        <v>32</v>
      </c>
      <c r="I29" s="47">
        <v>0</v>
      </c>
      <c r="J29" s="47">
        <v>0</v>
      </c>
    </row>
    <row r="30" ht="14.25">
      <c r="A30" s="47" t="s">
        <v>83</v>
      </c>
      <c r="B30" s="47" t="s">
        <v>76</v>
      </c>
      <c r="C30" s="47">
        <v>0.13</v>
      </c>
      <c r="D30" s="47">
        <v>0.14799999999999999</v>
      </c>
      <c r="E30" s="47">
        <v>0.184</v>
      </c>
      <c r="F30" s="47">
        <v>0</v>
      </c>
      <c r="G30" s="47">
        <v>0.156</v>
      </c>
      <c r="H30" s="47">
        <v>32</v>
      </c>
      <c r="I30" s="47">
        <v>0</v>
      </c>
      <c r="J30" s="47">
        <v>0</v>
      </c>
    </row>
    <row r="31" ht="14.25">
      <c r="A31" s="47" t="s">
        <v>56</v>
      </c>
      <c r="B31" s="47" t="s">
        <v>72</v>
      </c>
      <c r="C31" s="47">
        <v>0.041000000000000002</v>
      </c>
      <c r="D31" s="47">
        <v>0.052999999999999999</v>
      </c>
      <c r="E31" s="47">
        <v>0.075999999999999998</v>
      </c>
      <c r="F31" s="47">
        <v>0.010999999999999999</v>
      </c>
      <c r="G31" s="47">
        <v>0.073999999999999996</v>
      </c>
      <c r="H31" s="47">
        <v>24</v>
      </c>
      <c r="I31" s="47">
        <v>0</v>
      </c>
      <c r="J31" s="47">
        <v>0</v>
      </c>
    </row>
    <row r="32" ht="14.25">
      <c r="A32" s="47" t="s">
        <v>83</v>
      </c>
      <c r="B32" s="47" t="s">
        <v>76</v>
      </c>
      <c r="C32" s="47">
        <v>0.041000000000000002</v>
      </c>
      <c r="D32" s="47">
        <v>0.052999999999999999</v>
      </c>
      <c r="E32" s="47">
        <v>0.075999999999999998</v>
      </c>
      <c r="F32" s="47">
        <v>0</v>
      </c>
      <c r="G32" s="47">
        <v>0.073999999999999996</v>
      </c>
      <c r="H32" s="47">
        <v>24</v>
      </c>
      <c r="I32" s="47">
        <v>0</v>
      </c>
      <c r="J32" s="47">
        <v>0</v>
      </c>
    </row>
    <row r="33" ht="14.25">
      <c r="A33" s="47" t="s">
        <v>52</v>
      </c>
      <c r="B33" s="47" t="s">
        <v>72</v>
      </c>
      <c r="C33" s="47">
        <v>0.029999999999999999</v>
      </c>
      <c r="D33" s="47">
        <v>0.037999999999999999</v>
      </c>
      <c r="E33" s="47">
        <v>0.052999999999999999</v>
      </c>
      <c r="F33" s="47">
        <v>0.0040000000000000001</v>
      </c>
      <c r="G33" s="47">
        <v>0.041000000000000002</v>
      </c>
      <c r="H33" s="47">
        <v>96</v>
      </c>
      <c r="I33" s="47">
        <v>0</v>
      </c>
      <c r="J33" s="47">
        <v>0</v>
      </c>
    </row>
    <row r="34" ht="14.25">
      <c r="A34" s="47" t="s">
        <v>83</v>
      </c>
      <c r="B34" s="47" t="s">
        <v>76</v>
      </c>
      <c r="C34" s="47">
        <v>0.029999999999999999</v>
      </c>
      <c r="D34" s="47">
        <v>0.037999999999999999</v>
      </c>
      <c r="E34" s="47">
        <v>0.052999999999999999</v>
      </c>
      <c r="F34" s="47">
        <v>0</v>
      </c>
      <c r="G34" s="47">
        <v>0.041000000000000002</v>
      </c>
      <c r="H34" s="47">
        <v>96</v>
      </c>
      <c r="I34" s="47">
        <v>0</v>
      </c>
      <c r="J34" s="47">
        <v>0</v>
      </c>
    </row>
    <row r="35" ht="14.25">
      <c r="A35" s="47" t="s">
        <v>51</v>
      </c>
      <c r="B35" s="47" t="s">
        <v>72</v>
      </c>
      <c r="C35" s="47">
        <v>0.082000000000000003</v>
      </c>
      <c r="D35" s="47">
        <v>0.11</v>
      </c>
      <c r="E35" s="47">
        <v>0.128</v>
      </c>
      <c r="F35" s="47">
        <v>0.01</v>
      </c>
      <c r="G35" s="47">
        <v>0.124</v>
      </c>
      <c r="H35" s="47">
        <v>96</v>
      </c>
      <c r="I35" s="47">
        <v>0</v>
      </c>
      <c r="J35" s="47">
        <v>0</v>
      </c>
    </row>
    <row r="36" ht="14.25">
      <c r="A36" s="47" t="s">
        <v>83</v>
      </c>
      <c r="B36" s="47" t="s">
        <v>76</v>
      </c>
      <c r="C36" s="47">
        <v>0.082000000000000003</v>
      </c>
      <c r="D36" s="47">
        <v>0.11</v>
      </c>
      <c r="E36" s="47">
        <v>0.128</v>
      </c>
      <c r="F36" s="47">
        <v>0</v>
      </c>
      <c r="G36" s="47">
        <v>0.124</v>
      </c>
      <c r="H36" s="47">
        <v>96</v>
      </c>
      <c r="I36" s="47">
        <v>0</v>
      </c>
      <c r="J36" s="47">
        <v>0</v>
      </c>
    </row>
    <row r="37" ht="14.25">
      <c r="A37" s="47" t="s">
        <v>55</v>
      </c>
      <c r="B37" s="47" t="s">
        <v>72</v>
      </c>
      <c r="C37" s="47">
        <v>0.076999999999999999</v>
      </c>
      <c r="D37" s="47">
        <v>0.13200000000000001</v>
      </c>
      <c r="E37" s="47">
        <v>0.193</v>
      </c>
      <c r="F37" s="47">
        <v>0.029999999999999999</v>
      </c>
      <c r="G37" s="47">
        <v>0.16900000000000001</v>
      </c>
      <c r="H37" s="47">
        <v>90</v>
      </c>
      <c r="I37" s="47">
        <v>0</v>
      </c>
      <c r="J37" s="47">
        <v>0</v>
      </c>
    </row>
    <row r="38" ht="14.25">
      <c r="A38" s="47" t="s">
        <v>83</v>
      </c>
      <c r="B38" s="47" t="s">
        <v>76</v>
      </c>
      <c r="C38" s="47">
        <v>0.076999999999999999</v>
      </c>
      <c r="D38" s="47">
        <v>0.13200000000000001</v>
      </c>
      <c r="E38" s="47">
        <v>0.193</v>
      </c>
      <c r="F38" s="47">
        <v>0</v>
      </c>
      <c r="G38" s="47">
        <v>0.16900000000000001</v>
      </c>
      <c r="H38" s="47">
        <v>90</v>
      </c>
      <c r="I38" s="47">
        <v>0</v>
      </c>
      <c r="J38" s="47">
        <v>0</v>
      </c>
    </row>
    <row r="39" ht="14.25">
      <c r="A39" s="47" t="s">
        <v>58</v>
      </c>
      <c r="B39" s="47" t="s">
        <v>72</v>
      </c>
      <c r="C39" s="47">
        <v>0.076999999999999999</v>
      </c>
      <c r="D39" s="47">
        <v>0.092999999999999999</v>
      </c>
      <c r="E39" s="47">
        <v>0.16300000000000001</v>
      </c>
      <c r="F39" s="47">
        <v>0.014</v>
      </c>
      <c r="G39" s="47">
        <v>0.10199999999999999</v>
      </c>
      <c r="H39" s="47">
        <v>32</v>
      </c>
      <c r="I39" s="47">
        <v>0</v>
      </c>
      <c r="J39" s="47">
        <v>0</v>
      </c>
    </row>
    <row r="40" ht="14.25">
      <c r="A40" s="47" t="s">
        <v>83</v>
      </c>
      <c r="B40" s="47" t="s">
        <v>76</v>
      </c>
      <c r="C40" s="47">
        <v>0.076999999999999999</v>
      </c>
      <c r="D40" s="47">
        <v>0.092999999999999999</v>
      </c>
      <c r="E40" s="47">
        <v>0.16300000000000001</v>
      </c>
      <c r="F40" s="47">
        <v>0</v>
      </c>
      <c r="G40" s="47">
        <v>0.10199999999999999</v>
      </c>
      <c r="H40" s="47">
        <v>32</v>
      </c>
      <c r="I40" s="47">
        <v>0</v>
      </c>
      <c r="J40" s="47">
        <v>0</v>
      </c>
    </row>
    <row r="41" ht="14.25">
      <c r="A41" s="47" t="s">
        <v>50</v>
      </c>
      <c r="B41" s="47" t="s">
        <v>72</v>
      </c>
      <c r="C41" s="47">
        <v>0.051999999999999998</v>
      </c>
      <c r="D41" s="47">
        <v>0.063</v>
      </c>
      <c r="E41" s="47">
        <v>0.28199999999999997</v>
      </c>
      <c r="F41" s="47">
        <v>0.017999999999999999</v>
      </c>
      <c r="G41" s="47">
        <v>0.072999999999999995</v>
      </c>
      <c r="H41" s="47">
        <v>182</v>
      </c>
      <c r="I41" s="47">
        <v>0</v>
      </c>
      <c r="J41" s="47">
        <v>0</v>
      </c>
    </row>
    <row r="42" ht="14.25">
      <c r="A42" s="47" t="s">
        <v>83</v>
      </c>
      <c r="B42" s="47" t="s">
        <v>76</v>
      </c>
      <c r="C42" s="47">
        <v>0.051999999999999998</v>
      </c>
      <c r="D42" s="47">
        <v>0.063</v>
      </c>
      <c r="E42" s="47">
        <v>0.28199999999999997</v>
      </c>
      <c r="F42" s="47">
        <v>0</v>
      </c>
      <c r="G42" s="47">
        <v>0.072999999999999995</v>
      </c>
      <c r="H42" s="47">
        <v>182</v>
      </c>
      <c r="I42" s="47">
        <v>0</v>
      </c>
      <c r="J42" s="47">
        <v>0</v>
      </c>
    </row>
    <row r="43" ht="14.25">
      <c r="A43" s="47" t="s">
        <v>64</v>
      </c>
      <c r="B43" s="47" t="s">
        <v>72</v>
      </c>
      <c r="C43" s="47">
        <v>0.125</v>
      </c>
      <c r="D43" s="47">
        <v>0.151</v>
      </c>
      <c r="E43" s="47">
        <v>0.246</v>
      </c>
      <c r="F43" s="47">
        <v>0.014999999999999999</v>
      </c>
      <c r="G43" s="47">
        <v>0.16800000000000001</v>
      </c>
      <c r="H43" s="47">
        <v>150</v>
      </c>
      <c r="I43" s="47">
        <v>0</v>
      </c>
      <c r="J43" s="47">
        <v>0</v>
      </c>
    </row>
    <row r="44" ht="14.25">
      <c r="A44" s="47" t="s">
        <v>83</v>
      </c>
      <c r="B44" s="47" t="s">
        <v>76</v>
      </c>
      <c r="C44" s="47">
        <v>0.125</v>
      </c>
      <c r="D44" s="47">
        <v>0.151</v>
      </c>
      <c r="E44" s="47">
        <v>0.246</v>
      </c>
      <c r="F44" s="47">
        <v>0</v>
      </c>
      <c r="G44" s="47">
        <v>0.16800000000000001</v>
      </c>
      <c r="H44" s="47">
        <v>150</v>
      </c>
      <c r="I44" s="47">
        <v>0</v>
      </c>
      <c r="J44" s="47">
        <v>0</v>
      </c>
    </row>
    <row r="45" ht="14.25">
      <c r="A45" s="47" t="s">
        <v>57</v>
      </c>
      <c r="B45" s="47" t="s">
        <v>72</v>
      </c>
      <c r="C45" s="47">
        <v>0.052999999999999999</v>
      </c>
      <c r="D45" s="47">
        <v>0.10000000000000001</v>
      </c>
      <c r="E45" s="47">
        <v>0.155</v>
      </c>
      <c r="F45" s="47">
        <v>0.025999999999999999</v>
      </c>
      <c r="G45" s="47">
        <v>0.121</v>
      </c>
      <c r="H45" s="47">
        <v>114</v>
      </c>
      <c r="I45" s="47">
        <v>0</v>
      </c>
      <c r="J45" s="47">
        <v>0</v>
      </c>
    </row>
    <row r="46" ht="14.25">
      <c r="A46" s="47" t="s">
        <v>83</v>
      </c>
      <c r="B46" s="47" t="s">
        <v>76</v>
      </c>
      <c r="C46" s="47">
        <v>0.052999999999999999</v>
      </c>
      <c r="D46" s="47">
        <v>0.10000000000000001</v>
      </c>
      <c r="E46" s="47">
        <v>0.155</v>
      </c>
      <c r="F46" s="47">
        <v>0</v>
      </c>
      <c r="G46" s="47">
        <v>0.121</v>
      </c>
      <c r="H46" s="47">
        <v>114</v>
      </c>
      <c r="I46" s="47">
        <v>0</v>
      </c>
      <c r="J46" s="47">
        <v>0</v>
      </c>
    </row>
    <row r="47" ht="14.25">
      <c r="A47" s="47" t="s">
        <v>54</v>
      </c>
      <c r="B47" s="47" t="s">
        <v>72</v>
      </c>
      <c r="C47" s="47">
        <v>0.085999999999999993</v>
      </c>
      <c r="D47" s="47">
        <v>0.094</v>
      </c>
      <c r="E47" s="47">
        <v>0.10199999999999999</v>
      </c>
      <c r="F47" s="47">
        <v>0.0040000000000000001</v>
      </c>
      <c r="G47" s="47">
        <v>0.099000000000000005</v>
      </c>
      <c r="H47" s="47">
        <v>60</v>
      </c>
      <c r="I47" s="47">
        <v>0</v>
      </c>
      <c r="J47" s="47">
        <v>0</v>
      </c>
    </row>
    <row r="48" ht="14.25">
      <c r="A48" s="47" t="s">
        <v>83</v>
      </c>
      <c r="B48" s="47" t="s">
        <v>76</v>
      </c>
      <c r="C48" s="47">
        <v>0.085999999999999993</v>
      </c>
      <c r="D48" s="47">
        <v>0.094</v>
      </c>
      <c r="E48" s="47">
        <v>0.10199999999999999</v>
      </c>
      <c r="F48" s="47">
        <v>0</v>
      </c>
      <c r="G48" s="47">
        <v>0.099000000000000005</v>
      </c>
      <c r="H48" s="47">
        <v>60</v>
      </c>
      <c r="I48" s="47">
        <v>0</v>
      </c>
      <c r="J48" s="47">
        <v>0</v>
      </c>
    </row>
    <row r="49" ht="14.25">
      <c r="A49" s="47" t="s">
        <v>59</v>
      </c>
      <c r="B49" s="47" t="s">
        <v>72</v>
      </c>
      <c r="C49" s="47">
        <v>0.075999999999999998</v>
      </c>
      <c r="D49" s="47">
        <v>0.087999999999999995</v>
      </c>
      <c r="E49" s="47">
        <v>0.098000000000000004</v>
      </c>
      <c r="F49" s="47">
        <v>0.0050000000000000001</v>
      </c>
      <c r="G49" s="47">
        <v>0.094</v>
      </c>
      <c r="H49" s="47">
        <v>32</v>
      </c>
      <c r="I49" s="47">
        <v>0</v>
      </c>
      <c r="J49" s="47">
        <v>0</v>
      </c>
    </row>
    <row r="50" ht="14.25">
      <c r="A50" s="47" t="s">
        <v>83</v>
      </c>
      <c r="B50" s="47" t="s">
        <v>76</v>
      </c>
      <c r="C50" s="47">
        <v>0.075999999999999998</v>
      </c>
      <c r="D50" s="47">
        <v>0.087999999999999995</v>
      </c>
      <c r="E50" s="47">
        <v>0.098000000000000004</v>
      </c>
      <c r="F50" s="47">
        <v>0</v>
      </c>
      <c r="G50" s="47">
        <v>0.094</v>
      </c>
      <c r="H50" s="47">
        <v>32</v>
      </c>
      <c r="I50" s="47">
        <v>0</v>
      </c>
      <c r="J50" s="47">
        <v>0</v>
      </c>
    </row>
    <row r="51" ht="14.25">
      <c r="A51" s="47" t="s">
        <v>84</v>
      </c>
      <c r="B51" s="47" t="s">
        <v>76</v>
      </c>
      <c r="C51" s="47">
        <v>0.56100000000000005</v>
      </c>
      <c r="D51" s="47">
        <v>0.61599999999999999</v>
      </c>
      <c r="E51" s="47">
        <v>0.65100000000000002</v>
      </c>
      <c r="F51" s="47">
        <v>0.02</v>
      </c>
      <c r="G51" s="47">
        <v>0.63800000000000001</v>
      </c>
      <c r="H51" s="47">
        <v>36</v>
      </c>
      <c r="I51" s="47">
        <v>0</v>
      </c>
      <c r="J51" s="47">
        <v>0</v>
      </c>
    </row>
    <row r="52" ht="14.25">
      <c r="A52" s="47" t="s">
        <v>83</v>
      </c>
      <c r="B52" s="47" t="s">
        <v>76</v>
      </c>
      <c r="C52" s="47">
        <v>0.56100000000000005</v>
      </c>
      <c r="D52" s="47">
        <v>0.61599999999999999</v>
      </c>
      <c r="E52" s="47">
        <v>0.65100000000000002</v>
      </c>
      <c r="F52" s="47">
        <v>0</v>
      </c>
      <c r="G52" s="47">
        <v>0.63800000000000001</v>
      </c>
      <c r="H52" s="47">
        <v>36</v>
      </c>
      <c r="I52" s="47">
        <v>0</v>
      </c>
      <c r="J52" s="47">
        <v>0</v>
      </c>
    </row>
    <row r="53" ht="14.25">
      <c r="A53" s="47" t="s">
        <v>85</v>
      </c>
      <c r="B53" s="47" t="s">
        <v>76</v>
      </c>
      <c r="C53" s="47">
        <v>0.60299999999999998</v>
      </c>
      <c r="D53" s="47">
        <v>0.66600000000000004</v>
      </c>
      <c r="E53" s="47">
        <v>0.72399999999999998</v>
      </c>
      <c r="F53" s="47">
        <v>0.024</v>
      </c>
      <c r="G53" s="47">
        <v>0.69699999999999995</v>
      </c>
      <c r="H53" s="47">
        <v>60</v>
      </c>
      <c r="I53" s="47">
        <v>0</v>
      </c>
      <c r="J53" s="47">
        <v>0</v>
      </c>
    </row>
    <row r="54" ht="14.25">
      <c r="A54" s="47" t="s">
        <v>83</v>
      </c>
      <c r="B54" s="47" t="s">
        <v>76</v>
      </c>
      <c r="C54" s="47">
        <v>0.60299999999999998</v>
      </c>
      <c r="D54" s="47">
        <v>0.66600000000000004</v>
      </c>
      <c r="E54" s="47">
        <v>0.72399999999999998</v>
      </c>
      <c r="F54" s="47">
        <v>0</v>
      </c>
      <c r="G54" s="47">
        <v>0.69699999999999995</v>
      </c>
      <c r="H54" s="47">
        <v>60</v>
      </c>
      <c r="I54" s="47">
        <v>0</v>
      </c>
      <c r="J54" s="47">
        <v>0</v>
      </c>
    </row>
    <row r="55" ht="14.25">
      <c r="A55" s="47" t="s">
        <v>86</v>
      </c>
      <c r="B55" s="47" t="s">
        <v>76</v>
      </c>
      <c r="C55" s="47">
        <v>0.33300000000000002</v>
      </c>
      <c r="D55" s="47">
        <v>0.38800000000000001</v>
      </c>
      <c r="E55" s="47">
        <v>0.67900000000000005</v>
      </c>
      <c r="F55" s="47">
        <v>0.069000000000000006</v>
      </c>
      <c r="G55" s="47">
        <v>0.39900000000000002</v>
      </c>
      <c r="H55" s="47">
        <v>30</v>
      </c>
      <c r="I55" s="47">
        <v>0</v>
      </c>
      <c r="J55" s="47">
        <v>0</v>
      </c>
    </row>
    <row r="56" ht="14.25">
      <c r="A56" s="47" t="s">
        <v>83</v>
      </c>
      <c r="B56" s="47" t="s">
        <v>76</v>
      </c>
      <c r="C56" s="47">
        <v>0.33300000000000002</v>
      </c>
      <c r="D56" s="47">
        <v>0.38800000000000001</v>
      </c>
      <c r="E56" s="47">
        <v>0.67900000000000005</v>
      </c>
      <c r="F56" s="47">
        <v>0</v>
      </c>
      <c r="G56" s="47">
        <v>0.39900000000000002</v>
      </c>
      <c r="H56" s="47">
        <v>30</v>
      </c>
      <c r="I56" s="47">
        <v>0</v>
      </c>
      <c r="J56" s="47">
        <v>0</v>
      </c>
    </row>
    <row r="57" ht="14.25">
      <c r="A57" s="47" t="s">
        <v>87</v>
      </c>
      <c r="B57" s="47" t="s">
        <v>76</v>
      </c>
      <c r="C57" s="47">
        <v>0.45200000000000001</v>
      </c>
      <c r="D57" s="47">
        <v>0.48699999999999999</v>
      </c>
      <c r="E57" s="47">
        <v>0.53900000000000003</v>
      </c>
      <c r="F57" s="47">
        <v>0.021000000000000001</v>
      </c>
      <c r="G57" s="47">
        <v>0.51800000000000002</v>
      </c>
      <c r="H57" s="47">
        <v>24</v>
      </c>
      <c r="I57" s="47">
        <v>0</v>
      </c>
      <c r="J57" s="47">
        <v>0</v>
      </c>
    </row>
    <row r="58" ht="14.25">
      <c r="A58" s="47" t="s">
        <v>83</v>
      </c>
      <c r="B58" s="47" t="s">
        <v>76</v>
      </c>
      <c r="C58" s="47">
        <v>0.45200000000000001</v>
      </c>
      <c r="D58" s="47">
        <v>0.48699999999999999</v>
      </c>
      <c r="E58" s="47">
        <v>0.53900000000000003</v>
      </c>
      <c r="F58" s="47">
        <v>0</v>
      </c>
      <c r="G58" s="47">
        <v>0.51800000000000002</v>
      </c>
      <c r="H58" s="47">
        <v>24</v>
      </c>
      <c r="I58" s="47">
        <v>0</v>
      </c>
      <c r="J58" s="47">
        <v>0</v>
      </c>
    </row>
    <row r="59" ht="14.25">
      <c r="A59" s="47" t="s">
        <v>88</v>
      </c>
      <c r="B59" s="47" t="s">
        <v>76</v>
      </c>
      <c r="C59" s="47">
        <v>0.35999999999999999</v>
      </c>
      <c r="D59" s="47">
        <v>0.39300000000000002</v>
      </c>
      <c r="E59" s="47">
        <v>0.47099999999999997</v>
      </c>
      <c r="F59" s="47">
        <v>0.021999999999999999</v>
      </c>
      <c r="G59" s="47">
        <v>0.41899999999999998</v>
      </c>
      <c r="H59" s="47">
        <v>32</v>
      </c>
      <c r="I59" s="47">
        <v>0</v>
      </c>
      <c r="J59" s="47">
        <v>0</v>
      </c>
    </row>
    <row r="60" ht="14.25">
      <c r="A60" s="47" t="s">
        <v>83</v>
      </c>
      <c r="B60" s="47" t="s">
        <v>76</v>
      </c>
      <c r="C60" s="47">
        <v>0.35999999999999999</v>
      </c>
      <c r="D60" s="47">
        <v>0.39300000000000002</v>
      </c>
      <c r="E60" s="47">
        <v>0.47099999999999997</v>
      </c>
      <c r="F60" s="47">
        <v>0</v>
      </c>
      <c r="G60" s="47">
        <v>0.41899999999999998</v>
      </c>
      <c r="H60" s="47">
        <v>32</v>
      </c>
      <c r="I60" s="47">
        <v>0</v>
      </c>
      <c r="J60" s="47"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zoomScale="100" workbookViewId="0">
      <selection activeCell="H19" activeCellId="0" sqref="H19"/>
    </sheetView>
  </sheetViews>
  <sheetFormatPr defaultColWidth="8.85546875" defaultRowHeight="14.25"/>
  <cols>
    <col customWidth="1" min="2" max="2" width="4.42578125"/>
    <col customWidth="1" hidden="1" min="3" max="4" width="9.140625"/>
    <col customWidth="1" min="5" max="5" width="20.42578125"/>
    <col customWidth="1" min="6" max="6" width="18.85546875"/>
    <col customWidth="1" min="7" max="7" width="15.28515625"/>
    <col customWidth="1" min="8" max="8" width="15.140625"/>
    <col customWidth="1" min="9" max="9" width="14"/>
    <col customWidth="1" min="11" max="11" width="1.42578125"/>
    <col customWidth="1" min="12" max="12" width="40.28515625"/>
    <col bestFit="1" customWidth="1" min="13" max="13" width="6"/>
    <col bestFit="1" customWidth="1" min="14" max="14" width="4.140625"/>
    <col bestFit="1" customWidth="1" min="15" max="15" width="5"/>
    <col bestFit="1" customWidth="1" min="16" max="16" width="14.140625"/>
    <col bestFit="1" customWidth="1" min="17" max="17" width="19.42578125"/>
  </cols>
  <sheetData>
    <row r="9">
      <c r="E9" s="62" t="s">
        <v>89</v>
      </c>
      <c r="F9" s="62"/>
      <c r="G9" s="62"/>
      <c r="H9" s="62"/>
      <c r="I9" s="62"/>
    </row>
    <row r="11" ht="28.5">
      <c r="E11" s="63" t="s">
        <v>90</v>
      </c>
      <c r="F11" s="63" t="s">
        <v>91</v>
      </c>
      <c r="G11" s="63" t="s">
        <v>92</v>
      </c>
      <c r="H11" s="63" t="s">
        <v>93</v>
      </c>
      <c r="I11" s="63" t="s">
        <v>94</v>
      </c>
    </row>
    <row r="12" ht="15">
      <c r="E12" s="64" t="s">
        <v>22</v>
      </c>
      <c r="F12" s="65" t="s">
        <v>95</v>
      </c>
      <c r="G12" s="66">
        <v>368</v>
      </c>
      <c r="H12" s="65">
        <f>121*3</f>
        <v>363</v>
      </c>
      <c r="I12" s="67">
        <f t="shared" ref="I12:I44" si="23">1-G12/H12</f>
        <v>-0.01377410468319562</v>
      </c>
    </row>
    <row r="13" ht="30">
      <c r="E13" s="64" t="s">
        <v>96</v>
      </c>
      <c r="F13" s="65" t="s">
        <v>97</v>
      </c>
      <c r="G13" s="66">
        <v>251</v>
      </c>
      <c r="H13" s="65">
        <f t="shared" ref="H13:H14" si="24">82*3</f>
        <v>246</v>
      </c>
      <c r="I13" s="67">
        <f t="shared" si="23"/>
        <v>-0.020325203252032464</v>
      </c>
    </row>
    <row r="14" ht="30">
      <c r="E14" s="64" t="s">
        <v>98</v>
      </c>
      <c r="F14" s="65" t="s">
        <v>99</v>
      </c>
      <c r="G14" s="66">
        <v>251</v>
      </c>
      <c r="H14" s="65">
        <f t="shared" si="24"/>
        <v>246</v>
      </c>
      <c r="I14" s="67">
        <f t="shared" si="23"/>
        <v>-0.020325203252032464</v>
      </c>
    </row>
    <row r="15" ht="15">
      <c r="E15" s="64" t="s">
        <v>30</v>
      </c>
      <c r="F15" s="65" t="s">
        <v>100</v>
      </c>
      <c r="G15" s="66">
        <v>175</v>
      </c>
      <c r="H15" s="65">
        <f t="shared" ref="H15:H16" si="25">56*3</f>
        <v>168</v>
      </c>
      <c r="I15" s="68">
        <f t="shared" si="23"/>
        <v>-0.041666666666666741</v>
      </c>
    </row>
    <row r="16" ht="30">
      <c r="E16" s="64" t="s">
        <v>101</v>
      </c>
      <c r="F16" s="65" t="s">
        <v>102</v>
      </c>
      <c r="G16" s="66">
        <v>159</v>
      </c>
      <c r="H16" s="66">
        <f t="shared" si="25"/>
        <v>168</v>
      </c>
      <c r="I16" s="67">
        <f t="shared" si="23"/>
        <v>0.053571428571428603</v>
      </c>
    </row>
    <row r="17" ht="45">
      <c r="E17" s="64" t="s">
        <v>103</v>
      </c>
      <c r="F17" s="65" t="s">
        <v>104</v>
      </c>
      <c r="G17" s="66">
        <v>73</v>
      </c>
      <c r="H17" s="65">
        <f>25*3</f>
        <v>75</v>
      </c>
      <c r="I17" s="67">
        <f t="shared" si="23"/>
        <v>0.026666666666666616</v>
      </c>
    </row>
    <row r="18" ht="15">
      <c r="E18" s="64" t="s">
        <v>26</v>
      </c>
      <c r="F18" s="65" t="s">
        <v>57</v>
      </c>
      <c r="G18" s="66">
        <v>326</v>
      </c>
      <c r="H18" s="65">
        <f>104*3</f>
        <v>312</v>
      </c>
      <c r="I18" s="67">
        <f t="shared" si="23"/>
        <v>-0.044871794871794934</v>
      </c>
    </row>
    <row r="23">
      <c r="E23" s="62" t="s">
        <v>105</v>
      </c>
      <c r="F23" s="62"/>
      <c r="G23" s="62"/>
      <c r="H23" s="62"/>
      <c r="I23" s="62"/>
    </row>
    <row r="25">
      <c r="E25" s="69" t="s">
        <v>90</v>
      </c>
      <c r="F25" s="69" t="s">
        <v>91</v>
      </c>
      <c r="G25" s="69" t="s">
        <v>92</v>
      </c>
      <c r="H25" s="69" t="s">
        <v>93</v>
      </c>
      <c r="I25" s="69" t="s">
        <v>94</v>
      </c>
    </row>
    <row r="26" ht="15">
      <c r="E26" s="70" t="s">
        <v>22</v>
      </c>
      <c r="F26" s="71" t="s">
        <v>95</v>
      </c>
      <c r="G26" s="72">
        <f>5*368</f>
        <v>1840</v>
      </c>
      <c r="H26" s="73">
        <f>721*3</f>
        <v>2163</v>
      </c>
      <c r="I26" s="74">
        <f t="shared" si="23"/>
        <v>0.14932963476652794</v>
      </c>
    </row>
    <row r="27" ht="15">
      <c r="E27" s="70" t="s">
        <v>96</v>
      </c>
      <c r="F27" s="71" t="s">
        <v>97</v>
      </c>
      <c r="G27" s="72">
        <f t="shared" ref="G27:G28" si="26">5*251</f>
        <v>1255</v>
      </c>
      <c r="H27" s="73">
        <f>3*464</f>
        <v>1392</v>
      </c>
      <c r="I27" s="74">
        <f t="shared" si="23"/>
        <v>0.098419540229885083</v>
      </c>
    </row>
    <row r="28" ht="15">
      <c r="E28" s="70" t="s">
        <v>98</v>
      </c>
      <c r="F28" s="71" t="s">
        <v>99</v>
      </c>
      <c r="G28" s="72">
        <f t="shared" si="26"/>
        <v>1255</v>
      </c>
      <c r="H28" s="73">
        <f>3*462</f>
        <v>1386</v>
      </c>
      <c r="I28" s="74">
        <f t="shared" si="23"/>
        <v>0.094516594516594554</v>
      </c>
    </row>
    <row r="29" ht="15">
      <c r="E29" s="70" t="s">
        <v>30</v>
      </c>
      <c r="F29" s="71" t="s">
        <v>100</v>
      </c>
      <c r="G29" s="72">
        <f>5*175</f>
        <v>875</v>
      </c>
      <c r="H29" s="73">
        <f>3*314</f>
        <v>942</v>
      </c>
      <c r="I29" s="75">
        <f t="shared" si="23"/>
        <v>0.071125265392781301</v>
      </c>
    </row>
    <row r="30" ht="15">
      <c r="E30" s="70" t="s">
        <v>101</v>
      </c>
      <c r="F30" s="71" t="s">
        <v>102</v>
      </c>
      <c r="G30" s="72">
        <f>5*159</f>
        <v>795</v>
      </c>
      <c r="H30" s="73">
        <f>3*330</f>
        <v>990</v>
      </c>
      <c r="I30" s="74">
        <f t="shared" si="23"/>
        <v>0.19696969696969702</v>
      </c>
    </row>
    <row r="31" ht="15">
      <c r="E31" s="70" t="s">
        <v>103</v>
      </c>
      <c r="F31" s="71" t="s">
        <v>104</v>
      </c>
      <c r="G31" s="72">
        <f>5*73</f>
        <v>365</v>
      </c>
      <c r="H31" s="73">
        <f>3*141</f>
        <v>423</v>
      </c>
      <c r="I31" s="74">
        <f t="shared" si="23"/>
        <v>0.13711583924349879</v>
      </c>
    </row>
    <row r="32" ht="15">
      <c r="E32" s="70" t="s">
        <v>26</v>
      </c>
      <c r="F32" s="71" t="s">
        <v>57</v>
      </c>
      <c r="G32" s="72">
        <f>5*326</f>
        <v>1630</v>
      </c>
      <c r="H32" s="73">
        <f>3*599</f>
        <v>1797</v>
      </c>
      <c r="I32" s="74">
        <f t="shared" si="23"/>
        <v>0.092932665553700611</v>
      </c>
    </row>
    <row r="35">
      <c r="E35" s="62" t="s">
        <v>106</v>
      </c>
      <c r="F35" s="62"/>
      <c r="G35" s="62"/>
      <c r="H35" s="62"/>
      <c r="I35" s="62"/>
    </row>
    <row r="37">
      <c r="E37" s="69" t="s">
        <v>90</v>
      </c>
      <c r="F37" s="69" t="s">
        <v>91</v>
      </c>
      <c r="G37" s="69" t="s">
        <v>92</v>
      </c>
      <c r="H37" s="69" t="s">
        <v>93</v>
      </c>
      <c r="I37" s="69" t="s">
        <v>94</v>
      </c>
      <c r="L37" s="76" t="s">
        <v>65</v>
      </c>
      <c r="M37" s="76" t="s">
        <v>72</v>
      </c>
      <c r="N37" s="76" t="s">
        <v>73</v>
      </c>
      <c r="O37" s="76" t="s">
        <v>74</v>
      </c>
    </row>
    <row r="38" ht="15">
      <c r="E38" s="70" t="s">
        <v>22</v>
      </c>
      <c r="F38" s="71" t="s">
        <v>95</v>
      </c>
      <c r="G38" s="72">
        <f>5*368</f>
        <v>1840</v>
      </c>
      <c r="H38" s="73">
        <v>2109</v>
      </c>
      <c r="I38" s="74">
        <f t="shared" si="23"/>
        <v>0.12754860123281175</v>
      </c>
      <c r="L38" s="76" t="s">
        <v>104</v>
      </c>
      <c r="M38" s="76">
        <v>377</v>
      </c>
      <c r="N38" s="76">
        <v>27</v>
      </c>
      <c r="O38" s="76">
        <v>0</v>
      </c>
    </row>
    <row r="39" ht="15">
      <c r="E39" s="70" t="s">
        <v>96</v>
      </c>
      <c r="F39" s="71" t="s">
        <v>97</v>
      </c>
      <c r="G39" s="72">
        <f t="shared" ref="G39:G40" si="27">5*251</f>
        <v>1255</v>
      </c>
      <c r="H39" s="76">
        <v>1315</v>
      </c>
      <c r="I39" s="74">
        <f t="shared" si="23"/>
        <v>0.045627376425855459</v>
      </c>
      <c r="L39" s="76" t="s">
        <v>102</v>
      </c>
      <c r="M39" s="76">
        <v>998</v>
      </c>
      <c r="N39" s="76">
        <v>1</v>
      </c>
      <c r="O39" s="76">
        <v>0</v>
      </c>
    </row>
    <row r="40" ht="15">
      <c r="E40" s="70" t="s">
        <v>98</v>
      </c>
      <c r="F40" s="71" t="s">
        <v>99</v>
      </c>
      <c r="G40" s="72">
        <f t="shared" si="27"/>
        <v>1255</v>
      </c>
      <c r="H40" s="73">
        <v>1315</v>
      </c>
      <c r="I40" s="74">
        <f t="shared" si="23"/>
        <v>0.045627376425855459</v>
      </c>
      <c r="L40" s="76" t="s">
        <v>97</v>
      </c>
      <c r="M40" s="76" t="s">
        <v>107</v>
      </c>
      <c r="N40" s="76">
        <v>0</v>
      </c>
      <c r="O40" s="76">
        <v>0</v>
      </c>
    </row>
    <row r="41" ht="15">
      <c r="E41" s="70" t="s">
        <v>30</v>
      </c>
      <c r="F41" s="71" t="s">
        <v>100</v>
      </c>
      <c r="G41" s="72">
        <f>5*175</f>
        <v>875</v>
      </c>
      <c r="H41" s="76">
        <v>924</v>
      </c>
      <c r="I41" s="75">
        <f t="shared" si="23"/>
        <v>0.053030303030302983</v>
      </c>
      <c r="L41" s="76" t="s">
        <v>95</v>
      </c>
      <c r="M41" s="76" t="s">
        <v>108</v>
      </c>
      <c r="N41" s="76">
        <v>139</v>
      </c>
      <c r="O41" s="76">
        <v>0</v>
      </c>
    </row>
    <row r="42" ht="15">
      <c r="E42" s="70" t="s">
        <v>101</v>
      </c>
      <c r="F42" s="71" t="s">
        <v>102</v>
      </c>
      <c r="G42" s="72">
        <f>5*159</f>
        <v>795</v>
      </c>
      <c r="H42" s="76">
        <v>998</v>
      </c>
      <c r="I42" s="74">
        <f t="shared" si="23"/>
        <v>0.20340681362725455</v>
      </c>
      <c r="L42" s="76" t="s">
        <v>57</v>
      </c>
      <c r="M42" s="76" t="s">
        <v>109</v>
      </c>
      <c r="N42" s="76">
        <v>1</v>
      </c>
      <c r="O42" s="76">
        <v>0</v>
      </c>
    </row>
    <row r="43" ht="15">
      <c r="E43" s="70" t="s">
        <v>103</v>
      </c>
      <c r="F43" s="71" t="s">
        <v>104</v>
      </c>
      <c r="G43" s="72">
        <f>5*73</f>
        <v>365</v>
      </c>
      <c r="H43" s="76">
        <v>404</v>
      </c>
      <c r="I43" s="74">
        <f t="shared" si="23"/>
        <v>0.096534653465346509</v>
      </c>
      <c r="L43" s="76" t="s">
        <v>100</v>
      </c>
      <c r="M43" s="76">
        <v>924</v>
      </c>
      <c r="N43" s="76">
        <v>0</v>
      </c>
      <c r="O43" s="76">
        <v>0</v>
      </c>
    </row>
    <row r="44" ht="15">
      <c r="E44" s="70" t="s">
        <v>26</v>
      </c>
      <c r="F44" s="71" t="s">
        <v>57</v>
      </c>
      <c r="G44" s="72">
        <f>5*326</f>
        <v>1630</v>
      </c>
      <c r="H44" s="73">
        <v>1675</v>
      </c>
      <c r="I44" s="74">
        <f t="shared" si="23"/>
        <v>0.0268656716417911</v>
      </c>
      <c r="L44" s="76" t="s">
        <v>99</v>
      </c>
      <c r="M44" s="76" t="s">
        <v>107</v>
      </c>
      <c r="N44" s="76">
        <v>0</v>
      </c>
      <c r="O44" s="76">
        <v>0</v>
      </c>
    </row>
  </sheetData>
  <mergeCells count="3">
    <mergeCell ref="E9:I9"/>
    <mergeCell ref="E23:I23"/>
    <mergeCell ref="E35:I35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Микаел Яценко</cp:lastModifiedBy>
  <cp:revision>1</cp:revision>
  <dcterms:modified xsi:type="dcterms:W3CDTF">2024-12-24T17:44:50Z</dcterms:modified>
</cp:coreProperties>
</file>