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Code_GIT\tesi_triennale_Git\python\Codice_Progetto\Certificati_Euramet_Completi\"/>
    </mc:Choice>
  </mc:AlternateContent>
  <xr:revisionPtr revIDLastSave="0" documentId="13_ncr:1_{DD0318CA-451E-487D-981E-FD9925A4F3B5}" xr6:coauthVersionLast="47" xr6:coauthVersionMax="47" xr10:uidLastSave="{00000000-0000-0000-0000-000000000000}"/>
  <bookViews>
    <workbookView xWindow="-108" yWindow="-108" windowWidth="23256" windowHeight="12456" tabRatio="500" xr2:uid="{00000000-000D-0000-FFFF-FFFF00000000}"/>
  </bookViews>
  <sheets>
    <sheet name="Euramet" sheetId="1" r:id="rId1"/>
    <sheet name="Istruzioni Uso" sheetId="2" r:id="rId2"/>
    <sheet name="1°Q - Positivo" sheetId="3" r:id="rId3"/>
    <sheet name="3°Q - Negativo" sheetId="4" r:id="rId4"/>
    <sheet name="Check Q1 vs Q3 " sheetId="5" r:id="rId5"/>
    <sheet name="REPORT" sheetId="6" r:id="rId6"/>
  </sheets>
  <definedNames>
    <definedName name="C_Tar_max">'Istruzioni Uso'!$B$24</definedName>
    <definedName name="C_Tar_min">'Istruzioni Uso'!$B$25</definedName>
    <definedName name="EUnits">'Istruzioni Uso'!$B$11</definedName>
    <definedName name="_xlnm.Print_Area" localSheetId="5">REPORT!$A$1:$N$110</definedName>
    <definedName name="SetPnt_N_0">'Istruzioni Uso'!$H$20</definedName>
    <definedName name="SetPnt_N_1">'Istruzioni Uso'!$H$21</definedName>
    <definedName name="SetPnt_N_2">'Istruzioni Uso'!$H$22</definedName>
    <definedName name="SetPnt_N_3">'Istruzioni Uso'!$H$23</definedName>
    <definedName name="SetPnt_N_4">'Istruzioni Uso'!$H$24</definedName>
    <definedName name="SetPnt_N_5">'Istruzioni Uso'!$H$25</definedName>
    <definedName name="SetPnt_P_0">'Istruzioni Uso'!$E$20</definedName>
    <definedName name="SetPnt_P_1">'Istruzioni Uso'!$E$21</definedName>
    <definedName name="SetPnt_P_2">'Istruzioni Uso'!$E$22</definedName>
    <definedName name="SetPnt_P_3">'Istruzioni Uso'!$E$23</definedName>
    <definedName name="SetPnt_P_4">'Istruzioni Uso'!$E$24</definedName>
    <definedName name="SetPnt_P_5">'Istruzioni Uso'!$E$25</definedName>
    <definedName name="UUT_EUnits">'Istruzioni Uso'!$B$12</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97" i="6" l="1"/>
  <c r="G92" i="6"/>
  <c r="G74" i="6"/>
  <c r="F16" i="6"/>
  <c r="F15" i="6"/>
  <c r="F14" i="6"/>
  <c r="F13" i="6"/>
  <c r="F12" i="6"/>
  <c r="F11" i="6"/>
  <c r="F10" i="6"/>
  <c r="F9" i="6"/>
  <c r="C7" i="6"/>
  <c r="J25" i="5"/>
  <c r="I25" i="5"/>
  <c r="H25" i="5"/>
  <c r="G25" i="5"/>
  <c r="I21" i="5"/>
  <c r="H21" i="5"/>
  <c r="G21" i="5"/>
  <c r="J16" i="5"/>
  <c r="I16" i="5"/>
  <c r="H16" i="5"/>
  <c r="G16" i="5"/>
  <c r="I12" i="5"/>
  <c r="H12" i="5"/>
  <c r="G12" i="5"/>
  <c r="R6" i="5"/>
  <c r="Q6" i="5"/>
  <c r="P6" i="5"/>
  <c r="A184" i="4"/>
  <c r="T180" i="4"/>
  <c r="F180" i="4"/>
  <c r="F179" i="4"/>
  <c r="D179" i="4"/>
  <c r="C179" i="4"/>
  <c r="B179" i="4"/>
  <c r="F178" i="4"/>
  <c r="D178" i="4"/>
  <c r="C178" i="4"/>
  <c r="B178" i="4"/>
  <c r="F177" i="4"/>
  <c r="D177" i="4"/>
  <c r="C177" i="4"/>
  <c r="B177" i="4"/>
  <c r="F176" i="4"/>
  <c r="D176" i="4"/>
  <c r="C176" i="4"/>
  <c r="B176" i="4"/>
  <c r="F175" i="4"/>
  <c r="T174" i="4"/>
  <c r="F169" i="4"/>
  <c r="A169" i="4"/>
  <c r="F168" i="4"/>
  <c r="A168" i="4"/>
  <c r="E161" i="4"/>
  <c r="G108" i="6" s="1"/>
  <c r="D161" i="4"/>
  <c r="F108" i="6" s="1"/>
  <c r="C161" i="4"/>
  <c r="E108" i="6" s="1"/>
  <c r="E160" i="4"/>
  <c r="G107" i="6" s="1"/>
  <c r="D160" i="4"/>
  <c r="F107" i="6" s="1"/>
  <c r="C160" i="4"/>
  <c r="E107" i="6" s="1"/>
  <c r="E159" i="4"/>
  <c r="G106" i="6" s="1"/>
  <c r="D159" i="4"/>
  <c r="F106" i="6" s="1"/>
  <c r="C159" i="4"/>
  <c r="E106" i="6" s="1"/>
  <c r="E158" i="4"/>
  <c r="G105" i="6" s="1"/>
  <c r="D158" i="4"/>
  <c r="F105" i="6" s="1"/>
  <c r="C158" i="4"/>
  <c r="E105" i="6" s="1"/>
  <c r="B157" i="4"/>
  <c r="D104" i="6" s="1"/>
  <c r="A133" i="4"/>
  <c r="T129" i="4"/>
  <c r="A124" i="4"/>
  <c r="A175" i="4" s="1"/>
  <c r="T123" i="4"/>
  <c r="F118" i="4"/>
  <c r="A118" i="4"/>
  <c r="F117" i="4"/>
  <c r="A117" i="4"/>
  <c r="A112" i="4"/>
  <c r="A111" i="4"/>
  <c r="A110" i="4"/>
  <c r="A109" i="4"/>
  <c r="A108" i="4"/>
  <c r="B107" i="4"/>
  <c r="A107" i="4"/>
  <c r="A101" i="4"/>
  <c r="A100" i="4"/>
  <c r="A99" i="4"/>
  <c r="A98" i="4"/>
  <c r="A97" i="4"/>
  <c r="B96" i="4"/>
  <c r="A96" i="4"/>
  <c r="A87" i="4"/>
  <c r="B86" i="4"/>
  <c r="A86" i="4"/>
  <c r="A80" i="4"/>
  <c r="B79" i="4"/>
  <c r="A79" i="4"/>
  <c r="A73" i="4"/>
  <c r="B72" i="4"/>
  <c r="A72" i="4"/>
  <c r="B64" i="4"/>
  <c r="G27" i="5" s="1"/>
  <c r="B63" i="4"/>
  <c r="G26" i="5" s="1"/>
  <c r="B60" i="4"/>
  <c r="G23" i="5" s="1"/>
  <c r="E59" i="4"/>
  <c r="B59" i="4"/>
  <c r="G22" i="5" s="1"/>
  <c r="Q46" i="4"/>
  <c r="B21" i="5" s="1"/>
  <c r="L46" i="4"/>
  <c r="G46" i="4"/>
  <c r="Q40" i="4"/>
  <c r="B15" i="5" s="1"/>
  <c r="L40" i="4"/>
  <c r="G40" i="4"/>
  <c r="B40" i="4"/>
  <c r="B42" i="4" s="1"/>
  <c r="B44" i="4" s="1"/>
  <c r="R39" i="4"/>
  <c r="N39" i="4"/>
  <c r="M39" i="4"/>
  <c r="I39" i="4"/>
  <c r="H39" i="4"/>
  <c r="D39" i="4"/>
  <c r="C39" i="4"/>
  <c r="B32" i="4"/>
  <c r="B31" i="4"/>
  <c r="B28" i="4"/>
  <c r="B27" i="4"/>
  <c r="B24" i="4"/>
  <c r="B23" i="4"/>
  <c r="G22" i="4"/>
  <c r="E22" i="4"/>
  <c r="C22" i="4"/>
  <c r="A14" i="4"/>
  <c r="A12" i="4"/>
  <c r="E11" i="4"/>
  <c r="A11" i="4"/>
  <c r="B5" i="4"/>
  <c r="C3" i="4"/>
  <c r="C5" i="4" s="1"/>
  <c r="B3" i="4"/>
  <c r="T180" i="3"/>
  <c r="F180" i="3"/>
  <c r="F179" i="3"/>
  <c r="D179" i="3"/>
  <c r="C179" i="3"/>
  <c r="B179" i="3"/>
  <c r="F178" i="3"/>
  <c r="D178" i="3"/>
  <c r="C178" i="3"/>
  <c r="B178" i="3"/>
  <c r="F177" i="3"/>
  <c r="D177" i="3"/>
  <c r="C177" i="3"/>
  <c r="B177" i="3"/>
  <c r="F176" i="3"/>
  <c r="D176" i="3"/>
  <c r="C176" i="3"/>
  <c r="B176" i="3"/>
  <c r="F175" i="3"/>
  <c r="A175" i="3"/>
  <c r="T174" i="3"/>
  <c r="F169" i="3"/>
  <c r="A169" i="3"/>
  <c r="F168" i="3"/>
  <c r="A168" i="3"/>
  <c r="E161" i="3"/>
  <c r="G85" i="6" s="1"/>
  <c r="D161" i="3"/>
  <c r="F85" i="6" s="1"/>
  <c r="C161" i="3"/>
  <c r="E85" i="6" s="1"/>
  <c r="E160" i="3"/>
  <c r="G84" i="6" s="1"/>
  <c r="D160" i="3"/>
  <c r="F84" i="6" s="1"/>
  <c r="C160" i="3"/>
  <c r="E84" i="6" s="1"/>
  <c r="E159" i="3"/>
  <c r="G83" i="6" s="1"/>
  <c r="D159" i="3"/>
  <c r="F83" i="6" s="1"/>
  <c r="C159" i="3"/>
  <c r="E83" i="6" s="1"/>
  <c r="E158" i="3"/>
  <c r="G82" i="6" s="1"/>
  <c r="D158" i="3"/>
  <c r="F82" i="6" s="1"/>
  <c r="C158" i="3"/>
  <c r="E82" i="6" s="1"/>
  <c r="B157" i="3"/>
  <c r="D81" i="6" s="1"/>
  <c r="A133" i="3"/>
  <c r="T129" i="3"/>
  <c r="A124" i="3"/>
  <c r="T123" i="3"/>
  <c r="F118" i="3"/>
  <c r="A118" i="3"/>
  <c r="F117" i="3"/>
  <c r="A117" i="3"/>
  <c r="A112" i="3"/>
  <c r="A111" i="3"/>
  <c r="A110" i="3"/>
  <c r="A109" i="3"/>
  <c r="A108" i="3"/>
  <c r="B107" i="3"/>
  <c r="A107" i="3"/>
  <c r="A101" i="3"/>
  <c r="A100" i="3"/>
  <c r="A99" i="3"/>
  <c r="A98" i="3"/>
  <c r="A97" i="3"/>
  <c r="B96" i="3"/>
  <c r="A96" i="3"/>
  <c r="A88" i="3"/>
  <c r="B87" i="3"/>
  <c r="A87" i="3"/>
  <c r="A81" i="3"/>
  <c r="B80" i="3"/>
  <c r="A80" i="3"/>
  <c r="A74" i="3"/>
  <c r="B73" i="3"/>
  <c r="A73" i="3"/>
  <c r="B64" i="3"/>
  <c r="G18" i="5" s="1"/>
  <c r="B63" i="3"/>
  <c r="G17" i="5" s="1"/>
  <c r="B60" i="3"/>
  <c r="G14" i="5" s="1"/>
  <c r="E59" i="3"/>
  <c r="B59" i="3"/>
  <c r="G13" i="5" s="1"/>
  <c r="Q46" i="3"/>
  <c r="B9" i="5" s="1"/>
  <c r="L46" i="3"/>
  <c r="G46" i="3"/>
  <c r="Q40" i="3"/>
  <c r="B3" i="5" s="1"/>
  <c r="L40" i="3"/>
  <c r="G40" i="3"/>
  <c r="B40" i="3"/>
  <c r="B42" i="3" s="1"/>
  <c r="B44" i="3" s="1"/>
  <c r="R39" i="3"/>
  <c r="N39" i="3"/>
  <c r="M39" i="3"/>
  <c r="I39" i="3"/>
  <c r="H39" i="3"/>
  <c r="D39" i="3"/>
  <c r="C39" i="3"/>
  <c r="B32" i="3"/>
  <c r="B31" i="3"/>
  <c r="B28" i="3"/>
  <c r="B27" i="3"/>
  <c r="B24" i="3"/>
  <c r="B23" i="3"/>
  <c r="G22" i="3"/>
  <c r="F22" i="3"/>
  <c r="E22" i="3"/>
  <c r="C22" i="3"/>
  <c r="A14" i="3"/>
  <c r="A12" i="3"/>
  <c r="E11" i="3"/>
  <c r="A11" i="3"/>
  <c r="C5" i="3"/>
  <c r="B5" i="3"/>
  <c r="C3" i="3"/>
  <c r="B3" i="3"/>
  <c r="B79" i="2"/>
  <c r="B78" i="2"/>
  <c r="B75" i="2"/>
  <c r="B72" i="2"/>
  <c r="K27" i="6" s="1"/>
  <c r="C58" i="2"/>
  <c r="B55" i="2"/>
  <c r="B54" i="2"/>
  <c r="B51" i="2"/>
  <c r="B50" i="2"/>
  <c r="B47" i="2"/>
  <c r="B46" i="2"/>
  <c r="H45" i="2"/>
  <c r="B41" i="2"/>
  <c r="B40" i="2"/>
  <c r="B37" i="2"/>
  <c r="B36" i="2"/>
  <c r="B33" i="2"/>
  <c r="B32" i="2"/>
  <c r="D31" i="2"/>
  <c r="B25" i="2"/>
  <c r="B24" i="2"/>
  <c r="B41" i="3" s="1"/>
  <c r="B43" i="3" s="1"/>
  <c r="B45" i="3" s="1"/>
  <c r="B22" i="2"/>
  <c r="E21" i="2" s="1"/>
  <c r="A22" i="2"/>
  <c r="A20" i="2"/>
  <c r="B15" i="2"/>
  <c r="C4" i="4" s="1"/>
  <c r="C6" i="4" s="1"/>
  <c r="A15" i="2"/>
  <c r="A13" i="2"/>
  <c r="B85" i="1"/>
  <c r="B84" i="1"/>
  <c r="B81" i="1"/>
  <c r="B80" i="1"/>
  <c r="B77" i="1"/>
  <c r="B76" i="1"/>
  <c r="D75" i="1"/>
  <c r="B71" i="1"/>
  <c r="E70" i="1"/>
  <c r="E40" i="2" s="1"/>
  <c r="E31" i="3" s="1"/>
  <c r="N42" i="3" s="1"/>
  <c r="B70" i="1"/>
  <c r="B67" i="1"/>
  <c r="B66" i="1"/>
  <c r="B63" i="1"/>
  <c r="B62" i="1"/>
  <c r="H61" i="1"/>
  <c r="F61" i="1"/>
  <c r="D61" i="1"/>
  <c r="L47" i="1"/>
  <c r="K47" i="1"/>
  <c r="C47" i="1"/>
  <c r="L46" i="1"/>
  <c r="K46" i="1"/>
  <c r="K45" i="1"/>
  <c r="L45" i="1" s="1"/>
  <c r="J45" i="1"/>
  <c r="G71" i="1" s="1"/>
  <c r="G41" i="2" s="1"/>
  <c r="G32" i="3" s="1"/>
  <c r="M44" i="3" s="1"/>
  <c r="L44" i="1"/>
  <c r="F70" i="1" s="1"/>
  <c r="F40" i="2" s="1"/>
  <c r="F31" i="3" s="1"/>
  <c r="N43" i="3" s="1"/>
  <c r="K44" i="1"/>
  <c r="J44" i="1"/>
  <c r="F71" i="1" s="1"/>
  <c r="F41" i="2" s="1"/>
  <c r="F32" i="3" s="1"/>
  <c r="M43" i="3" s="1"/>
  <c r="K43" i="1"/>
  <c r="L43" i="1" s="1"/>
  <c r="J43" i="1"/>
  <c r="E71" i="1" s="1"/>
  <c r="E41" i="2" s="1"/>
  <c r="E32" i="3" s="1"/>
  <c r="M42" i="3" s="1"/>
  <c r="L42" i="1"/>
  <c r="D70" i="1" s="1"/>
  <c r="D40" i="2" s="1"/>
  <c r="D31" i="3" s="1"/>
  <c r="N41" i="3" s="1"/>
  <c r="K42" i="1"/>
  <c r="C42" i="1"/>
  <c r="K41" i="1"/>
  <c r="L41" i="1" s="1"/>
  <c r="I66" i="1" s="1"/>
  <c r="I36" i="2" s="1"/>
  <c r="I27" i="3" s="1"/>
  <c r="I46" i="3" s="1"/>
  <c r="C41" i="1"/>
  <c r="K40" i="1"/>
  <c r="L40" i="1" s="1"/>
  <c r="L39" i="1"/>
  <c r="K39" i="1"/>
  <c r="I39" i="1"/>
  <c r="L38" i="1"/>
  <c r="K38" i="1"/>
  <c r="K37" i="1"/>
  <c r="L37" i="1" s="1"/>
  <c r="L36" i="1"/>
  <c r="D66" i="1" s="1"/>
  <c r="D36" i="2" s="1"/>
  <c r="D27" i="3" s="1"/>
  <c r="I41" i="3" s="1"/>
  <c r="K36" i="1"/>
  <c r="J36" i="1"/>
  <c r="D67" i="1" s="1"/>
  <c r="D37" i="2" s="1"/>
  <c r="D28" i="3" s="1"/>
  <c r="H41" i="3" s="1"/>
  <c r="K35" i="1"/>
  <c r="L35" i="1" s="1"/>
  <c r="C66" i="1" s="1"/>
  <c r="C36" i="2" s="1"/>
  <c r="C27" i="3" s="1"/>
  <c r="I40" i="3" s="1"/>
  <c r="C35" i="1"/>
  <c r="L34" i="1"/>
  <c r="H62" i="1" s="1"/>
  <c r="H32" i="2" s="1"/>
  <c r="H23" i="3" s="1"/>
  <c r="D45" i="3" s="1"/>
  <c r="E88" i="3" s="1"/>
  <c r="K34" i="1"/>
  <c r="C34" i="1"/>
  <c r="K33" i="1"/>
  <c r="L33" i="1" s="1"/>
  <c r="C33" i="1"/>
  <c r="K32" i="1"/>
  <c r="L32" i="1" s="1"/>
  <c r="J32" i="1"/>
  <c r="F63" i="1" s="1"/>
  <c r="F33" i="2" s="1"/>
  <c r="F24" i="3" s="1"/>
  <c r="C43" i="3" s="1"/>
  <c r="I32" i="1"/>
  <c r="C32" i="1"/>
  <c r="L31" i="1"/>
  <c r="K31" i="1"/>
  <c r="I31" i="1"/>
  <c r="C31" i="1"/>
  <c r="L30" i="1"/>
  <c r="K30" i="1"/>
  <c r="C30" i="1"/>
  <c r="L29" i="1"/>
  <c r="K29" i="1"/>
  <c r="C29" i="1"/>
  <c r="E27" i="1"/>
  <c r="E26" i="1"/>
  <c r="L25" i="1"/>
  <c r="K25" i="1"/>
  <c r="C25" i="1"/>
  <c r="K24" i="1"/>
  <c r="L24" i="1" s="1"/>
  <c r="L23" i="1"/>
  <c r="K23" i="1"/>
  <c r="L22" i="1"/>
  <c r="F84" i="1" s="1"/>
  <c r="F54" i="2" s="1"/>
  <c r="F31" i="4" s="1"/>
  <c r="N43" i="4" s="1"/>
  <c r="K22" i="1"/>
  <c r="L21" i="1"/>
  <c r="E84" i="1" s="1"/>
  <c r="E54" i="2" s="1"/>
  <c r="E31" i="4" s="1"/>
  <c r="N42" i="4" s="1"/>
  <c r="K21" i="1"/>
  <c r="K20" i="1"/>
  <c r="L20" i="1" s="1"/>
  <c r="D84" i="1" s="1"/>
  <c r="D54" i="2" s="1"/>
  <c r="D31" i="4" s="1"/>
  <c r="N41" i="4" s="1"/>
  <c r="K19" i="1"/>
  <c r="L19" i="1" s="1"/>
  <c r="C19" i="1"/>
  <c r="K18" i="1"/>
  <c r="L18" i="1" s="1"/>
  <c r="K17" i="1"/>
  <c r="L17" i="1" s="1"/>
  <c r="K16" i="1"/>
  <c r="L16" i="1" s="1"/>
  <c r="L15" i="1"/>
  <c r="E80" i="1" s="1"/>
  <c r="E50" i="2" s="1"/>
  <c r="E27" i="4" s="1"/>
  <c r="I42" i="4" s="1"/>
  <c r="K15" i="1"/>
  <c r="L14" i="1"/>
  <c r="D80" i="1" s="1"/>
  <c r="D50" i="2" s="1"/>
  <c r="D27" i="4" s="1"/>
  <c r="I41" i="4" s="1"/>
  <c r="K14" i="1"/>
  <c r="I14" i="1"/>
  <c r="J14" i="1" s="1"/>
  <c r="D81" i="1" s="1"/>
  <c r="D51" i="2" s="1"/>
  <c r="D28" i="4" s="1"/>
  <c r="H41" i="4" s="1"/>
  <c r="J41" i="4" s="1"/>
  <c r="L13" i="1"/>
  <c r="C80" i="1" s="1"/>
  <c r="C50" i="2" s="1"/>
  <c r="C27" i="4" s="1"/>
  <c r="I40" i="4" s="1"/>
  <c r="K13" i="1"/>
  <c r="C13" i="1"/>
  <c r="K12" i="1"/>
  <c r="L12" i="1" s="1"/>
  <c r="C12" i="1"/>
  <c r="K11" i="1"/>
  <c r="L11" i="1" s="1"/>
  <c r="C11" i="1"/>
  <c r="K10" i="1"/>
  <c r="L10" i="1" s="1"/>
  <c r="C10" i="1"/>
  <c r="K9" i="1"/>
  <c r="L9" i="1" s="1"/>
  <c r="C9" i="1"/>
  <c r="K8" i="1"/>
  <c r="L8" i="1" s="1"/>
  <c r="C8" i="1"/>
  <c r="K7" i="1"/>
  <c r="L7" i="1" s="1"/>
  <c r="C7" i="1"/>
  <c r="E5" i="1"/>
  <c r="E4" i="1"/>
  <c r="H3" i="1"/>
  <c r="J29" i="1" s="1"/>
  <c r="C63" i="1" s="1"/>
  <c r="C33" i="2" s="1"/>
  <c r="C24" i="3" s="1"/>
  <c r="C40" i="3" s="1"/>
  <c r="H2" i="1"/>
  <c r="I38" i="1" s="1"/>
  <c r="E108" i="4" l="1"/>
  <c r="R47" i="4"/>
  <c r="C22" i="5" s="1"/>
  <c r="G76" i="1"/>
  <c r="G46" i="2" s="1"/>
  <c r="G23" i="4" s="1"/>
  <c r="D44" i="4" s="1"/>
  <c r="E86" i="4" s="1"/>
  <c r="F80" i="1"/>
  <c r="F50" i="2" s="1"/>
  <c r="F27" i="4" s="1"/>
  <c r="I43" i="4" s="1"/>
  <c r="E76" i="1"/>
  <c r="E46" i="2" s="1"/>
  <c r="E23" i="4" s="1"/>
  <c r="D42" i="4" s="1"/>
  <c r="E79" i="4" s="1"/>
  <c r="G80" i="1"/>
  <c r="G50" i="2" s="1"/>
  <c r="G27" i="4" s="1"/>
  <c r="I44" i="4" s="1"/>
  <c r="H53" i="4"/>
  <c r="E97" i="4"/>
  <c r="I53" i="4"/>
  <c r="R41" i="4"/>
  <c r="C16" i="5" s="1"/>
  <c r="H76" i="1"/>
  <c r="H46" i="2" s="1"/>
  <c r="H23" i="4" s="1"/>
  <c r="D45" i="4" s="1"/>
  <c r="E87" i="4" s="1"/>
  <c r="E66" i="1"/>
  <c r="E36" i="2" s="1"/>
  <c r="E27" i="3" s="1"/>
  <c r="I42" i="3" s="1"/>
  <c r="R48" i="3"/>
  <c r="C11" i="5" s="1"/>
  <c r="E109" i="3"/>
  <c r="F97" i="4"/>
  <c r="S41" i="4"/>
  <c r="D16" i="5" s="1"/>
  <c r="C76" i="1"/>
  <c r="C46" i="2" s="1"/>
  <c r="C23" i="4" s="1"/>
  <c r="D40" i="4" s="1"/>
  <c r="E72" i="4" s="1"/>
  <c r="E55" i="1"/>
  <c r="E54" i="1"/>
  <c r="M15" i="1" s="1"/>
  <c r="D55" i="1"/>
  <c r="L49" i="1" s="1"/>
  <c r="D54" i="1"/>
  <c r="M17" i="1" s="1"/>
  <c r="D76" i="1"/>
  <c r="D46" i="2" s="1"/>
  <c r="D23" i="4" s="1"/>
  <c r="D41" i="4" s="1"/>
  <c r="E73" i="4" s="1"/>
  <c r="H80" i="1"/>
  <c r="H50" i="2" s="1"/>
  <c r="H27" i="4" s="1"/>
  <c r="I45" i="4" s="1"/>
  <c r="M18" i="1"/>
  <c r="F76" i="1"/>
  <c r="F46" i="2" s="1"/>
  <c r="F23" i="4" s="1"/>
  <c r="D43" i="4" s="1"/>
  <c r="E80" i="4" s="1"/>
  <c r="C84" i="1"/>
  <c r="C54" i="2" s="1"/>
  <c r="C31" i="4" s="1"/>
  <c r="N40" i="4" s="1"/>
  <c r="I80" i="1"/>
  <c r="I50" i="2" s="1"/>
  <c r="I27" i="4" s="1"/>
  <c r="I46" i="4" s="1"/>
  <c r="M19" i="1"/>
  <c r="H84" i="1"/>
  <c r="H54" i="2" s="1"/>
  <c r="H31" i="4" s="1"/>
  <c r="N45" i="4" s="1"/>
  <c r="G70" i="1"/>
  <c r="G40" i="2" s="1"/>
  <c r="G31" i="3" s="1"/>
  <c r="N44" i="3" s="1"/>
  <c r="M55" i="4"/>
  <c r="E110" i="4"/>
  <c r="R49" i="4"/>
  <c r="C24" i="5" s="1"/>
  <c r="H70" i="1"/>
  <c r="H40" i="2" s="1"/>
  <c r="H31" i="3" s="1"/>
  <c r="N45" i="3" s="1"/>
  <c r="I24" i="1"/>
  <c r="J24" i="1" s="1"/>
  <c r="H85" i="1" s="1"/>
  <c r="H55" i="2" s="1"/>
  <c r="H32" i="4" s="1"/>
  <c r="M45" i="4" s="1"/>
  <c r="O45" i="4" s="1"/>
  <c r="I21" i="1"/>
  <c r="J21" i="1" s="1"/>
  <c r="E85" i="1" s="1"/>
  <c r="E55" i="2" s="1"/>
  <c r="E32" i="4" s="1"/>
  <c r="M42" i="4" s="1"/>
  <c r="O42" i="4" s="1"/>
  <c r="I23" i="1"/>
  <c r="J23" i="1" s="1"/>
  <c r="G85" i="1" s="1"/>
  <c r="G55" i="2" s="1"/>
  <c r="G32" i="4" s="1"/>
  <c r="M44" i="4" s="1"/>
  <c r="O44" i="4" s="1"/>
  <c r="I9" i="1"/>
  <c r="J9" i="1" s="1"/>
  <c r="E77" i="1" s="1"/>
  <c r="E47" i="2" s="1"/>
  <c r="E24" i="4" s="1"/>
  <c r="C42" i="4" s="1"/>
  <c r="E42" i="4" s="1"/>
  <c r="F79" i="4" s="1"/>
  <c r="H66" i="1"/>
  <c r="H36" i="2" s="1"/>
  <c r="H27" i="3" s="1"/>
  <c r="I45" i="3" s="1"/>
  <c r="I8" i="1"/>
  <c r="J8" i="1" s="1"/>
  <c r="D77" i="1" s="1"/>
  <c r="D47" i="2" s="1"/>
  <c r="D24" i="4" s="1"/>
  <c r="C41" i="4" s="1"/>
  <c r="E41" i="4" s="1"/>
  <c r="F73" i="4" s="1"/>
  <c r="E109" i="4"/>
  <c r="N54" i="4"/>
  <c r="R48" i="4"/>
  <c r="C23" i="5" s="1"/>
  <c r="M54" i="4"/>
  <c r="M55" i="1"/>
  <c r="N54" i="1"/>
  <c r="M54" i="1"/>
  <c r="M37" i="1" s="1"/>
  <c r="N55" i="1"/>
  <c r="E108" i="3"/>
  <c r="R47" i="3"/>
  <c r="C10" i="5" s="1"/>
  <c r="I46" i="1"/>
  <c r="E96" i="4"/>
  <c r="H52" i="4"/>
  <c r="I52" i="4"/>
  <c r="R40" i="4"/>
  <c r="E62" i="1"/>
  <c r="E32" i="2" s="1"/>
  <c r="E23" i="3" s="1"/>
  <c r="D42" i="3" s="1"/>
  <c r="E80" i="3" s="1"/>
  <c r="R42" i="4"/>
  <c r="C17" i="5" s="1"/>
  <c r="E98" i="4"/>
  <c r="I16" i="1"/>
  <c r="J16" i="1" s="1"/>
  <c r="F81" i="1" s="1"/>
  <c r="F51" i="2" s="1"/>
  <c r="F28" i="4" s="1"/>
  <c r="H43" i="4" s="1"/>
  <c r="J43" i="4" s="1"/>
  <c r="I11" i="1"/>
  <c r="J11" i="1" s="1"/>
  <c r="G77" i="1" s="1"/>
  <c r="G47" i="2" s="1"/>
  <c r="G24" i="4" s="1"/>
  <c r="C44" i="4" s="1"/>
  <c r="E44" i="4" s="1"/>
  <c r="F86" i="4" s="1"/>
  <c r="I19" i="1"/>
  <c r="J19" i="1" s="1"/>
  <c r="M21" i="1"/>
  <c r="J37" i="1"/>
  <c r="E67" i="1" s="1"/>
  <c r="E37" i="2" s="1"/>
  <c r="E28" i="3" s="1"/>
  <c r="H42" i="3" s="1"/>
  <c r="F66" i="1"/>
  <c r="F36" i="2" s="1"/>
  <c r="F27" i="3" s="1"/>
  <c r="I43" i="3" s="1"/>
  <c r="M38" i="1"/>
  <c r="I70" i="1"/>
  <c r="I40" i="2" s="1"/>
  <c r="I31" i="3" s="1"/>
  <c r="N46" i="3" s="1"/>
  <c r="I17" i="1"/>
  <c r="J17" i="1" s="1"/>
  <c r="G81" i="1" s="1"/>
  <c r="G51" i="2" s="1"/>
  <c r="G28" i="4" s="1"/>
  <c r="H44" i="4" s="1"/>
  <c r="J44" i="4" s="1"/>
  <c r="M22" i="1"/>
  <c r="I35" i="1"/>
  <c r="I40" i="1"/>
  <c r="I12" i="1"/>
  <c r="J12" i="1" s="1"/>
  <c r="H77" i="1" s="1"/>
  <c r="H47" i="2" s="1"/>
  <c r="H24" i="4" s="1"/>
  <c r="C45" i="4" s="1"/>
  <c r="E45" i="4" s="1"/>
  <c r="F87" i="4" s="1"/>
  <c r="I20" i="1"/>
  <c r="J20" i="1" s="1"/>
  <c r="D85" i="1" s="1"/>
  <c r="D55" i="2" s="1"/>
  <c r="D32" i="4" s="1"/>
  <c r="M41" i="4" s="1"/>
  <c r="O41" i="4" s="1"/>
  <c r="I45" i="1"/>
  <c r="J42" i="1"/>
  <c r="D71" i="1" s="1"/>
  <c r="D41" i="2" s="1"/>
  <c r="D32" i="3" s="1"/>
  <c r="M41" i="3" s="1"/>
  <c r="I37" i="1"/>
  <c r="J34" i="1"/>
  <c r="H63" i="1" s="1"/>
  <c r="H33" i="2" s="1"/>
  <c r="H24" i="3" s="1"/>
  <c r="C45" i="3" s="1"/>
  <c r="I29" i="1"/>
  <c r="J47" i="1"/>
  <c r="I71" i="1" s="1"/>
  <c r="I41" i="2" s="1"/>
  <c r="I32" i="3" s="1"/>
  <c r="M46" i="3" s="1"/>
  <c r="I42" i="1"/>
  <c r="J39" i="1"/>
  <c r="G67" i="1" s="1"/>
  <c r="G37" i="2" s="1"/>
  <c r="G28" i="3" s="1"/>
  <c r="H44" i="3" s="1"/>
  <c r="I34" i="1"/>
  <c r="J31" i="1"/>
  <c r="E63" i="1" s="1"/>
  <c r="E33" i="2" s="1"/>
  <c r="E24" i="3" s="1"/>
  <c r="C42" i="3" s="1"/>
  <c r="E42" i="3" s="1"/>
  <c r="F80" i="3" s="1"/>
  <c r="I44" i="1"/>
  <c r="J41" i="1"/>
  <c r="I36" i="1"/>
  <c r="J33" i="1"/>
  <c r="G63" i="1" s="1"/>
  <c r="G33" i="2" s="1"/>
  <c r="G24" i="3" s="1"/>
  <c r="C44" i="3" s="1"/>
  <c r="J46" i="1"/>
  <c r="H71" i="1" s="1"/>
  <c r="H41" i="2" s="1"/>
  <c r="H32" i="3" s="1"/>
  <c r="M45" i="3" s="1"/>
  <c r="I41" i="1"/>
  <c r="J38" i="1"/>
  <c r="F67" i="1" s="1"/>
  <c r="F37" i="2" s="1"/>
  <c r="F28" i="3" s="1"/>
  <c r="H43" i="3" s="1"/>
  <c r="I33" i="1"/>
  <c r="J30" i="1"/>
  <c r="D63" i="1" s="1"/>
  <c r="D33" i="2" s="1"/>
  <c r="D24" i="3" s="1"/>
  <c r="C41" i="3" s="1"/>
  <c r="I30" i="1"/>
  <c r="M32" i="1"/>
  <c r="F62" i="1"/>
  <c r="F32" i="2" s="1"/>
  <c r="F23" i="3" s="1"/>
  <c r="D43" i="3" s="1"/>
  <c r="E81" i="3" s="1"/>
  <c r="J35" i="1"/>
  <c r="C67" i="1" s="1"/>
  <c r="C37" i="2" s="1"/>
  <c r="C28" i="3" s="1"/>
  <c r="H40" i="3" s="1"/>
  <c r="R41" i="3"/>
  <c r="C4" i="5" s="1"/>
  <c r="E97" i="3"/>
  <c r="J40" i="1"/>
  <c r="H67" i="1" s="1"/>
  <c r="H37" i="2" s="1"/>
  <c r="H28" i="3" s="1"/>
  <c r="H45" i="3" s="1"/>
  <c r="I43" i="1"/>
  <c r="C62" i="1"/>
  <c r="C32" i="2" s="1"/>
  <c r="C23" i="3" s="1"/>
  <c r="D40" i="3" s="1"/>
  <c r="E73" i="3" s="1"/>
  <c r="R49" i="3"/>
  <c r="C12" i="5" s="1"/>
  <c r="E110" i="3"/>
  <c r="G62" i="1"/>
  <c r="G32" i="2" s="1"/>
  <c r="G23" i="3" s="1"/>
  <c r="D44" i="3" s="1"/>
  <c r="E87" i="3" s="1"/>
  <c r="I15" i="1"/>
  <c r="J15" i="1" s="1"/>
  <c r="E81" i="1" s="1"/>
  <c r="E51" i="2" s="1"/>
  <c r="E28" i="4" s="1"/>
  <c r="H42" i="4" s="1"/>
  <c r="J42" i="4" s="1"/>
  <c r="H54" i="4" s="1"/>
  <c r="E96" i="3"/>
  <c r="R40" i="3"/>
  <c r="I10" i="1"/>
  <c r="J10" i="1" s="1"/>
  <c r="F77" i="1" s="1"/>
  <c r="F47" i="2" s="1"/>
  <c r="F24" i="4" s="1"/>
  <c r="C43" i="4" s="1"/>
  <c r="E43" i="4" s="1"/>
  <c r="F80" i="4" s="1"/>
  <c r="M14" i="1"/>
  <c r="I18" i="1"/>
  <c r="J18" i="1" s="1"/>
  <c r="H81" i="1" s="1"/>
  <c r="H51" i="2" s="1"/>
  <c r="H28" i="4" s="1"/>
  <c r="H45" i="4" s="1"/>
  <c r="J45" i="4" s="1"/>
  <c r="D62" i="1"/>
  <c r="D32" i="2" s="1"/>
  <c r="D23" i="3" s="1"/>
  <c r="D41" i="3" s="1"/>
  <c r="E74" i="3" s="1"/>
  <c r="M30" i="1"/>
  <c r="C70" i="1"/>
  <c r="C40" i="2" s="1"/>
  <c r="C31" i="3" s="1"/>
  <c r="N40" i="3" s="1"/>
  <c r="M13" i="1"/>
  <c r="I7" i="1"/>
  <c r="J7" i="1" s="1"/>
  <c r="C77" i="1" s="1"/>
  <c r="C47" i="2" s="1"/>
  <c r="C24" i="4" s="1"/>
  <c r="C40" i="4" s="1"/>
  <c r="E40" i="4" s="1"/>
  <c r="F72" i="4" s="1"/>
  <c r="I25" i="1"/>
  <c r="J25" i="1" s="1"/>
  <c r="I85" i="1" s="1"/>
  <c r="I55" i="2" s="1"/>
  <c r="I32" i="4" s="1"/>
  <c r="M46" i="4" s="1"/>
  <c r="O46" i="4" s="1"/>
  <c r="I13" i="1"/>
  <c r="J13" i="1" s="1"/>
  <c r="C81" i="1" s="1"/>
  <c r="C51" i="2" s="1"/>
  <c r="C28" i="4" s="1"/>
  <c r="H40" i="4" s="1"/>
  <c r="J40" i="4" s="1"/>
  <c r="I22" i="1"/>
  <c r="J22" i="1" s="1"/>
  <c r="F85" i="1" s="1"/>
  <c r="F55" i="2" s="1"/>
  <c r="F32" i="4" s="1"/>
  <c r="M43" i="4" s="1"/>
  <c r="O43" i="4" s="1"/>
  <c r="N55" i="4" s="1"/>
  <c r="M25" i="1"/>
  <c r="I84" i="1"/>
  <c r="I54" i="2" s="1"/>
  <c r="I31" i="4" s="1"/>
  <c r="N46" i="4" s="1"/>
  <c r="G66" i="1"/>
  <c r="G36" i="2" s="1"/>
  <c r="G27" i="3" s="1"/>
  <c r="I44" i="3" s="1"/>
  <c r="I47" i="1"/>
  <c r="B158" i="3"/>
  <c r="D82" i="6" s="1"/>
  <c r="B108" i="3"/>
  <c r="B97" i="3"/>
  <c r="I157" i="3"/>
  <c r="K81" i="6" s="1"/>
  <c r="A125" i="3"/>
  <c r="T124" i="3"/>
  <c r="A134" i="3"/>
  <c r="T130" i="3"/>
  <c r="L41" i="3"/>
  <c r="E12" i="3"/>
  <c r="G41" i="3"/>
  <c r="E22" i="2"/>
  <c r="C36" i="1"/>
  <c r="Q47" i="3"/>
  <c r="B10" i="5" s="1"/>
  <c r="Q41" i="3"/>
  <c r="B4" i="5" s="1"/>
  <c r="H21" i="2"/>
  <c r="G84" i="1"/>
  <c r="G54" i="2" s="1"/>
  <c r="G31" i="4" s="1"/>
  <c r="N44" i="4" s="1"/>
  <c r="A184" i="3"/>
  <c r="B41" i="4"/>
  <c r="B43" i="4" s="1"/>
  <c r="B45" i="4" s="1"/>
  <c r="B12" i="4"/>
  <c r="H22" i="3"/>
  <c r="F75" i="1"/>
  <c r="H75" i="1"/>
  <c r="B12" i="3"/>
  <c r="B14" i="3" s="1"/>
  <c r="F31" i="2"/>
  <c r="D45" i="2"/>
  <c r="C4" i="3"/>
  <c r="C6" i="3" s="1"/>
  <c r="J41" i="3" s="1"/>
  <c r="D22" i="3"/>
  <c r="H31" i="2"/>
  <c r="F45" i="2"/>
  <c r="N37" i="1" l="1"/>
  <c r="O37" i="1" s="1"/>
  <c r="N17" i="1"/>
  <c r="O17" i="1" s="1"/>
  <c r="N15" i="1"/>
  <c r="O15" i="1" s="1"/>
  <c r="F97" i="3"/>
  <c r="S41" i="3"/>
  <c r="D4" i="5" s="1"/>
  <c r="E43" i="3"/>
  <c r="F81" i="3" s="1"/>
  <c r="N18" i="1"/>
  <c r="O18" i="1" s="1"/>
  <c r="J40" i="3"/>
  <c r="J43" i="3"/>
  <c r="N22" i="1"/>
  <c r="O22" i="1" s="1"/>
  <c r="E99" i="3"/>
  <c r="R43" i="3"/>
  <c r="C6" i="5" s="1"/>
  <c r="F99" i="4"/>
  <c r="S43" i="4"/>
  <c r="D18" i="5" s="1"/>
  <c r="C15" i="5"/>
  <c r="F111" i="4"/>
  <c r="S50" i="4"/>
  <c r="D25" i="5" s="1"/>
  <c r="N19" i="1"/>
  <c r="O19" i="1" s="1"/>
  <c r="E101" i="4"/>
  <c r="R45" i="4"/>
  <c r="C20" i="5" s="1"/>
  <c r="M9" i="1"/>
  <c r="M11" i="1"/>
  <c r="O41" i="3"/>
  <c r="O54" i="4"/>
  <c r="B159" i="3"/>
  <c r="D83" i="6" s="1"/>
  <c r="B109" i="3"/>
  <c r="B98" i="3"/>
  <c r="T131" i="3"/>
  <c r="I158" i="3"/>
  <c r="K82" i="6" s="1"/>
  <c r="A135" i="3"/>
  <c r="A126" i="3"/>
  <c r="Q42" i="3"/>
  <c r="B5" i="5" s="1"/>
  <c r="E13" i="3"/>
  <c r="C37" i="1"/>
  <c r="Q48" i="3"/>
  <c r="B11" i="5" s="1"/>
  <c r="E23" i="2"/>
  <c r="T125" i="3"/>
  <c r="H22" i="2"/>
  <c r="L42" i="3"/>
  <c r="G42" i="3"/>
  <c r="C43" i="1"/>
  <c r="F101" i="4"/>
  <c r="S45" i="4"/>
  <c r="D20" i="5" s="1"/>
  <c r="F100" i="4"/>
  <c r="S44" i="4"/>
  <c r="D19" i="5" s="1"/>
  <c r="J42" i="3"/>
  <c r="S48" i="4"/>
  <c r="D23" i="5" s="1"/>
  <c r="F109" i="4"/>
  <c r="M45" i="1"/>
  <c r="M8" i="1"/>
  <c r="H77" i="4"/>
  <c r="G78" i="4"/>
  <c r="C79" i="4" s="1"/>
  <c r="H84" i="4"/>
  <c r="G85" i="4"/>
  <c r="H22" i="4"/>
  <c r="F22" i="4"/>
  <c r="D22" i="4"/>
  <c r="B14" i="4"/>
  <c r="G84" i="4"/>
  <c r="H85" i="4"/>
  <c r="N14" i="1"/>
  <c r="O14" i="1" s="1"/>
  <c r="O44" i="3"/>
  <c r="O45" i="3"/>
  <c r="F108" i="4"/>
  <c r="S47" i="4"/>
  <c r="D22" i="5" s="1"/>
  <c r="M33" i="1"/>
  <c r="I54" i="4"/>
  <c r="M29" i="1"/>
  <c r="F112" i="4"/>
  <c r="S51" i="4"/>
  <c r="D26" i="5" s="1"/>
  <c r="E107" i="4"/>
  <c r="M52" i="4"/>
  <c r="O52" i="4" s="1"/>
  <c r="R46" i="4"/>
  <c r="C21" i="5" s="1"/>
  <c r="H70" i="4"/>
  <c r="G71" i="4"/>
  <c r="G73" i="4" s="1"/>
  <c r="H73" i="4" s="1"/>
  <c r="J73" i="4" s="1"/>
  <c r="H54" i="3"/>
  <c r="E98" i="3"/>
  <c r="R42" i="3"/>
  <c r="C5" i="5" s="1"/>
  <c r="E40" i="3"/>
  <c r="F73" i="3" s="1"/>
  <c r="O42" i="3"/>
  <c r="M52" i="3" s="1"/>
  <c r="N25" i="1"/>
  <c r="O25" i="1" s="1"/>
  <c r="E44" i="3"/>
  <c r="F87" i="3" s="1"/>
  <c r="O43" i="3"/>
  <c r="E111" i="3"/>
  <c r="R50" i="3"/>
  <c r="C13" i="5" s="1"/>
  <c r="M10" i="1"/>
  <c r="M16" i="1"/>
  <c r="G72" i="3"/>
  <c r="E111" i="4"/>
  <c r="R50" i="4"/>
  <c r="C25" i="5" s="1"/>
  <c r="G86" i="3"/>
  <c r="N32" i="1"/>
  <c r="O32" i="1" s="1"/>
  <c r="M44" i="1"/>
  <c r="M36" i="1"/>
  <c r="M47" i="1"/>
  <c r="M39" i="1"/>
  <c r="M34" i="1"/>
  <c r="S49" i="4"/>
  <c r="D24" i="5" s="1"/>
  <c r="F110" i="4"/>
  <c r="C85" i="1"/>
  <c r="C55" i="2" s="1"/>
  <c r="C32" i="4" s="1"/>
  <c r="M40" i="4" s="1"/>
  <c r="O40" i="4" s="1"/>
  <c r="I81" i="1"/>
  <c r="I51" i="2" s="1"/>
  <c r="I28" i="4" s="1"/>
  <c r="H46" i="4" s="1"/>
  <c r="J46" i="4" s="1"/>
  <c r="E101" i="3"/>
  <c r="R45" i="3"/>
  <c r="C8" i="5" s="1"/>
  <c r="M46" i="1"/>
  <c r="E112" i="4"/>
  <c r="R51" i="4"/>
  <c r="C26" i="5" s="1"/>
  <c r="M7" i="1"/>
  <c r="N53" i="4"/>
  <c r="A176" i="3"/>
  <c r="N30" i="1"/>
  <c r="O30" i="1" s="1"/>
  <c r="N38" i="1"/>
  <c r="O38" i="1" s="1"/>
  <c r="G87" i="4"/>
  <c r="H87" i="4" s="1"/>
  <c r="J87" i="4" s="1"/>
  <c r="G70" i="4"/>
  <c r="H71" i="4"/>
  <c r="E107" i="3"/>
  <c r="N52" i="3"/>
  <c r="R46" i="3"/>
  <c r="C9" i="5" s="1"/>
  <c r="O46" i="3"/>
  <c r="E112" i="3"/>
  <c r="R51" i="3"/>
  <c r="C14" i="5" s="1"/>
  <c r="F96" i="4"/>
  <c r="S40" i="4"/>
  <c r="M35" i="1"/>
  <c r="C71" i="1"/>
  <c r="C41" i="2" s="1"/>
  <c r="C32" i="3" s="1"/>
  <c r="M40" i="3" s="1"/>
  <c r="O40" i="3" s="1"/>
  <c r="I67" i="1"/>
  <c r="I37" i="2" s="1"/>
  <c r="I28" i="3" s="1"/>
  <c r="H46" i="3" s="1"/>
  <c r="J46" i="3" s="1"/>
  <c r="E45" i="3"/>
  <c r="F88" i="3" s="1"/>
  <c r="M40" i="1"/>
  <c r="M24" i="1"/>
  <c r="M12" i="1"/>
  <c r="R43" i="4"/>
  <c r="C18" i="5" s="1"/>
  <c r="H55" i="4"/>
  <c r="E99" i="4"/>
  <c r="I55" i="4"/>
  <c r="M53" i="4"/>
  <c r="O53" i="4" s="1"/>
  <c r="H79" i="3"/>
  <c r="G78" i="3"/>
  <c r="H78" i="4"/>
  <c r="G77" i="4"/>
  <c r="F98" i="4"/>
  <c r="S42" i="4"/>
  <c r="D17" i="5" s="1"/>
  <c r="J44" i="3"/>
  <c r="I54" i="3" s="1"/>
  <c r="N13" i="1"/>
  <c r="O13" i="1" s="1"/>
  <c r="J45" i="3"/>
  <c r="N21" i="1"/>
  <c r="O21" i="1" s="1"/>
  <c r="I157" i="4"/>
  <c r="K104" i="6" s="1"/>
  <c r="T130" i="4"/>
  <c r="A134" i="4"/>
  <c r="B158" i="4"/>
  <c r="D105" i="6" s="1"/>
  <c r="T124" i="4"/>
  <c r="T181" i="4"/>
  <c r="Q47" i="4"/>
  <c r="B22" i="5" s="1"/>
  <c r="T181" i="3"/>
  <c r="A185" i="4"/>
  <c r="E194" i="4" s="1"/>
  <c r="G38" i="6" s="1"/>
  <c r="B108" i="4"/>
  <c r="T175" i="4"/>
  <c r="A125" i="4"/>
  <c r="B97" i="4"/>
  <c r="Q41" i="4"/>
  <c r="B16" i="5" s="1"/>
  <c r="E12" i="4"/>
  <c r="L41" i="4"/>
  <c r="G41" i="4"/>
  <c r="T175" i="3"/>
  <c r="C20" i="1"/>
  <c r="C14" i="1"/>
  <c r="M41" i="1"/>
  <c r="E100" i="3"/>
  <c r="R44" i="3"/>
  <c r="C7" i="5" s="1"/>
  <c r="M31" i="1"/>
  <c r="C3" i="5"/>
  <c r="E41" i="3"/>
  <c r="F74" i="3" s="1"/>
  <c r="M42" i="1"/>
  <c r="G79" i="3"/>
  <c r="C80" i="3" s="1"/>
  <c r="H78" i="3"/>
  <c r="J49" i="1"/>
  <c r="M20" i="1"/>
  <c r="M23" i="1"/>
  <c r="E100" i="4"/>
  <c r="R44" i="4"/>
  <c r="C19" i="5" s="1"/>
  <c r="M43" i="1"/>
  <c r="N40" i="1" l="1"/>
  <c r="O40" i="1" s="1"/>
  <c r="N39" i="1"/>
  <c r="O39" i="1" s="1"/>
  <c r="N47" i="1"/>
  <c r="O47" i="1" s="1"/>
  <c r="G105" i="4"/>
  <c r="S42" i="3"/>
  <c r="D5" i="5" s="1"/>
  <c r="F98" i="3"/>
  <c r="I158" i="4"/>
  <c r="K105" i="6" s="1"/>
  <c r="B109" i="4"/>
  <c r="B98" i="4"/>
  <c r="Q42" i="4"/>
  <c r="B17" i="5" s="1"/>
  <c r="G42" i="4"/>
  <c r="A135" i="4"/>
  <c r="T125" i="4"/>
  <c r="T176" i="4"/>
  <c r="B159" i="4"/>
  <c r="D106" i="6" s="1"/>
  <c r="T131" i="4"/>
  <c r="L42" i="4"/>
  <c r="T182" i="4"/>
  <c r="Q48" i="4"/>
  <c r="B23" i="5" s="1"/>
  <c r="T182" i="3"/>
  <c r="A126" i="4"/>
  <c r="T176" i="3"/>
  <c r="E13" i="4"/>
  <c r="A186" i="4"/>
  <c r="F194" i="4" s="1"/>
  <c r="H38" i="6" s="1"/>
  <c r="C15" i="1"/>
  <c r="C21" i="1"/>
  <c r="J54" i="4"/>
  <c r="J52" i="4"/>
  <c r="J53" i="4"/>
  <c r="F107" i="4"/>
  <c r="H104" i="4" s="1"/>
  <c r="S46" i="4"/>
  <c r="D21" i="5" s="1"/>
  <c r="N36" i="1"/>
  <c r="O36" i="1" s="1"/>
  <c r="F109" i="3"/>
  <c r="S48" i="3"/>
  <c r="D11" i="5" s="1"/>
  <c r="M54" i="3"/>
  <c r="N54" i="3"/>
  <c r="F108" i="3"/>
  <c r="H104" i="3" s="1"/>
  <c r="S47" i="3"/>
  <c r="D10" i="5" s="1"/>
  <c r="N53" i="3"/>
  <c r="M53" i="3"/>
  <c r="A177" i="3"/>
  <c r="S46" i="3"/>
  <c r="D9" i="5" s="1"/>
  <c r="F107" i="3"/>
  <c r="G105" i="3" s="1"/>
  <c r="N7" i="1"/>
  <c r="O7" i="1" s="1"/>
  <c r="N44" i="1"/>
  <c r="O44" i="1" s="1"/>
  <c r="N10" i="1"/>
  <c r="O10" i="1" s="1"/>
  <c r="H72" i="3"/>
  <c r="G74" i="3" s="1"/>
  <c r="H74" i="3" s="1"/>
  <c r="J74" i="3" s="1"/>
  <c r="G71" i="3"/>
  <c r="F112" i="3"/>
  <c r="S51" i="3"/>
  <c r="D14" i="5" s="1"/>
  <c r="N8" i="1"/>
  <c r="O8" i="1" s="1"/>
  <c r="B160" i="3"/>
  <c r="D84" i="6" s="1"/>
  <c r="I159" i="3"/>
  <c r="K83" i="6" s="1"/>
  <c r="A127" i="3"/>
  <c r="T132" i="3"/>
  <c r="T126" i="3"/>
  <c r="B110" i="3"/>
  <c r="B99" i="3"/>
  <c r="A136" i="3"/>
  <c r="H23" i="2"/>
  <c r="G43" i="3"/>
  <c r="Q43" i="3"/>
  <c r="B6" i="5" s="1"/>
  <c r="C44" i="1"/>
  <c r="E14" i="3"/>
  <c r="Q49" i="3"/>
  <c r="B12" i="5" s="1"/>
  <c r="L43" i="3"/>
  <c r="E24" i="2"/>
  <c r="C38" i="1"/>
  <c r="N11" i="1"/>
  <c r="O11" i="1" s="1"/>
  <c r="F99" i="3"/>
  <c r="S43" i="3"/>
  <c r="D6" i="5" s="1"/>
  <c r="N43" i="1"/>
  <c r="O43" i="1" s="1"/>
  <c r="N16" i="1"/>
  <c r="O16" i="1" s="1"/>
  <c r="N31" i="1"/>
  <c r="O31" i="1" s="1"/>
  <c r="F100" i="3"/>
  <c r="S44" i="3"/>
  <c r="D7" i="5" s="1"/>
  <c r="N12" i="1"/>
  <c r="O12" i="1" s="1"/>
  <c r="N35" i="1"/>
  <c r="O35" i="1" s="1"/>
  <c r="G94" i="4"/>
  <c r="G101" i="4" s="1"/>
  <c r="H101" i="4" s="1"/>
  <c r="J101" i="4" s="1"/>
  <c r="C72" i="4"/>
  <c r="G81" i="3"/>
  <c r="H81" i="3" s="1"/>
  <c r="J81" i="3" s="1"/>
  <c r="C86" i="4"/>
  <c r="N45" i="1"/>
  <c r="O45" i="1" s="1"/>
  <c r="Q9" i="1"/>
  <c r="R9" i="1" s="1"/>
  <c r="N9" i="1"/>
  <c r="O9" i="1" s="1"/>
  <c r="F96" i="3"/>
  <c r="S40" i="3"/>
  <c r="I52" i="3"/>
  <c r="H52" i="3"/>
  <c r="D15" i="5"/>
  <c r="C63" i="4"/>
  <c r="H26" i="5" s="1"/>
  <c r="D60" i="4"/>
  <c r="I23" i="5" s="1"/>
  <c r="C60" i="4"/>
  <c r="L100" i="4" s="1"/>
  <c r="M100" i="4" s="1"/>
  <c r="O100" i="4" s="1"/>
  <c r="E63" i="4"/>
  <c r="J26" i="5" s="1"/>
  <c r="D63" i="4"/>
  <c r="I26" i="5" s="1"/>
  <c r="H71" i="3"/>
  <c r="C59" i="4"/>
  <c r="G88" i="3"/>
  <c r="H88" i="3" s="1"/>
  <c r="J88" i="3" s="1"/>
  <c r="N33" i="1"/>
  <c r="O33" i="1" s="1"/>
  <c r="Q23" i="1"/>
  <c r="R23" i="1" s="1"/>
  <c r="N23" i="1"/>
  <c r="O23" i="1" s="1"/>
  <c r="Q20" i="1"/>
  <c r="R20" i="1" s="1"/>
  <c r="N20" i="1"/>
  <c r="O20" i="1" s="1"/>
  <c r="N42" i="1"/>
  <c r="O42" i="1" s="1"/>
  <c r="N41" i="1"/>
  <c r="O41" i="1" s="1"/>
  <c r="D97" i="4"/>
  <c r="G80" i="4"/>
  <c r="H80" i="4" s="1"/>
  <c r="J80" i="4" s="1"/>
  <c r="G93" i="4"/>
  <c r="H94" i="4"/>
  <c r="G100" i="4" s="1"/>
  <c r="H100" i="4" s="1"/>
  <c r="J100" i="4" s="1"/>
  <c r="H93" i="4"/>
  <c r="N46" i="1"/>
  <c r="O46" i="1" s="1"/>
  <c r="H85" i="3"/>
  <c r="C73" i="3"/>
  <c r="F110" i="3"/>
  <c r="S49" i="3"/>
  <c r="D12" i="5" s="1"/>
  <c r="N55" i="3"/>
  <c r="M55" i="3"/>
  <c r="Q29" i="1"/>
  <c r="R29" i="1" s="1"/>
  <c r="N29" i="1"/>
  <c r="O29" i="1" s="1"/>
  <c r="F111" i="3"/>
  <c r="S50" i="3"/>
  <c r="D13" i="5" s="1"/>
  <c r="L101" i="4"/>
  <c r="M101" i="4" s="1"/>
  <c r="O101" i="4" s="1"/>
  <c r="I55" i="3"/>
  <c r="I53" i="3"/>
  <c r="P36" i="1"/>
  <c r="Q36" i="1" s="1"/>
  <c r="R36" i="1" s="1"/>
  <c r="P20" i="1"/>
  <c r="P38" i="1"/>
  <c r="Q38" i="1" s="1"/>
  <c r="R38" i="1" s="1"/>
  <c r="P34" i="1"/>
  <c r="P42" i="1"/>
  <c r="Q42" i="1" s="1"/>
  <c r="R42" i="1" s="1"/>
  <c r="P43" i="1"/>
  <c r="Q43" i="1" s="1"/>
  <c r="R43" i="1" s="1"/>
  <c r="P30" i="1"/>
  <c r="Q30" i="1" s="1"/>
  <c r="R30" i="1" s="1"/>
  <c r="P12" i="1"/>
  <c r="Q12" i="1" s="1"/>
  <c r="R12" i="1" s="1"/>
  <c r="P18" i="1"/>
  <c r="Q18" i="1" s="1"/>
  <c r="R18" i="1" s="1"/>
  <c r="P24" i="1"/>
  <c r="P40" i="1"/>
  <c r="Q40" i="1" s="1"/>
  <c r="R40" i="1" s="1"/>
  <c r="P14" i="1"/>
  <c r="Q14" i="1" s="1"/>
  <c r="R14" i="1" s="1"/>
  <c r="P41" i="1"/>
  <c r="Q41" i="1" s="1"/>
  <c r="R41" i="1" s="1"/>
  <c r="P21" i="1"/>
  <c r="Q21" i="1" s="1"/>
  <c r="R21" i="1" s="1"/>
  <c r="P9" i="1"/>
  <c r="P25" i="1"/>
  <c r="Q25" i="1" s="1"/>
  <c r="R25" i="1" s="1"/>
  <c r="P7" i="1"/>
  <c r="Q7" i="1" s="1"/>
  <c r="R7" i="1" s="1"/>
  <c r="P29" i="1"/>
  <c r="P31" i="1"/>
  <c r="Q31" i="1" s="1"/>
  <c r="R31" i="1" s="1"/>
  <c r="P47" i="1"/>
  <c r="Q47" i="1" s="1"/>
  <c r="R47" i="1" s="1"/>
  <c r="P39" i="1"/>
  <c r="Q39" i="1" s="1"/>
  <c r="R39" i="1" s="1"/>
  <c r="P44" i="1"/>
  <c r="Q44" i="1" s="1"/>
  <c r="R44" i="1" s="1"/>
  <c r="P32" i="1"/>
  <c r="Q32" i="1" s="1"/>
  <c r="R32" i="1" s="1"/>
  <c r="P15" i="1"/>
  <c r="Q15" i="1" s="1"/>
  <c r="R15" i="1" s="1"/>
  <c r="P13" i="1"/>
  <c r="Q13" i="1" s="1"/>
  <c r="R13" i="1" s="1"/>
  <c r="P46" i="1"/>
  <c r="Q46" i="1" s="1"/>
  <c r="R46" i="1" s="1"/>
  <c r="P16" i="1"/>
  <c r="Q16" i="1" s="1"/>
  <c r="R16" i="1" s="1"/>
  <c r="P17" i="1"/>
  <c r="Q17" i="1" s="1"/>
  <c r="R17" i="1" s="1"/>
  <c r="P37" i="1"/>
  <c r="Q37" i="1" s="1"/>
  <c r="R37" i="1" s="1"/>
  <c r="P10" i="1"/>
  <c r="Q10" i="1" s="1"/>
  <c r="R10" i="1" s="1"/>
  <c r="P8" i="1"/>
  <c r="Q8" i="1" s="1"/>
  <c r="R8" i="1" s="1"/>
  <c r="P45" i="1"/>
  <c r="Q45" i="1" s="1"/>
  <c r="R45" i="1" s="1"/>
  <c r="P23" i="1"/>
  <c r="P35" i="1"/>
  <c r="Q35" i="1" s="1"/>
  <c r="R35" i="1" s="1"/>
  <c r="P33" i="1"/>
  <c r="Q33" i="1" s="1"/>
  <c r="R33" i="1" s="1"/>
  <c r="P22" i="1"/>
  <c r="Q22" i="1" s="1"/>
  <c r="R22" i="1" s="1"/>
  <c r="P11" i="1"/>
  <c r="Q11" i="1" s="1"/>
  <c r="R11" i="1" s="1"/>
  <c r="P19" i="1"/>
  <c r="Q19" i="1" s="1"/>
  <c r="R19" i="1" s="1"/>
  <c r="A176" i="4"/>
  <c r="F101" i="3"/>
  <c r="S45" i="3"/>
  <c r="D8" i="5" s="1"/>
  <c r="Q24" i="1"/>
  <c r="R24" i="1" s="1"/>
  <c r="N24" i="1"/>
  <c r="O24" i="1" s="1"/>
  <c r="A185" i="3"/>
  <c r="E194" i="3" s="1"/>
  <c r="G32" i="6" s="1"/>
  <c r="Q34" i="1"/>
  <c r="R34" i="1" s="1"/>
  <c r="N34" i="1"/>
  <c r="O34" i="1" s="1"/>
  <c r="H86" i="3"/>
  <c r="C87" i="3" s="1"/>
  <c r="G85" i="3"/>
  <c r="N52" i="4"/>
  <c r="D59" i="4"/>
  <c r="I22" i="5" s="1"/>
  <c r="H55" i="3"/>
  <c r="H53" i="3"/>
  <c r="C109" i="3" l="1"/>
  <c r="L99" i="4"/>
  <c r="M99" i="4" s="1"/>
  <c r="O99" i="4" s="1"/>
  <c r="D3" i="5"/>
  <c r="E63" i="3"/>
  <c r="J17" i="5" s="1"/>
  <c r="J35" i="5" s="1"/>
  <c r="D60" i="3"/>
  <c r="I14" i="5" s="1"/>
  <c r="I32" i="5" s="1"/>
  <c r="C60" i="3"/>
  <c r="D63" i="3"/>
  <c r="I17" i="5" s="1"/>
  <c r="I35" i="5" s="1"/>
  <c r="C63" i="3"/>
  <c r="H17" i="5" s="1"/>
  <c r="H35" i="5" s="1"/>
  <c r="C59" i="3"/>
  <c r="D59" i="3"/>
  <c r="I13" i="5" s="1"/>
  <c r="I31" i="5" s="1"/>
  <c r="A178" i="3"/>
  <c r="L107" i="4"/>
  <c r="D108" i="4"/>
  <c r="H94" i="3"/>
  <c r="G93" i="3"/>
  <c r="H93" i="3"/>
  <c r="C98" i="4"/>
  <c r="D98" i="4"/>
  <c r="L111" i="4"/>
  <c r="M111" i="4" s="1"/>
  <c r="O111" i="4" s="1"/>
  <c r="D109" i="4"/>
  <c r="J53" i="3"/>
  <c r="J54" i="3"/>
  <c r="J52" i="3"/>
  <c r="A187" i="4"/>
  <c r="G194" i="4" s="1"/>
  <c r="I38" i="6" s="1"/>
  <c r="T183" i="4"/>
  <c r="T177" i="4"/>
  <c r="B160" i="4"/>
  <c r="D107" i="6" s="1"/>
  <c r="A127" i="4"/>
  <c r="I159" i="4"/>
  <c r="K106" i="6" s="1"/>
  <c r="T126" i="4"/>
  <c r="Q43" i="4"/>
  <c r="B18" i="5" s="1"/>
  <c r="E14" i="4"/>
  <c r="T132" i="4"/>
  <c r="Q49" i="4"/>
  <c r="B24" i="5" s="1"/>
  <c r="A136" i="4"/>
  <c r="B110" i="4"/>
  <c r="T177" i="3"/>
  <c r="B99" i="4"/>
  <c r="L43" i="4"/>
  <c r="G43" i="4"/>
  <c r="T183" i="3"/>
  <c r="C16" i="1"/>
  <c r="C22" i="1"/>
  <c r="L112" i="4"/>
  <c r="M112" i="4" s="1"/>
  <c r="O112" i="4" s="1"/>
  <c r="B161" i="3"/>
  <c r="D85" i="6" s="1"/>
  <c r="L44" i="3"/>
  <c r="I160" i="3"/>
  <c r="K84" i="6" s="1"/>
  <c r="A128" i="3"/>
  <c r="T127" i="3"/>
  <c r="B111" i="3"/>
  <c r="B100" i="3"/>
  <c r="T133" i="3"/>
  <c r="C45" i="1"/>
  <c r="C39" i="1"/>
  <c r="E15" i="3"/>
  <c r="E25" i="2"/>
  <c r="A137" i="3"/>
  <c r="Q50" i="3"/>
  <c r="B13" i="5" s="1"/>
  <c r="G44" i="3"/>
  <c r="Q44" i="3"/>
  <c r="B7" i="5" s="1"/>
  <c r="H24" i="2"/>
  <c r="H105" i="3"/>
  <c r="C107" i="3" s="1"/>
  <c r="G104" i="3"/>
  <c r="D99" i="3"/>
  <c r="C96" i="4"/>
  <c r="G79" i="4"/>
  <c r="H79" i="4" s="1"/>
  <c r="G98" i="4"/>
  <c r="H98" i="4" s="1"/>
  <c r="J98" i="4" s="1"/>
  <c r="G97" i="4"/>
  <c r="H97" i="4" s="1"/>
  <c r="J97" i="4" s="1"/>
  <c r="G86" i="4"/>
  <c r="H86" i="4" s="1"/>
  <c r="J86" i="4" s="1"/>
  <c r="G72" i="4"/>
  <c r="H72" i="4" s="1"/>
  <c r="J72" i="4" s="1"/>
  <c r="G96" i="4"/>
  <c r="H96" i="4" s="1"/>
  <c r="J96" i="4" s="1"/>
  <c r="D110" i="3"/>
  <c r="C110" i="3"/>
  <c r="A177" i="4"/>
  <c r="O54" i="3"/>
  <c r="O52" i="3"/>
  <c r="O53" i="3"/>
  <c r="C97" i="4"/>
  <c r="D145" i="4"/>
  <c r="I92" i="6" s="1"/>
  <c r="H22" i="5"/>
  <c r="H23" i="5"/>
  <c r="D72" i="4"/>
  <c r="D96" i="4"/>
  <c r="D86" i="4"/>
  <c r="D79" i="4"/>
  <c r="D107" i="4"/>
  <c r="L98" i="4"/>
  <c r="M98" i="4" s="1"/>
  <c r="O98" i="4" s="1"/>
  <c r="L108" i="4"/>
  <c r="M108" i="4" s="1"/>
  <c r="O108" i="4" s="1"/>
  <c r="L110" i="4"/>
  <c r="M110" i="4" s="1"/>
  <c r="O110" i="4" s="1"/>
  <c r="L86" i="4"/>
  <c r="M86" i="4" s="1"/>
  <c r="O86" i="4" s="1"/>
  <c r="L97" i="4"/>
  <c r="M97" i="4" s="1"/>
  <c r="O97" i="4" s="1"/>
  <c r="L96" i="4"/>
  <c r="M96" i="4" s="1"/>
  <c r="O96" i="4" s="1"/>
  <c r="L80" i="4"/>
  <c r="M80" i="4" s="1"/>
  <c r="O80" i="4" s="1"/>
  <c r="L109" i="4"/>
  <c r="M109" i="4" s="1"/>
  <c r="O109" i="4" s="1"/>
  <c r="L72" i="4"/>
  <c r="M72" i="4" s="1"/>
  <c r="O72" i="4" s="1"/>
  <c r="L73" i="4"/>
  <c r="M73" i="4" s="1"/>
  <c r="O73" i="4" s="1"/>
  <c r="L79" i="4"/>
  <c r="M79" i="4" s="1"/>
  <c r="L87" i="4"/>
  <c r="M87" i="4" s="1"/>
  <c r="O87" i="4" s="1"/>
  <c r="A186" i="3"/>
  <c r="F194" i="3" s="1"/>
  <c r="H32" i="6" s="1"/>
  <c r="G104" i="4"/>
  <c r="M107" i="4"/>
  <c r="O107" i="4" s="1"/>
  <c r="H105" i="4"/>
  <c r="G112" i="4" s="1"/>
  <c r="H112" i="4" s="1"/>
  <c r="J112" i="4" s="1"/>
  <c r="G99" i="4"/>
  <c r="H99" i="4" s="1"/>
  <c r="J99" i="4" s="1"/>
  <c r="G94" i="3"/>
  <c r="N109" i="3" l="1"/>
  <c r="N97" i="4"/>
  <c r="I97" i="4"/>
  <c r="E125" i="4" s="1"/>
  <c r="A179" i="3"/>
  <c r="G108" i="4"/>
  <c r="H108" i="4" s="1"/>
  <c r="J108" i="4" s="1"/>
  <c r="G107" i="3"/>
  <c r="H107" i="3" s="1"/>
  <c r="J107" i="3" s="1"/>
  <c r="T134" i="3"/>
  <c r="B162" i="3"/>
  <c r="D86" i="6" s="1"/>
  <c r="A138" i="3"/>
  <c r="T128" i="3"/>
  <c r="B112" i="3"/>
  <c r="B101" i="3"/>
  <c r="B88" i="3"/>
  <c r="B81" i="3"/>
  <c r="B74" i="3"/>
  <c r="I161" i="3"/>
  <c r="K85" i="6" s="1"/>
  <c r="G45" i="3"/>
  <c r="C40" i="1"/>
  <c r="Q45" i="3"/>
  <c r="B8" i="5" s="1"/>
  <c r="Q51" i="3"/>
  <c r="B14" i="5" s="1"/>
  <c r="E16" i="3"/>
  <c r="H25" i="2"/>
  <c r="L45" i="3"/>
  <c r="A129" i="3"/>
  <c r="C46" i="1"/>
  <c r="H14" i="5"/>
  <c r="H32" i="5" s="1"/>
  <c r="D107" i="3"/>
  <c r="D96" i="3"/>
  <c r="D87" i="3"/>
  <c r="D80" i="3"/>
  <c r="D73" i="3"/>
  <c r="L88" i="3"/>
  <c r="M88" i="3" s="1"/>
  <c r="O88" i="3" s="1"/>
  <c r="L73" i="3"/>
  <c r="M73" i="3" s="1"/>
  <c r="L87" i="3"/>
  <c r="M87" i="3" s="1"/>
  <c r="L74" i="3"/>
  <c r="M74" i="3" s="1"/>
  <c r="O74" i="3" s="1"/>
  <c r="L80" i="3"/>
  <c r="M80" i="3" s="1"/>
  <c r="L109" i="3"/>
  <c r="M109" i="3" s="1"/>
  <c r="O109" i="3" s="1"/>
  <c r="L81" i="3"/>
  <c r="M81" i="3" s="1"/>
  <c r="O81" i="3" s="1"/>
  <c r="L110" i="3"/>
  <c r="M110" i="3" s="1"/>
  <c r="O110" i="3" s="1"/>
  <c r="L108" i="3"/>
  <c r="M108" i="3" s="1"/>
  <c r="O108" i="3" s="1"/>
  <c r="D108" i="3"/>
  <c r="L96" i="3"/>
  <c r="M96" i="3" s="1"/>
  <c r="O96" i="3" s="1"/>
  <c r="D97" i="3"/>
  <c r="L97" i="3"/>
  <c r="M97" i="3" s="1"/>
  <c r="O97" i="3" s="1"/>
  <c r="L98" i="3"/>
  <c r="M98" i="3" s="1"/>
  <c r="O98" i="3" s="1"/>
  <c r="L111" i="3"/>
  <c r="M111" i="3" s="1"/>
  <c r="O111" i="3" s="1"/>
  <c r="L99" i="3"/>
  <c r="M99" i="3" s="1"/>
  <c r="O99" i="3" s="1"/>
  <c r="L100" i="3"/>
  <c r="M100" i="3" s="1"/>
  <c r="O100" i="3" s="1"/>
  <c r="L101" i="3"/>
  <c r="M101" i="3" s="1"/>
  <c r="O101" i="3" s="1"/>
  <c r="D109" i="3"/>
  <c r="D98" i="3"/>
  <c r="L112" i="3"/>
  <c r="M112" i="3" s="1"/>
  <c r="O112" i="3" s="1"/>
  <c r="L107" i="3"/>
  <c r="M107" i="3" s="1"/>
  <c r="O107" i="3" s="1"/>
  <c r="G110" i="4"/>
  <c r="H110" i="4" s="1"/>
  <c r="J110" i="4" s="1"/>
  <c r="G111" i="3"/>
  <c r="H111" i="3" s="1"/>
  <c r="J111" i="3" s="1"/>
  <c r="C96" i="3"/>
  <c r="G80" i="3"/>
  <c r="H80" i="3" s="1"/>
  <c r="G96" i="3"/>
  <c r="H96" i="3" s="1"/>
  <c r="J96" i="3" s="1"/>
  <c r="G73" i="3"/>
  <c r="H73" i="3" s="1"/>
  <c r="C97" i="3"/>
  <c r="G87" i="3"/>
  <c r="H87" i="3" s="1"/>
  <c r="G97" i="3"/>
  <c r="H97" i="3" s="1"/>
  <c r="J97" i="3" s="1"/>
  <c r="C98" i="3"/>
  <c r="G100" i="3"/>
  <c r="H100" i="3" s="1"/>
  <c r="J100" i="3" s="1"/>
  <c r="G98" i="3"/>
  <c r="H98" i="3" s="1"/>
  <c r="J98" i="3" s="1"/>
  <c r="G99" i="3"/>
  <c r="H99" i="3" s="1"/>
  <c r="J99" i="3" s="1"/>
  <c r="G101" i="3"/>
  <c r="H101" i="3" s="1"/>
  <c r="J101" i="3" s="1"/>
  <c r="G109" i="4"/>
  <c r="H109" i="4" s="1"/>
  <c r="J109" i="4" s="1"/>
  <c r="C108" i="3"/>
  <c r="T178" i="4"/>
  <c r="T184" i="4"/>
  <c r="T127" i="4"/>
  <c r="A188" i="4"/>
  <c r="H194" i="4" s="1"/>
  <c r="J38" i="6" s="1"/>
  <c r="A128" i="4"/>
  <c r="B161" i="4"/>
  <c r="D108" i="6" s="1"/>
  <c r="A137" i="4"/>
  <c r="T133" i="4"/>
  <c r="Q50" i="4"/>
  <c r="B25" i="5" s="1"/>
  <c r="E15" i="4"/>
  <c r="I160" i="4"/>
  <c r="K107" i="6" s="1"/>
  <c r="T184" i="3"/>
  <c r="Q44" i="4"/>
  <c r="B19" i="5" s="1"/>
  <c r="B100" i="4"/>
  <c r="B111" i="4"/>
  <c r="L44" i="4"/>
  <c r="T178" i="3"/>
  <c r="G44" i="4"/>
  <c r="C23" i="1"/>
  <c r="C17" i="1"/>
  <c r="C107" i="4"/>
  <c r="G110" i="3"/>
  <c r="H110" i="3" s="1"/>
  <c r="J110" i="3" s="1"/>
  <c r="I96" i="4"/>
  <c r="E124" i="4" s="1"/>
  <c r="N96" i="4"/>
  <c r="A178" i="4"/>
  <c r="G111" i="4"/>
  <c r="H111" i="4" s="1"/>
  <c r="J111" i="4" s="1"/>
  <c r="C99" i="3"/>
  <c r="G107" i="4"/>
  <c r="H107" i="4" s="1"/>
  <c r="J107" i="4" s="1"/>
  <c r="N86" i="4"/>
  <c r="C108" i="4"/>
  <c r="A187" i="3"/>
  <c r="G194" i="3" s="1"/>
  <c r="I32" i="6" s="1"/>
  <c r="J8" i="5"/>
  <c r="R17" i="5" s="1"/>
  <c r="H5" i="5"/>
  <c r="P14" i="5" s="1"/>
  <c r="H8" i="5"/>
  <c r="P17" i="5" s="1"/>
  <c r="I5" i="5"/>
  <c r="Q14" i="5" s="1"/>
  <c r="I8" i="5"/>
  <c r="Q17" i="5" s="1"/>
  <c r="J9" i="5"/>
  <c r="R18" i="5" s="1"/>
  <c r="H4" i="5"/>
  <c r="I9" i="5" a="1"/>
  <c r="I9" i="5" s="1"/>
  <c r="Q18" i="5" s="1"/>
  <c r="I4" i="5"/>
  <c r="H9" i="5" a="1"/>
  <c r="H9" i="5" s="1"/>
  <c r="P18" i="5" s="1"/>
  <c r="G108" i="3"/>
  <c r="H108" i="3" s="1"/>
  <c r="J108" i="3" s="1"/>
  <c r="N110" i="3"/>
  <c r="N72" i="4"/>
  <c r="D110" i="4"/>
  <c r="C110" i="4"/>
  <c r="O79" i="4"/>
  <c r="N79" i="4"/>
  <c r="J79" i="4"/>
  <c r="I79" i="4"/>
  <c r="C124" i="4" s="1"/>
  <c r="I72" i="4"/>
  <c r="B124" i="4" s="1"/>
  <c r="D100" i="3"/>
  <c r="C100" i="3"/>
  <c r="D99" i="4"/>
  <c r="C99" i="4"/>
  <c r="I86" i="4"/>
  <c r="D124" i="4" s="1"/>
  <c r="C109" i="4"/>
  <c r="G109" i="3"/>
  <c r="H109" i="3" s="1"/>
  <c r="J109" i="3" s="1"/>
  <c r="D111" i="3"/>
  <c r="C111" i="3"/>
  <c r="I98" i="4"/>
  <c r="E126" i="4" s="1"/>
  <c r="N98" i="4"/>
  <c r="H13" i="5"/>
  <c r="H31" i="5" s="1"/>
  <c r="D145" i="3"/>
  <c r="I69" i="6" s="1"/>
  <c r="G112" i="3"/>
  <c r="H112" i="3" s="1"/>
  <c r="J112" i="3" s="1"/>
  <c r="D175" i="4" l="1"/>
  <c r="E157" i="4"/>
  <c r="G104" i="6" s="1"/>
  <c r="A179" i="4"/>
  <c r="P21" i="6"/>
  <c r="Q13" i="5"/>
  <c r="I109" i="4"/>
  <c r="G126" i="4" s="1"/>
  <c r="N109" i="4"/>
  <c r="C175" i="4"/>
  <c r="D157" i="4"/>
  <c r="F104" i="6" s="1"/>
  <c r="K22" i="6"/>
  <c r="H169" i="3"/>
  <c r="H169" i="4"/>
  <c r="I178" i="4" s="1"/>
  <c r="C100" i="4"/>
  <c r="D100" i="4"/>
  <c r="J73" i="3"/>
  <c r="I73" i="3"/>
  <c r="B124" i="3" s="1"/>
  <c r="D112" i="3"/>
  <c r="C112" i="3"/>
  <c r="A188" i="3"/>
  <c r="H194" i="3" s="1"/>
  <c r="J32" i="6" s="1"/>
  <c r="I179" i="3"/>
  <c r="N107" i="4"/>
  <c r="I107" i="4"/>
  <c r="G124" i="4" s="1"/>
  <c r="O87" i="3"/>
  <c r="N87" i="3"/>
  <c r="F158" i="4"/>
  <c r="H105" i="6" s="1"/>
  <c r="S124" i="4"/>
  <c r="E176" i="4"/>
  <c r="K125" i="4"/>
  <c r="N125" i="4"/>
  <c r="G169" i="4"/>
  <c r="G169" i="3"/>
  <c r="N99" i="3"/>
  <c r="I99" i="3"/>
  <c r="E127" i="3" s="1"/>
  <c r="J80" i="3"/>
  <c r="I80" i="3"/>
  <c r="C124" i="3" s="1"/>
  <c r="O73" i="3"/>
  <c r="N73" i="3"/>
  <c r="N96" i="3"/>
  <c r="I96" i="3"/>
  <c r="E124" i="3" s="1"/>
  <c r="A180" i="3"/>
  <c r="C169" i="4"/>
  <c r="C169" i="3"/>
  <c r="I98" i="3"/>
  <c r="E126" i="3" s="1"/>
  <c r="N98" i="3"/>
  <c r="D74" i="3"/>
  <c r="C74" i="3"/>
  <c r="I109" i="3"/>
  <c r="G126" i="3" s="1"/>
  <c r="B168" i="4"/>
  <c r="B168" i="3"/>
  <c r="N100" i="3"/>
  <c r="I100" i="3"/>
  <c r="E128" i="3" s="1"/>
  <c r="B169" i="4"/>
  <c r="B169" i="3"/>
  <c r="I99" i="4"/>
  <c r="E127" i="4" s="1"/>
  <c r="N99" i="4"/>
  <c r="I110" i="4"/>
  <c r="G127" i="4" s="1"/>
  <c r="N110" i="4"/>
  <c r="N111" i="3"/>
  <c r="I111" i="3"/>
  <c r="G128" i="3" s="1"/>
  <c r="A138" i="4"/>
  <c r="T128" i="4"/>
  <c r="A189" i="4"/>
  <c r="I194" i="4" s="1"/>
  <c r="K38" i="6" s="1"/>
  <c r="B162" i="4"/>
  <c r="D109" i="6" s="1"/>
  <c r="B112" i="4"/>
  <c r="I161" i="4"/>
  <c r="K108" i="6" s="1"/>
  <c r="T185" i="4"/>
  <c r="A129" i="4"/>
  <c r="T179" i="4"/>
  <c r="B73" i="4"/>
  <c r="B87" i="4"/>
  <c r="T179" i="3"/>
  <c r="B101" i="4"/>
  <c r="B80" i="4"/>
  <c r="Q51" i="4"/>
  <c r="B26" i="5" s="1"/>
  <c r="G45" i="4"/>
  <c r="E16" i="4"/>
  <c r="T134" i="4"/>
  <c r="T185" i="3"/>
  <c r="Q45" i="4"/>
  <c r="B20" i="5" s="1"/>
  <c r="L45" i="4"/>
  <c r="C24" i="1"/>
  <c r="C18" i="1"/>
  <c r="D81" i="3"/>
  <c r="C81" i="3"/>
  <c r="D169" i="4"/>
  <c r="D169" i="3"/>
  <c r="N108" i="4"/>
  <c r="I108" i="4"/>
  <c r="G125" i="4" s="1"/>
  <c r="M125" i="4" s="1"/>
  <c r="C134" i="4" s="1"/>
  <c r="I108" i="3"/>
  <c r="G125" i="3" s="1"/>
  <c r="N108" i="3"/>
  <c r="J87" i="3"/>
  <c r="I87" i="3"/>
  <c r="D124" i="3" s="1"/>
  <c r="D88" i="3"/>
  <c r="C88" i="3"/>
  <c r="I107" i="3"/>
  <c r="G124" i="3" s="1"/>
  <c r="D168" i="4"/>
  <c r="D168" i="3"/>
  <c r="L126" i="4"/>
  <c r="S125" i="4"/>
  <c r="E177" i="4"/>
  <c r="F159" i="4"/>
  <c r="H106" i="6" s="1"/>
  <c r="K126" i="4"/>
  <c r="M126" i="4" s="1"/>
  <c r="C135" i="4" s="1"/>
  <c r="N126" i="4"/>
  <c r="P22" i="6"/>
  <c r="L22" i="5"/>
  <c r="L13" i="5"/>
  <c r="P13" i="5"/>
  <c r="C157" i="4"/>
  <c r="E104" i="6" s="1"/>
  <c r="B175" i="4"/>
  <c r="I110" i="3"/>
  <c r="G127" i="3" s="1"/>
  <c r="C168" i="4"/>
  <c r="C168" i="3"/>
  <c r="N124" i="4"/>
  <c r="F157" i="4"/>
  <c r="H104" i="6" s="1"/>
  <c r="S123" i="4"/>
  <c r="L124" i="4"/>
  <c r="E175" i="4"/>
  <c r="K124" i="4"/>
  <c r="M124" i="4" s="1"/>
  <c r="C133" i="4" s="1"/>
  <c r="C111" i="4"/>
  <c r="D111" i="4"/>
  <c r="I97" i="3"/>
  <c r="E125" i="3" s="1"/>
  <c r="N97" i="3"/>
  <c r="O80" i="3"/>
  <c r="N80" i="3"/>
  <c r="D101" i="3"/>
  <c r="C101" i="3"/>
  <c r="N107" i="3"/>
  <c r="G175" i="4" l="1"/>
  <c r="S180" i="4" s="1"/>
  <c r="G157" i="4"/>
  <c r="I104" i="6" s="1"/>
  <c r="S129" i="4"/>
  <c r="S131" i="4"/>
  <c r="G177" i="4"/>
  <c r="S182" i="4" s="1"/>
  <c r="G159" i="4"/>
  <c r="I106" i="6" s="1"/>
  <c r="K21" i="6"/>
  <c r="G168" i="4"/>
  <c r="G168" i="3"/>
  <c r="K177" i="4"/>
  <c r="M177" i="4" s="1"/>
  <c r="C186" i="4" s="1"/>
  <c r="N177" i="4"/>
  <c r="S176" i="4"/>
  <c r="L177" i="4"/>
  <c r="B186" i="4" s="1"/>
  <c r="F161" i="3"/>
  <c r="H85" i="6" s="1"/>
  <c r="E179" i="3"/>
  <c r="N128" i="3"/>
  <c r="M128" i="3"/>
  <c r="C137" i="3" s="1"/>
  <c r="L128" i="3"/>
  <c r="S127" i="3"/>
  <c r="K128" i="3"/>
  <c r="E177" i="3"/>
  <c r="F159" i="3"/>
  <c r="H83" i="6" s="1"/>
  <c r="L126" i="3"/>
  <c r="S125" i="3"/>
  <c r="K126" i="3"/>
  <c r="M126" i="3" s="1"/>
  <c r="C135" i="3" s="1"/>
  <c r="N126" i="3"/>
  <c r="I111" i="4"/>
  <c r="G128" i="4" s="1"/>
  <c r="N111" i="4"/>
  <c r="B135" i="4"/>
  <c r="C175" i="3"/>
  <c r="D157" i="3"/>
  <c r="F81" i="6" s="1"/>
  <c r="N100" i="4"/>
  <c r="I100" i="4"/>
  <c r="E128" i="4" s="1"/>
  <c r="H168" i="4"/>
  <c r="H168" i="3"/>
  <c r="A180" i="4"/>
  <c r="I180" i="4" s="1"/>
  <c r="G176" i="3"/>
  <c r="S181" i="3" s="1"/>
  <c r="G158" i="3"/>
  <c r="I82" i="6" s="1"/>
  <c r="S130" i="3"/>
  <c r="N176" i="4"/>
  <c r="S175" i="4"/>
  <c r="K176" i="4"/>
  <c r="M176" i="4" s="1"/>
  <c r="C185" i="4" s="1"/>
  <c r="F158" i="3"/>
  <c r="H82" i="6" s="1"/>
  <c r="E176" i="3"/>
  <c r="N125" i="3"/>
  <c r="L125" i="3"/>
  <c r="S124" i="3"/>
  <c r="K125" i="3"/>
  <c r="M125" i="3" s="1"/>
  <c r="C134" i="3" s="1"/>
  <c r="E157" i="3"/>
  <c r="G81" i="6" s="1"/>
  <c r="D175" i="3"/>
  <c r="G161" i="3"/>
  <c r="I85" i="6" s="1"/>
  <c r="G179" i="3"/>
  <c r="S184" i="3" s="1"/>
  <c r="S133" i="3"/>
  <c r="D80" i="4"/>
  <c r="C80" i="4"/>
  <c r="M175" i="4"/>
  <c r="C184" i="4" s="1"/>
  <c r="S174" i="4"/>
  <c r="N175" i="4"/>
  <c r="L175" i="4"/>
  <c r="B184" i="4" s="1"/>
  <c r="K175" i="4"/>
  <c r="G160" i="3"/>
  <c r="I84" i="6" s="1"/>
  <c r="G178" i="3"/>
  <c r="S183" i="3" s="1"/>
  <c r="S132" i="3"/>
  <c r="S130" i="4"/>
  <c r="G158" i="4"/>
  <c r="I105" i="6" s="1"/>
  <c r="G176" i="4"/>
  <c r="S181" i="4" s="1"/>
  <c r="D101" i="4"/>
  <c r="C101" i="4"/>
  <c r="D112" i="4"/>
  <c r="C112" i="4"/>
  <c r="G178" i="4"/>
  <c r="S183" i="4" s="1"/>
  <c r="G160" i="4"/>
  <c r="I107" i="6" s="1"/>
  <c r="S132" i="4"/>
  <c r="A189" i="3"/>
  <c r="I194" i="3" s="1"/>
  <c r="K32" i="6" s="1"/>
  <c r="I180" i="3"/>
  <c r="E178" i="3"/>
  <c r="F160" i="3"/>
  <c r="H84" i="6" s="1"/>
  <c r="N127" i="3"/>
  <c r="M127" i="3"/>
  <c r="C136" i="3" s="1"/>
  <c r="L127" i="3"/>
  <c r="B136" i="3" s="1"/>
  <c r="S126" i="3"/>
  <c r="K127" i="3"/>
  <c r="I179" i="4"/>
  <c r="I101" i="3"/>
  <c r="E129" i="3" s="1"/>
  <c r="N101" i="3"/>
  <c r="B133" i="4"/>
  <c r="G157" i="3"/>
  <c r="I81" i="6" s="1"/>
  <c r="G175" i="3"/>
  <c r="S180" i="3" s="1"/>
  <c r="S129" i="3"/>
  <c r="G159" i="3"/>
  <c r="I83" i="6" s="1"/>
  <c r="S131" i="3"/>
  <c r="G177" i="3"/>
  <c r="S182" i="3" s="1"/>
  <c r="L125" i="4"/>
  <c r="B134" i="4" s="1"/>
  <c r="I112" i="3"/>
  <c r="G129" i="3" s="1"/>
  <c r="N112" i="3"/>
  <c r="F160" i="4"/>
  <c r="H107" i="6" s="1"/>
  <c r="E178" i="4"/>
  <c r="K127" i="4"/>
  <c r="M127" i="4" s="1"/>
  <c r="C136" i="4" s="1"/>
  <c r="N127" i="4"/>
  <c r="L127" i="4"/>
  <c r="S126" i="4"/>
  <c r="N74" i="3"/>
  <c r="I74" i="3"/>
  <c r="B129" i="3" s="1"/>
  <c r="F157" i="3"/>
  <c r="H81" i="6" s="1"/>
  <c r="E175" i="3"/>
  <c r="N124" i="3"/>
  <c r="L124" i="3"/>
  <c r="K124" i="3"/>
  <c r="M124" i="3" s="1"/>
  <c r="C133" i="3" s="1"/>
  <c r="S123" i="3"/>
  <c r="I175" i="3"/>
  <c r="I176" i="3"/>
  <c r="I177" i="3"/>
  <c r="I178" i="3"/>
  <c r="I88" i="3"/>
  <c r="D129" i="3" s="1"/>
  <c r="N88" i="3"/>
  <c r="D87" i="4"/>
  <c r="C87" i="4"/>
  <c r="G117" i="4"/>
  <c r="D117" i="4"/>
  <c r="B117" i="4"/>
  <c r="C146" i="4" s="1"/>
  <c r="G93" i="6" s="1"/>
  <c r="C117" i="4"/>
  <c r="D146" i="4" s="1"/>
  <c r="I93" i="6" s="1"/>
  <c r="H118" i="4"/>
  <c r="H117" i="4"/>
  <c r="C73" i="4"/>
  <c r="D73" i="4"/>
  <c r="G118" i="4"/>
  <c r="I129" i="4" s="1"/>
  <c r="H175" i="3"/>
  <c r="H180" i="3"/>
  <c r="H178" i="3"/>
  <c r="H179" i="3"/>
  <c r="H176" i="3"/>
  <c r="H177" i="3"/>
  <c r="I175" i="4"/>
  <c r="O175" i="4" s="1"/>
  <c r="E184" i="4" s="1"/>
  <c r="I176" i="4"/>
  <c r="O176" i="4" s="1"/>
  <c r="E185" i="4" s="1"/>
  <c r="I177" i="4"/>
  <c r="O177" i="4" s="1"/>
  <c r="E186" i="4" s="1"/>
  <c r="C157" i="3"/>
  <c r="E81" i="6" s="1"/>
  <c r="B175" i="3"/>
  <c r="I81" i="3"/>
  <c r="C129" i="3" s="1"/>
  <c r="N81" i="3"/>
  <c r="H179" i="4"/>
  <c r="H178" i="4"/>
  <c r="H175" i="4"/>
  <c r="P175" i="4" s="1"/>
  <c r="H184" i="4" s="1"/>
  <c r="H177" i="4"/>
  <c r="P177" i="4" s="1"/>
  <c r="H186" i="4" s="1"/>
  <c r="H176" i="4"/>
  <c r="N87" i="4" l="1"/>
  <c r="I87" i="4"/>
  <c r="D129" i="4" s="1"/>
  <c r="N80" i="4"/>
  <c r="I80" i="4"/>
  <c r="C129" i="4" s="1"/>
  <c r="F186" i="4"/>
  <c r="G186" i="4" s="1"/>
  <c r="I186" i="4"/>
  <c r="J186" i="4" s="1"/>
  <c r="F195" i="4" s="1"/>
  <c r="H39" i="6" s="1"/>
  <c r="I73" i="4"/>
  <c r="B129" i="4" s="1"/>
  <c r="N73" i="4"/>
  <c r="G162" i="3"/>
  <c r="I86" i="6" s="1"/>
  <c r="S134" i="3"/>
  <c r="G180" i="3"/>
  <c r="S185" i="3" s="1"/>
  <c r="N112" i="4"/>
  <c r="I112" i="4"/>
  <c r="G129" i="4" s="1"/>
  <c r="B134" i="3"/>
  <c r="S133" i="4"/>
  <c r="G179" i="4"/>
  <c r="S184" i="4" s="1"/>
  <c r="G161" i="4"/>
  <c r="I108" i="6" s="1"/>
  <c r="N177" i="3"/>
  <c r="L177" i="3"/>
  <c r="K177" i="3"/>
  <c r="P177" i="3" s="1"/>
  <c r="H186" i="3" s="1"/>
  <c r="S176" i="3"/>
  <c r="B133" i="3"/>
  <c r="B136" i="4"/>
  <c r="C180" i="3"/>
  <c r="D162" i="3"/>
  <c r="F86" i="6" s="1"/>
  <c r="D180" i="3"/>
  <c r="E162" i="3"/>
  <c r="G86" i="6" s="1"/>
  <c r="F162" i="3"/>
  <c r="H86" i="6" s="1"/>
  <c r="E180" i="3"/>
  <c r="S128" i="3"/>
  <c r="N129" i="3"/>
  <c r="L129" i="3"/>
  <c r="K129" i="3"/>
  <c r="M129" i="3" s="1"/>
  <c r="C138" i="3" s="1"/>
  <c r="N178" i="3"/>
  <c r="M178" i="3"/>
  <c r="C187" i="3" s="1"/>
  <c r="K178" i="3"/>
  <c r="L178" i="3"/>
  <c r="B187" i="3" s="1"/>
  <c r="S177" i="3"/>
  <c r="N101" i="4"/>
  <c r="I101" i="4"/>
  <c r="E129" i="4" s="1"/>
  <c r="L176" i="4"/>
  <c r="B185" i="4" s="1"/>
  <c r="F161" i="4"/>
  <c r="H108" i="6" s="1"/>
  <c r="M128" i="4"/>
  <c r="C137" i="4" s="1"/>
  <c r="S127" i="4"/>
  <c r="N128" i="4"/>
  <c r="K128" i="4"/>
  <c r="E179" i="4"/>
  <c r="L128" i="4"/>
  <c r="B137" i="4" s="1"/>
  <c r="B137" i="3"/>
  <c r="I124" i="4"/>
  <c r="O124" i="4" s="1"/>
  <c r="E133" i="4" s="1"/>
  <c r="F133" i="4" s="1"/>
  <c r="G133" i="4" s="1"/>
  <c r="D151" i="4"/>
  <c r="I97" i="6" s="1"/>
  <c r="I125" i="4"/>
  <c r="I126" i="4"/>
  <c r="I127" i="4"/>
  <c r="I128" i="4"/>
  <c r="D117" i="3"/>
  <c r="C117" i="3"/>
  <c r="D146" i="3" s="1"/>
  <c r="I70" i="6" s="1"/>
  <c r="B117" i="3"/>
  <c r="C146" i="3" s="1"/>
  <c r="G70" i="6" s="1"/>
  <c r="H117" i="3"/>
  <c r="H118" i="3"/>
  <c r="G117" i="3"/>
  <c r="G118" i="3"/>
  <c r="P176" i="4"/>
  <c r="H185" i="4" s="1"/>
  <c r="O178" i="3"/>
  <c r="E187" i="3" s="1"/>
  <c r="I184" i="4"/>
  <c r="J184" i="4" s="1"/>
  <c r="F184" i="4"/>
  <c r="G184" i="4" s="1"/>
  <c r="S175" i="3"/>
  <c r="K176" i="3"/>
  <c r="P176" i="3" s="1"/>
  <c r="H185" i="3" s="1"/>
  <c r="N176" i="3"/>
  <c r="L176" i="3"/>
  <c r="B185" i="3" s="1"/>
  <c r="P178" i="3"/>
  <c r="H187" i="3" s="1"/>
  <c r="S174" i="3"/>
  <c r="N175" i="3"/>
  <c r="L175" i="3"/>
  <c r="B184" i="3" s="1"/>
  <c r="M175" i="3"/>
  <c r="C184" i="3" s="1"/>
  <c r="K175" i="3"/>
  <c r="O175" i="3" s="1"/>
  <c r="E184" i="3" s="1"/>
  <c r="B180" i="3"/>
  <c r="C162" i="3"/>
  <c r="E86" i="6" s="1"/>
  <c r="H180" i="4"/>
  <c r="P175" i="3"/>
  <c r="H184" i="3" s="1"/>
  <c r="O176" i="3"/>
  <c r="E185" i="3" s="1"/>
  <c r="K178" i="4"/>
  <c r="O178" i="4" s="1"/>
  <c r="E187" i="4" s="1"/>
  <c r="S177" i="4"/>
  <c r="N178" i="4"/>
  <c r="L178" i="4"/>
  <c r="B135" i="3"/>
  <c r="L179" i="3"/>
  <c r="S178" i="3"/>
  <c r="N179" i="3"/>
  <c r="K179" i="3"/>
  <c r="O179" i="3" s="1"/>
  <c r="E188" i="3" s="1"/>
  <c r="F185" i="4" l="1"/>
  <c r="G185" i="4" s="1"/>
  <c r="I185" i="4"/>
  <c r="J185" i="4" s="1"/>
  <c r="E195" i="4" s="1"/>
  <c r="G39" i="6" s="1"/>
  <c r="M178" i="4"/>
  <c r="C187" i="4" s="1"/>
  <c r="M179" i="3"/>
  <c r="C188" i="3" s="1"/>
  <c r="M176" i="3"/>
  <c r="C185" i="3" s="1"/>
  <c r="I185" i="3" s="1"/>
  <c r="J185" i="3" s="1"/>
  <c r="E195" i="3" s="1"/>
  <c r="G33" i="6" s="1"/>
  <c r="D151" i="3"/>
  <c r="I74" i="6" s="1"/>
  <c r="I124" i="3"/>
  <c r="O124" i="3" s="1"/>
  <c r="E133" i="3" s="1"/>
  <c r="I125" i="3"/>
  <c r="I126" i="3"/>
  <c r="I127" i="3"/>
  <c r="I128" i="3"/>
  <c r="I129" i="3"/>
  <c r="F162" i="4"/>
  <c r="H109" i="6" s="1"/>
  <c r="K129" i="4"/>
  <c r="M129" i="4" s="1"/>
  <c r="C138" i="4" s="1"/>
  <c r="E180" i="4"/>
  <c r="N129" i="4"/>
  <c r="L129" i="4"/>
  <c r="B138" i="4" s="1"/>
  <c r="S128" i="4"/>
  <c r="B138" i="3"/>
  <c r="P179" i="3"/>
  <c r="H188" i="3" s="1"/>
  <c r="M177" i="3"/>
  <c r="C186" i="3" s="1"/>
  <c r="D162" i="4"/>
  <c r="F109" i="6" s="1"/>
  <c r="C180" i="4"/>
  <c r="B188" i="3"/>
  <c r="O177" i="3"/>
  <c r="E186" i="3" s="1"/>
  <c r="L179" i="4"/>
  <c r="N179" i="4"/>
  <c r="M179" i="4"/>
  <c r="C188" i="4" s="1"/>
  <c r="K179" i="4"/>
  <c r="S178" i="4"/>
  <c r="B186" i="3"/>
  <c r="B187" i="4"/>
  <c r="E162" i="4"/>
  <c r="G109" i="6" s="1"/>
  <c r="D180" i="4"/>
  <c r="F187" i="3"/>
  <c r="G187" i="3" s="1"/>
  <c r="I187" i="3"/>
  <c r="J187" i="3" s="1"/>
  <c r="G195" i="3" s="1"/>
  <c r="I33" i="6" s="1"/>
  <c r="G180" i="4"/>
  <c r="S185" i="4" s="1"/>
  <c r="S134" i="4"/>
  <c r="G162" i="4"/>
  <c r="I109" i="6" s="1"/>
  <c r="C162" i="4"/>
  <c r="E109" i="6" s="1"/>
  <c r="B180" i="4"/>
  <c r="I184" i="3"/>
  <c r="J184" i="3" s="1"/>
  <c r="F184" i="3"/>
  <c r="G184" i="3" s="1"/>
  <c r="P178" i="4"/>
  <c r="H187" i="4" s="1"/>
  <c r="L180" i="3"/>
  <c r="B189" i="3" s="1"/>
  <c r="K180" i="3"/>
  <c r="N180" i="3"/>
  <c r="S179" i="3"/>
  <c r="M180" i="3"/>
  <c r="C189" i="3" s="1"/>
  <c r="F133" i="3"/>
  <c r="G133" i="3" s="1"/>
  <c r="F185" i="3" l="1"/>
  <c r="G185" i="3" s="1"/>
  <c r="O180" i="3"/>
  <c r="E189" i="3" s="1"/>
  <c r="F189" i="3" s="1"/>
  <c r="G189" i="3" s="1"/>
  <c r="P180" i="3"/>
  <c r="H189" i="3" s="1"/>
  <c r="I189" i="3" s="1"/>
  <c r="J189" i="3" s="1"/>
  <c r="I195" i="3" s="1"/>
  <c r="K33" i="6" s="1"/>
  <c r="B188" i="4"/>
  <c r="S179" i="4"/>
  <c r="K180" i="4"/>
  <c r="M180" i="4"/>
  <c r="C189" i="4" s="1"/>
  <c r="N180" i="4"/>
  <c r="L180" i="4"/>
  <c r="B189" i="4" s="1"/>
  <c r="P179" i="4"/>
  <c r="H188" i="4" s="1"/>
  <c r="O179" i="4"/>
  <c r="E188" i="4" s="1"/>
  <c r="F187" i="4"/>
  <c r="G187" i="4" s="1"/>
  <c r="I187" i="4"/>
  <c r="J187" i="4" s="1"/>
  <c r="G195" i="4" s="1"/>
  <c r="I39" i="6" s="1"/>
  <c r="F188" i="3"/>
  <c r="G188" i="3" s="1"/>
  <c r="I188" i="3"/>
  <c r="J188" i="3" s="1"/>
  <c r="H195" i="3" s="1"/>
  <c r="J33" i="6" s="1"/>
  <c r="F186" i="3"/>
  <c r="G186" i="3" s="1"/>
  <c r="I186" i="3"/>
  <c r="J186" i="3" s="1"/>
  <c r="F195" i="3" s="1"/>
  <c r="H33" i="6" s="1"/>
  <c r="I188" i="4" l="1"/>
  <c r="J188" i="4" s="1"/>
  <c r="H195" i="4" s="1"/>
  <c r="J39" i="6" s="1"/>
  <c r="F188" i="4"/>
  <c r="G188" i="4" s="1"/>
  <c r="F189" i="4"/>
  <c r="G189" i="4" s="1"/>
  <c r="O180" i="4"/>
  <c r="E189" i="4" s="1"/>
  <c r="P180" i="4"/>
  <c r="H189" i="4" s="1"/>
  <c r="I189" i="4" s="1"/>
  <c r="J189" i="4" s="1"/>
  <c r="I195" i="4" s="1"/>
  <c r="K39" i="6" s="1"/>
  <c r="B118" i="4"/>
  <c r="C118" i="4"/>
  <c r="D118" i="4"/>
  <c r="H124" i="4"/>
  <c r="H125" i="4"/>
  <c r="H129" i="4"/>
  <c r="H126" i="4"/>
  <c r="O126" i="4"/>
  <c r="E135" i="4"/>
  <c r="P129" i="4"/>
  <c r="P126" i="4"/>
  <c r="H135" i="4"/>
  <c r="C152" i="4"/>
  <c r="G98" i="6"/>
  <c r="O125" i="4"/>
  <c r="E134" i="4"/>
  <c r="H127" i="4"/>
  <c r="P127" i="4"/>
  <c r="H136" i="4"/>
  <c r="O127" i="4"/>
  <c r="P124" i="4"/>
  <c r="H133" i="4"/>
  <c r="P125" i="4"/>
  <c r="H134" i="4"/>
  <c r="H128" i="4"/>
  <c r="O128" i="4"/>
  <c r="E137" i="4"/>
  <c r="P128" i="4"/>
  <c r="H137" i="4"/>
  <c r="E136" i="4"/>
  <c r="D152" i="4"/>
  <c r="I98" i="6"/>
  <c r="D118" i="3"/>
  <c r="H138" i="4"/>
  <c r="C118" i="3"/>
  <c r="B118" i="3"/>
  <c r="H126" i="3"/>
  <c r="H128" i="3"/>
  <c r="O128" i="3"/>
  <c r="P128" i="3"/>
  <c r="H137" i="3"/>
  <c r="H129" i="3"/>
  <c r="O129" i="3"/>
  <c r="E138" i="3"/>
  <c r="P129" i="3"/>
  <c r="H125" i="3"/>
  <c r="O125" i="3"/>
  <c r="P125" i="3"/>
  <c r="H134" i="3"/>
  <c r="C152" i="3"/>
  <c r="G75" i="6"/>
  <c r="H138" i="3"/>
  <c r="E137" i="3"/>
  <c r="E134" i="3"/>
  <c r="P126" i="3"/>
  <c r="H135" i="3"/>
  <c r="O126" i="3"/>
  <c r="E135" i="3"/>
  <c r="H124" i="3"/>
  <c r="H127" i="3"/>
  <c r="O127" i="3"/>
  <c r="E136" i="3"/>
  <c r="P124" i="3"/>
  <c r="H133" i="3"/>
  <c r="P127" i="3"/>
  <c r="H136" i="3"/>
  <c r="D152" i="3"/>
  <c r="I75" i="6"/>
  <c r="O129" i="4"/>
  <c r="E138" i="4"/>
  <c r="E64" i="3"/>
  <c r="J18" i="5"/>
  <c r="E64" i="4"/>
  <c r="J27" i="5"/>
  <c r="J36" i="5"/>
  <c r="C64" i="3"/>
  <c r="H18" i="5"/>
  <c r="C64" i="4"/>
  <c r="H27" i="5"/>
  <c r="H36" i="5"/>
  <c r="D64" i="3"/>
  <c r="I18" i="5"/>
  <c r="D64" i="4"/>
  <c r="I27" i="5"/>
  <c r="I36" i="5"/>
  <c r="F135" i="4"/>
  <c r="G135" i="4"/>
  <c r="I133" i="4"/>
  <c r="J133" i="4"/>
  <c r="I134" i="4"/>
  <c r="J134" i="4"/>
  <c r="J157" i="4"/>
  <c r="L104" i="6"/>
  <c r="I135" i="4"/>
  <c r="J135" i="4"/>
  <c r="J158" i="4"/>
  <c r="L105" i="6"/>
  <c r="F134" i="4"/>
  <c r="G134" i="4"/>
  <c r="I136" i="3"/>
  <c r="J136" i="3"/>
  <c r="J159" i="3"/>
  <c r="L83" i="6"/>
  <c r="F136" i="3"/>
  <c r="G136" i="3"/>
  <c r="F135" i="3"/>
  <c r="G135" i="3"/>
  <c r="I136" i="4"/>
  <c r="J136" i="4"/>
  <c r="J159" i="4"/>
  <c r="L106" i="6"/>
  <c r="I133" i="3"/>
  <c r="J133" i="3"/>
  <c r="F136" i="4"/>
  <c r="G136" i="4"/>
  <c r="F137" i="4"/>
  <c r="G137" i="4"/>
  <c r="I137" i="4"/>
  <c r="J137" i="4"/>
  <c r="J160" i="4"/>
  <c r="L107" i="6"/>
  <c r="I135" i="3"/>
  <c r="J135" i="3"/>
  <c r="J158" i="3"/>
  <c r="L82" i="6"/>
  <c r="I134" i="3"/>
  <c r="J134" i="3"/>
  <c r="J157" i="3"/>
  <c r="L81" i="6"/>
  <c r="F137" i="3"/>
  <c r="G137" i="3"/>
  <c r="F134" i="3"/>
  <c r="G134" i="3"/>
  <c r="I137" i="3"/>
  <c r="J137" i="3"/>
  <c r="J160" i="3"/>
  <c r="L84" i="6"/>
  <c r="I138" i="4"/>
  <c r="J138" i="4"/>
  <c r="J161" i="4"/>
  <c r="L108" i="6"/>
  <c r="F138" i="4"/>
  <c r="G138" i="4"/>
  <c r="F138" i="3"/>
  <c r="G138" i="3"/>
  <c r="I138" i="3"/>
  <c r="J138" i="3"/>
  <c r="J161" i="3"/>
  <c r="L85"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Autore sconosciuto</author>
  </authors>
  <commentList>
    <comment ref="B12" authorId="0" shapeId="0" xr:uid="{00000000-0006-0000-0100-000001000000}">
      <text>
        <r>
          <rPr>
            <sz val="11"/>
            <color theme="1"/>
            <rFont val="Calibri"/>
            <family val="2"/>
            <charset val="1"/>
          </rPr>
          <t>lorenzo:
Indicare la grandezza fiscia in uscita dal canale analogico della telemetria.
Es: 
- Easting esce già in Nm, secondo il fondo scala desiderato ed indicato in fase di calibrazione
- KMT esce in tensione e quindi il guadagno va ricercato attraverso la taratura.</t>
        </r>
      </text>
    </comment>
    <comment ref="B13" authorId="0" shapeId="0" xr:uid="{00000000-0006-0000-0100-000002000000}">
      <text>
        <r>
          <rPr>
            <sz val="11"/>
            <color theme="1"/>
            <rFont val="Calibri"/>
            <family val="2"/>
            <charset val="1"/>
          </rPr>
          <t>lorenzo:
indicare la sensibilità di targa del sistema di misura.
Se ignoto si suggerisce il valore unitario ex 1V/V</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Emanuele Viviani</author>
  </authors>
  <commentList>
    <comment ref="L121" authorId="0" shapeId="0" xr:uid="{00000000-0006-0000-0300-000001000000}">
      <text>
        <r>
          <rPr>
            <sz val="11"/>
            <color theme="1"/>
            <rFont val="Calibri"/>
            <family val="2"/>
            <charset val="1"/>
          </rPr>
          <t>Emanuele Viviani:
Differenza della lettura di coppia con UUT tra due salite fatte con orientamento 0°</t>
        </r>
      </text>
    </comment>
    <comment ref="M121" authorId="0" shapeId="0" xr:uid="{00000000-0006-0000-0300-000002000000}">
      <text>
        <r>
          <rPr>
            <sz val="11"/>
            <color theme="1"/>
            <rFont val="Calibri"/>
            <family val="2"/>
            <charset val="1"/>
          </rPr>
          <t>Emanuele Viviani:
Differenza della lettura di coppia con UUT piazzata su banco con diverse posizioni angolari: 0°-90° o 0°-120°-240°
ATTENZIONE: per classe 1% usare almeno 0°-90°</t>
        </r>
      </text>
    </comment>
    <comment ref="N121" authorId="0" shapeId="0" xr:uid="{00000000-0006-0000-0300-000003000000}">
      <text>
        <r>
          <rPr>
            <sz val="11"/>
            <color theme="1"/>
            <rFont val="Calibri"/>
            <family val="2"/>
            <charset val="1"/>
          </rPr>
          <t>Emanuele Viviani:
Emanuele Viviani:
Differenza della lettura di coppia con UUT tra salita e discesa (inversione di gradiente di coppia)</t>
        </r>
      </text>
    </comment>
    <comment ref="N132" authorId="0" shapeId="0" xr:uid="{00000000-0006-0000-0300-000004000000}">
      <text>
        <r>
          <rPr>
            <sz val="11"/>
            <color theme="1"/>
            <rFont val="Calibri"/>
            <family val="2"/>
            <charset val="1"/>
          </rPr>
          <t>Emanuele Viviani:
Incertezza dell'attuatore di coppia</t>
        </r>
      </text>
    </comment>
  </commentList>
</comments>
</file>

<file path=xl/sharedStrings.xml><?xml version="1.0" encoding="utf-8"?>
<sst xmlns="http://schemas.openxmlformats.org/spreadsheetml/2006/main" count="1034" uniqueCount="264">
  <si>
    <t xml:space="preserve">1. Inzializzare parametri in "Istruzioni Uso" e inserire misure nei due riquadri rossi della tabella sottostante </t>
  </si>
  <si>
    <t>Out Zero [V]</t>
  </si>
  <si>
    <t>Out Sens [Nm/V]</t>
  </si>
  <si>
    <t>Href</t>
  </si>
  <si>
    <t>Zero</t>
  </si>
  <si>
    <t>Q</t>
  </si>
  <si>
    <t>Step</t>
  </si>
  <si>
    <t>Carico [N]</t>
  </si>
  <si>
    <t>hm mozzo [mm]</t>
  </si>
  <si>
    <t>hr ref [mm]</t>
  </si>
  <si>
    <t>Laumas [N]</t>
  </si>
  <si>
    <t>Torsiometro [Nm]</t>
  </si>
  <si>
    <t>SG600 [V]</t>
  </si>
  <si>
    <t>Corr</t>
  </si>
  <si>
    <t>SG600 [Nm]</t>
  </si>
  <si>
    <t>Braccio [m]</t>
  </si>
  <si>
    <t>Coppia Laumas [Nm]</t>
  </si>
  <si>
    <t>SG600 reg [V]</t>
  </si>
  <si>
    <t>Errore</t>
  </si>
  <si>
    <t>Errore %</t>
  </si>
  <si>
    <t>Q3</t>
  </si>
  <si>
    <t>Q1</t>
  </si>
  <si>
    <t>m ave [V/Nm]</t>
  </si>
  <si>
    <t>m ave [Nm/V]</t>
  </si>
  <si>
    <t>m</t>
  </si>
  <si>
    <t>q</t>
  </si>
  <si>
    <t>V/Nm</t>
  </si>
  <si>
    <t>Nm/V</t>
  </si>
  <si>
    <t>Q1
Positivo</t>
  </si>
  <si>
    <t>3 Steps
Precarico</t>
  </si>
  <si>
    <t>Precarico 1</t>
  </si>
  <si>
    <t>Precarico 2</t>
  </si>
  <si>
    <t>Precarico 3</t>
  </si>
  <si>
    <t>1a Rampa
a gradini</t>
  </si>
  <si>
    <t>Set Point
0</t>
  </si>
  <si>
    <t>Set Point
1</t>
  </si>
  <si>
    <t>Set Point
2</t>
  </si>
  <si>
    <t>Set Point
3</t>
  </si>
  <si>
    <t>Set Point
4</t>
  </si>
  <si>
    <t>Set Point
5</t>
  </si>
  <si>
    <t>2a Rampa
a gradini</t>
  </si>
  <si>
    <t>Q3
Negativo</t>
  </si>
  <si>
    <t>0. info presente documento</t>
  </si>
  <si>
    <t>Titolo:</t>
  </si>
  <si>
    <t>Esegue il calcolo dell'errore dell'installazione in modo semiautomatico e produce il rapporto di Taratura</t>
  </si>
  <si>
    <t>Rif interno</t>
  </si>
  <si>
    <t>Autore</t>
  </si>
  <si>
    <t>Data</t>
  </si>
  <si>
    <t>Versione</t>
  </si>
  <si>
    <t>Revisore</t>
  </si>
  <si>
    <t>Note</t>
  </si>
  <si>
    <t>L.Mosenich</t>
  </si>
  <si>
    <t>prima versione per automazione processo popolazione dati secondo curva Euramet e stesura Report Taratura</t>
  </si>
  <si>
    <t>D. Salvalaggio</t>
  </si>
  <si>
    <t>revisione</t>
  </si>
  <si>
    <t>Campi da inizializzare</t>
  </si>
  <si>
    <t>1. Inzializzazione parametri acquisitore usato per acquisizione dati taratura</t>
  </si>
  <si>
    <t>Unità ingegneristica di misura</t>
  </si>
  <si>
    <t>Nm</t>
  </si>
  <si>
    <t>variabili</t>
  </si>
  <si>
    <t>Unità ingegneristica UUT</t>
  </si>
  <si>
    <t>N</t>
  </si>
  <si>
    <t>Offset [V]</t>
  </si>
  <si>
    <t>V</t>
  </si>
  <si>
    <t>2. Inzializzazione range di taratura</t>
  </si>
  <si>
    <t>CASO COPPIA SIMMETRICA</t>
  </si>
  <si>
    <t>Quadrante 1
POSITIVO</t>
  </si>
  <si>
    <t>Quadrante 3
NEGATIVO</t>
  </si>
  <si>
    <t>Input values</t>
  </si>
  <si>
    <t>Set points di taratura</t>
  </si>
  <si>
    <t>Set Point 0</t>
  </si>
  <si>
    <t>Set points #</t>
  </si>
  <si>
    <t>Set Point 1</t>
  </si>
  <si>
    <t>Set Point 2</t>
  </si>
  <si>
    <t>Set Point 3</t>
  </si>
  <si>
    <t>Coppia Taratura MAX</t>
  </si>
  <si>
    <t>Set Point 4</t>
  </si>
  <si>
    <t>Coppia Taratura min</t>
  </si>
  <si>
    <t>Set Point 5</t>
  </si>
  <si>
    <t>3. Inserimento dati di taratura acquisiti</t>
  </si>
  <si>
    <t>I dati da inserie qui sotto devono derivare da punti stazionari con gli steps di carico imposti (da inserire nota su cifre significa post TO DO)</t>
  </si>
  <si>
    <t>TO DO: analisi sensibiltà sulla sensitività per espressione cifre significative</t>
  </si>
  <si>
    <t>Rumore dello zero</t>
  </si>
  <si>
    <t>Vpp [mV]</t>
  </si>
  <si>
    <t>Noisepp / FS</t>
  </si>
  <si>
    <t>4. Variabili per il Report di Taratura</t>
  </si>
  <si>
    <t>Data:</t>
  </si>
  <si>
    <t>-</t>
  </si>
  <si>
    <t>Rif interno attività:</t>
  </si>
  <si>
    <t>Cliente:</t>
  </si>
  <si>
    <t>Maserati</t>
  </si>
  <si>
    <t>SN TX:</t>
  </si>
  <si>
    <t>con l'SG600, lo si recupera dal rapporto di calibrazione via SmartApp</t>
  </si>
  <si>
    <t>Descrizione UUT:</t>
  </si>
  <si>
    <t>Semiasse Ant Destro</t>
  </si>
  <si>
    <t>es alebrino assale elettrico</t>
  </si>
  <si>
    <t>Progetto UUT:</t>
  </si>
  <si>
    <t>M189 PVP #30</t>
  </si>
  <si>
    <t>SN UUT:</t>
  </si>
  <si>
    <t>es albero 123456</t>
  </si>
  <si>
    <t>Report di calibrazione TX</t>
  </si>
  <si>
    <t>Generato dalla App SG600 - pubblica i valori di guadagno del trasmettitore</t>
  </si>
  <si>
    <t>Range dello strumento</t>
  </si>
  <si>
    <t>Si intende il Fondo Scala (lineare) massimo raggiungibile dallo strumento</t>
  </si>
  <si>
    <t>1. Range di calibrazione</t>
  </si>
  <si>
    <t>± 500 Nm</t>
  </si>
  <si>
    <t>è il range meccanico fisicamente imposto (peso campione) per calibrare lo strumento. Può essere inferiore al Fondo Scala strumento quando ad esempio si vuole evitare di arrivare alla coppia nominale per evitare danneggiamenti Nota: non pubblicato nel report di calibrazione</t>
  </si>
  <si>
    <t>1. Range di taratura</t>
  </si>
  <si>
    <t>è il range meccanico fisicamente imposto (peso campione) per produrre il report di taratura dello strumento. Può essere inferiore al Fondo Scala strumento quando ad esempio si vuole evitare di arrivare alla coppia nominale per evitare danneggiamenti</t>
  </si>
  <si>
    <t>2. Overshoot ± 25% FS</t>
  </si>
  <si>
    <t>4. Caratteriscica di uscita</t>
  </si>
  <si>
    <t>Offset</t>
  </si>
  <si>
    <t>Sensibilità</t>
  </si>
  <si>
    <t>Inserire i valori caratteristici della UUT impiegati nel sistema di acquisizione</t>
  </si>
  <si>
    <t>Scale</t>
  </si>
  <si>
    <t>Sensitivity</t>
  </si>
  <si>
    <t>4. Riorganizzazione automatica dati ed estrazione Coefficienti Curva Caratteristica</t>
  </si>
  <si>
    <t>4.1 Riorganizzazione dati</t>
  </si>
  <si>
    <t>3 Steps Precarico</t>
  </si>
  <si>
    <t>1a Rampa a gradini</t>
  </si>
  <si>
    <t>2a Rampa a gradini</t>
  </si>
  <si>
    <t>Sequenza (per calcolo Reg Lin)</t>
  </si>
  <si>
    <t>Set Point</t>
  </si>
  <si>
    <t>WBA Out
[V]</t>
  </si>
  <si>
    <t>Calcolo Coeff Curva Caratteristica Parziali</t>
  </si>
  <si>
    <t xml:space="preserve"> Serve per controllare l'influenza dello Zero sempre difficile da mantenere costante</t>
  </si>
  <si>
    <t>Q1 Part R1</t>
  </si>
  <si>
    <t>deviaz</t>
  </si>
  <si>
    <t>Q1 Part R2</t>
  </si>
  <si>
    <t>SetPoint 0-5</t>
  </si>
  <si>
    <t>SetPoint 1-5</t>
  </si>
  <si>
    <t>SetPoint 2-5</t>
  </si>
  <si>
    <t>4.2 Estrazione Coefficienti Curva Caratteristica</t>
  </si>
  <si>
    <t>SetPoint 3-5</t>
  </si>
  <si>
    <t>Coefficienti Curva Caratteristica GLOBALE (ovvero sulle 2 rampe)</t>
  </si>
  <si>
    <t>Lineare</t>
  </si>
  <si>
    <t>(1° ordine)</t>
  </si>
  <si>
    <t>Quadratica</t>
  </si>
  <si>
    <t>H2</t>
  </si>
  <si>
    <t>H1</t>
  </si>
  <si>
    <t>H0</t>
  </si>
  <si>
    <t>(2° oridne)</t>
  </si>
  <si>
    <t>5. Correzione dati per riportare le misure esattamente al valore di Set Point</t>
  </si>
  <si>
    <t>Coeff CC PARZIALE 1o precarico</t>
  </si>
  <si>
    <t xml:space="preserve"> [Nm/V]</t>
  </si>
  <si>
    <t>Correzione Precarico 1</t>
  </si>
  <si>
    <t xml:space="preserve"> [V/Nm]</t>
  </si>
  <si>
    <t>Coeff CC PARZIALE 2o precarico</t>
  </si>
  <si>
    <t>Correzione Precarico 2</t>
  </si>
  <si>
    <t>Coeff CC PARZIALE 3o precarico</t>
  </si>
  <si>
    <t>Correzione Precarico 3</t>
  </si>
  <si>
    <t>Coeff CC PARZIALE 1a Rampa</t>
  </si>
  <si>
    <t>Set Ponts
Target</t>
  </si>
  <si>
    <t>Sig Teorico
Ciclo</t>
  </si>
  <si>
    <t>Sig Teorico
TOT</t>
  </si>
  <si>
    <t>Riferimento</t>
  </si>
  <si>
    <t>Segnale</t>
  </si>
  <si>
    <t>Inter
Vout</t>
  </si>
  <si>
    <t>Err
Vout</t>
  </si>
  <si>
    <t>Corretto</t>
  </si>
  <si>
    <t>Err
rel</t>
  </si>
  <si>
    <t>Inter
Vout TOT</t>
  </si>
  <si>
    <t>Err
Vout TOT</t>
  </si>
  <si>
    <t>Corretto
TOT</t>
  </si>
  <si>
    <t>Coeff CC PARZIALE 2a Rampa</t>
  </si>
  <si>
    <t>2a rampa</t>
  </si>
  <si>
    <t>Teorico</t>
  </si>
  <si>
    <t>Sig Teorico Ciclo</t>
  </si>
  <si>
    <t>Sig Teorico TOT</t>
  </si>
  <si>
    <t>Inter Vout</t>
  </si>
  <si>
    <t>Err Vout</t>
  </si>
  <si>
    <t>Err rel</t>
  </si>
  <si>
    <t>Inter Vout TOT</t>
  </si>
  <si>
    <t>Err Vout TOT</t>
  </si>
  <si>
    <t>Corretto TOT</t>
  </si>
  <si>
    <t>6. Calcolo secondo Euramet s1s2</t>
  </si>
  <si>
    <t>Q1 Euramet</t>
  </si>
  <si>
    <t>6.1 Corretto (che cosa intenti Emanuele?)</t>
  </si>
  <si>
    <t>Momento</t>
  </si>
  <si>
    <t>0°</t>
  </si>
  <si>
    <t>Salita 1</t>
  </si>
  <si>
    <t>Discesa 3</t>
  </si>
  <si>
    <t>Salita 2</t>
  </si>
  <si>
    <t>Interpolato
2° ordine</t>
  </si>
  <si>
    <t>Interpolato
1° ordine</t>
  </si>
  <si>
    <t>X
medio</t>
  </si>
  <si>
    <t>b'
Ripetibilità</t>
  </si>
  <si>
    <t>b
Riproducibilità</t>
  </si>
  <si>
    <t>h
reversibilità</t>
  </si>
  <si>
    <t>fa
1° ordine</t>
  </si>
  <si>
    <t>fa
2° ordine</t>
  </si>
  <si>
    <t>Precarico</t>
  </si>
  <si>
    <t>Crescente</t>
  </si>
  <si>
    <t>Decrescente</t>
  </si>
  <si>
    <t>Set Point
#</t>
  </si>
  <si>
    <t xml:space="preserve"> [Nm]</t>
  </si>
  <si>
    <t>[V]</t>
  </si>
  <si>
    <t>1a rampa</t>
  </si>
  <si>
    <t>x</t>
  </si>
  <si>
    <t>6.2 w(X) incertezza (funziona quando vi sono presenti i valori per la curva di discesa)</t>
  </si>
  <si>
    <t>Coppia</t>
  </si>
  <si>
    <t>wb'</t>
  </si>
  <si>
    <t>wb</t>
  </si>
  <si>
    <t>wr</t>
  </si>
  <si>
    <t>w fa 1°</t>
  </si>
  <si>
    <t>w(X)</t>
  </si>
  <si>
    <t>W(X)=2*w</t>
  </si>
  <si>
    <t>w fa 2°</t>
  </si>
  <si>
    <t>7. Impaginazione report</t>
  </si>
  <si>
    <t>Variabile dipendente Coppia Meccanica; Variabile indipendente Vout strumento</t>
  </si>
  <si>
    <t>Momento applicato → M = a*X2 + b*X</t>
  </si>
  <si>
    <t>a [Nm/mV2]</t>
  </si>
  <si>
    <t>b [Nm/mV]</t>
  </si>
  <si>
    <t>1° ordine</t>
  </si>
  <si>
    <t>2° ordine</t>
  </si>
  <si>
    <t>Variabile dipendente Vout strumento; Variabile indipendente Coppia Meccanica</t>
  </si>
  <si>
    <t>Misura elettrica → X = d*M2 + e*M</t>
  </si>
  <si>
    <t>d [mV/Nm2]</t>
  </si>
  <si>
    <t>e [mV/Nm]</t>
  </si>
  <si>
    <t>Valori numerici di taratura</t>
  </si>
  <si>
    <t>Incertezza %</t>
  </si>
  <si>
    <t>mV</t>
  </si>
  <si>
    <t>8. Incertezza su coefficineti globali Q1+Q3</t>
  </si>
  <si>
    <t>Q1+Q3 Euramet</t>
  </si>
  <si>
    <t>8.1 Corretto (che cosa intenti Emanuele?)</t>
  </si>
  <si>
    <t>8.2 w(X) incertezza (funziona quando vi sono presenti i valori per la curva di discesa)</t>
  </si>
  <si>
    <t>3.  Incertezza stimata con coefficienti punto 1. 1o QUADRANTE (Coppia Positiva)</t>
  </si>
  <si>
    <t>Q3 Part R1</t>
  </si>
  <si>
    <t>Q3 Part R2</t>
  </si>
  <si>
    <t>Q3 Euramet</t>
  </si>
  <si>
    <t>3.  Incertezza stimata con coefficienti punto 1. 3o QUADRANTE (Coppia Negativa)</t>
  </si>
  <si>
    <t>Riporto dati misurati</t>
  </si>
  <si>
    <t>WBA 2.0 [Nm]</t>
  </si>
  <si>
    <t>WBA Out [V]</t>
  </si>
  <si>
    <t>Q1+Q3</t>
  </si>
  <si>
    <t>CANCELLAMI quando non servo più</t>
  </si>
  <si>
    <t>Q1
POSITIVO</t>
  </si>
  <si>
    <t>ferrar</t>
  </si>
  <si>
    <t>mas</t>
  </si>
  <si>
    <t>ferr 2nd</t>
  </si>
  <si>
    <t>post</t>
  </si>
  <si>
    <t>neg</t>
  </si>
  <si>
    <t>Valori scelti per Q1+Q3</t>
  </si>
  <si>
    <t>errore rel</t>
  </si>
  <si>
    <t>Q3
NEGATIVO</t>
  </si>
  <si>
    <t>MEDIA</t>
  </si>
  <si>
    <t>Easting Electronics srl</t>
  </si>
  <si>
    <t>p.IVA/CF 01325430328</t>
  </si>
  <si>
    <t xml:space="preserve">Loc. Santa Barbara 32/A, 34015 Muggia (TS) </t>
  </si>
  <si>
    <t>T +39 040 9778167</t>
  </si>
  <si>
    <t>www.eastingelectronics.com</t>
  </si>
  <si>
    <t>Note UUT:</t>
  </si>
  <si>
    <t>Report di calibrazione:</t>
  </si>
  <si>
    <t>Seriale trasmettitore</t>
  </si>
  <si>
    <t>NOTA: fose vale la pena di pubblicare questa come sensibilità ovvero la sensibilità totale calcolata su Q1 e Q3</t>
  </si>
  <si>
    <t>Parametri di calibrazione</t>
  </si>
  <si>
    <t>1. Caratteristica di uscita</t>
  </si>
  <si>
    <t>2. Range dello strumento FS</t>
  </si>
  <si>
    <t>4.  Incertezza stimata con coefficienti punto 1. 3o QUADRANTE (Coppia Negativa)</t>
  </si>
  <si>
    <t>Rapporto di taratura</t>
  </si>
  <si>
    <t>4. Coefficienti delle curve di interpolazione 1o QUADRANTE (Coppia Positiva)</t>
  </si>
  <si>
    <t>5. Report 1o QUADRANTE (Coppia Positiva)</t>
  </si>
  <si>
    <t>6. Coefficienti delle curve di interpolazione 3o QUADRANTE (Coppia Negativa)</t>
  </si>
  <si>
    <t>7. Report 3o QUADRANTE (Coppia Negativa)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</si>
</sst>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F800]dddd&quot;, &quot;mmmm\ dd&quot;, &quot;yyyy"/>
    <numFmt numFmtId="165" formatCode="0.0000"/>
    <numFmt numFmtId="166" formatCode="0.000"/>
    <numFmt numFmtId="167" formatCode="0.000000"/>
    <numFmt numFmtId="168" formatCode="0.000000E+00"/>
    <numFmt numFmtId="169" formatCode="0.00000"/>
    <numFmt numFmtId="170" formatCode="0.0000000"/>
    <numFmt numFmtId="171" formatCode="0.0"/>
    <numFmt numFmtId="172" formatCode="0.000%"/>
    <numFmt numFmtId="173" formatCode="0.0000E+00"/>
    <numFmt numFmtId="174" formatCode="m/d/yyyy"/>
  </numFmts>
  <fonts count="68">
    <font>
      <sz val="11"/>
      <color theme="1"/>
      <name val="Calibri"/>
      <family val="2"/>
      <charset val="1"/>
    </font>
    <font>
      <sz val="10"/>
      <color theme="1"/>
      <name val="Calibri Light"/>
      <family val="2"/>
      <charset val="1"/>
    </font>
    <font>
      <b/>
      <i/>
      <sz val="16"/>
      <color theme="1"/>
      <name val="Calibri"/>
      <family val="2"/>
      <charset val="1"/>
    </font>
    <font>
      <b/>
      <i/>
      <sz val="11"/>
      <color theme="1" tint="0.3498947111423078"/>
      <name val="Calibri"/>
      <family val="2"/>
      <charset val="1"/>
    </font>
    <font>
      <sz val="11"/>
      <color theme="1" tint="0.49989318521683401"/>
      <name val="Calibri"/>
      <family val="2"/>
      <charset val="1"/>
    </font>
    <font>
      <sz val="11"/>
      <color rgb="FF3F3F76"/>
      <name val="Calibri"/>
      <family val="2"/>
      <charset val="1"/>
    </font>
    <font>
      <sz val="11"/>
      <color theme="0" tint="-4.9989318521683403E-2"/>
      <name val="Calibri"/>
      <family val="2"/>
      <charset val="1"/>
    </font>
    <font>
      <b/>
      <sz val="12"/>
      <color rgb="FF0070C0"/>
      <name val="Calibri"/>
      <family val="2"/>
      <charset val="1"/>
    </font>
    <font>
      <b/>
      <sz val="12"/>
      <color rgb="FFFF3300"/>
      <name val="Calibri"/>
      <family val="2"/>
      <charset val="1"/>
    </font>
    <font>
      <b/>
      <i/>
      <sz val="11"/>
      <color theme="1"/>
      <name val="Calibri"/>
      <family val="2"/>
      <charset val="1"/>
    </font>
    <font>
      <b/>
      <sz val="11"/>
      <color rgb="FFFF0000"/>
      <name val="Calibri"/>
      <family val="2"/>
      <charset val="1"/>
    </font>
    <font>
      <b/>
      <sz val="48"/>
      <color theme="4" tint="-0.249977111117893"/>
      <name val="Calibri"/>
      <family val="2"/>
      <charset val="1"/>
    </font>
    <font>
      <b/>
      <sz val="16"/>
      <color theme="4" tint="-0.499984740745262"/>
      <name val="Calibri"/>
      <family val="2"/>
      <charset val="1"/>
    </font>
    <font>
      <b/>
      <sz val="14"/>
      <color theme="4" tint="-0.499984740745262"/>
      <name val="Calibri"/>
      <family val="2"/>
      <charset val="1"/>
    </font>
    <font>
      <i/>
      <sz val="11"/>
      <color theme="1"/>
      <name val="Calibri"/>
      <family val="2"/>
      <charset val="1"/>
    </font>
    <font>
      <sz val="11"/>
      <color rgb="FF006100"/>
      <name val="Calibri"/>
      <family val="2"/>
      <charset val="1"/>
    </font>
    <font>
      <b/>
      <sz val="48"/>
      <color rgb="FFFF3300"/>
      <name val="Calibri"/>
      <family val="2"/>
      <charset val="1"/>
    </font>
    <font>
      <sz val="12"/>
      <color theme="1"/>
      <name val="Calibri"/>
      <family val="2"/>
      <charset val="1"/>
    </font>
    <font>
      <b/>
      <sz val="11"/>
      <color theme="1"/>
      <name val="Calibri"/>
      <family val="2"/>
      <charset val="1"/>
    </font>
    <font>
      <strike/>
      <sz val="12"/>
      <color theme="1"/>
      <name val="Calibri"/>
      <family val="2"/>
      <charset val="1"/>
    </font>
    <font>
      <strike/>
      <sz val="11"/>
      <color rgb="FF3F3F76"/>
      <name val="Calibri"/>
      <family val="2"/>
      <charset val="1"/>
    </font>
    <font>
      <sz val="11"/>
      <color theme="1"/>
      <name val="Calibri Light"/>
      <family val="2"/>
      <charset val="1"/>
    </font>
    <font>
      <i/>
      <sz val="10"/>
      <color theme="1"/>
      <name val="Calibri"/>
      <family val="2"/>
      <charset val="1"/>
    </font>
    <font>
      <b/>
      <sz val="20"/>
      <color theme="1"/>
      <name val="Calibri"/>
      <family val="2"/>
      <charset val="1"/>
    </font>
    <font>
      <b/>
      <i/>
      <sz val="14"/>
      <color theme="1"/>
      <name val="Calibri"/>
      <family val="2"/>
      <charset val="1"/>
    </font>
    <font>
      <b/>
      <sz val="18"/>
      <color theme="3"/>
      <name val="Calibri"/>
      <family val="2"/>
      <charset val="1"/>
    </font>
    <font>
      <b/>
      <sz val="15"/>
      <color theme="3"/>
      <name val="Calibri"/>
      <family val="2"/>
      <charset val="1"/>
    </font>
    <font>
      <b/>
      <sz val="11"/>
      <color theme="3"/>
      <name val="Calibri"/>
      <family val="2"/>
      <charset val="1"/>
    </font>
    <font>
      <b/>
      <sz val="11"/>
      <color rgb="FFFA7D00"/>
      <name val="Calibri"/>
      <family val="2"/>
      <charset val="1"/>
    </font>
    <font>
      <i/>
      <sz val="14"/>
      <color theme="1"/>
      <name val="Calibri"/>
      <family val="2"/>
      <charset val="1"/>
    </font>
    <font>
      <b/>
      <sz val="12"/>
      <color theme="3"/>
      <name val="Calibri"/>
      <family val="2"/>
      <charset val="1"/>
    </font>
    <font>
      <sz val="12"/>
      <color rgb="FF006100"/>
      <name val="Calibri"/>
      <family val="2"/>
      <charset val="1"/>
    </font>
    <font>
      <b/>
      <sz val="11"/>
      <color rgb="FF006100"/>
      <name val="Calibri"/>
      <family val="2"/>
      <charset val="1"/>
    </font>
    <font>
      <sz val="14"/>
      <color rgb="FF006100"/>
      <name val="Calibri"/>
      <family val="2"/>
      <charset val="1"/>
    </font>
    <font>
      <b/>
      <sz val="11"/>
      <color theme="7" tint="-0.249977111117893"/>
      <name val="Calibri"/>
      <family val="2"/>
      <charset val="1"/>
    </font>
    <font>
      <sz val="11"/>
      <color theme="7" tint="-0.249977111117893"/>
      <name val="Calibri"/>
      <family val="2"/>
      <charset val="1"/>
    </font>
    <font>
      <strike/>
      <sz val="11"/>
      <color theme="1"/>
      <name val="Calibri"/>
      <family val="2"/>
      <charset val="1"/>
    </font>
    <font>
      <b/>
      <sz val="14"/>
      <color theme="1"/>
      <name val="Calibri"/>
      <family val="2"/>
      <charset val="1"/>
    </font>
    <font>
      <sz val="12"/>
      <color theme="1"/>
      <name val="Calibri Light"/>
      <family val="2"/>
      <charset val="1"/>
    </font>
    <font>
      <b/>
      <sz val="10"/>
      <color theme="1"/>
      <name val="Calibri Light"/>
      <family val="2"/>
      <charset val="1"/>
    </font>
    <font>
      <sz val="11"/>
      <color theme="9" tint="-0.499984740745262"/>
      <name val="Calibri"/>
      <family val="2"/>
      <charset val="1"/>
    </font>
    <font>
      <sz val="10"/>
      <color rgb="FF000000"/>
      <name val="Calibri Light"/>
      <family val="2"/>
      <charset val="1"/>
    </font>
    <font>
      <sz val="16"/>
      <color theme="9" tint="-0.249977111117893"/>
      <name val="Calibri"/>
      <family val="2"/>
      <charset val="1"/>
    </font>
    <font>
      <sz val="11"/>
      <color theme="9" tint="0.39988402966399123"/>
      <name val="Calibri"/>
      <family val="2"/>
      <charset val="1"/>
    </font>
    <font>
      <b/>
      <sz val="14"/>
      <color rgb="FF0070C0"/>
      <name val="Calibri"/>
      <family val="2"/>
      <charset val="1"/>
    </font>
    <font>
      <sz val="16"/>
      <color rgb="FF0070C0"/>
      <name val="Calibri"/>
      <family val="2"/>
      <charset val="1"/>
    </font>
    <font>
      <sz val="11"/>
      <color rgb="FFFF3300"/>
      <name val="Calibri"/>
      <family val="2"/>
      <charset val="1"/>
    </font>
    <font>
      <b/>
      <sz val="14"/>
      <color rgb="FFFF3300"/>
      <name val="Calibri"/>
      <family val="2"/>
      <charset val="1"/>
    </font>
    <font>
      <sz val="16"/>
      <color rgb="FFFF3300"/>
      <name val="Calibri"/>
      <family val="2"/>
      <charset val="1"/>
    </font>
    <font>
      <sz val="7"/>
      <color rgb="FF808080"/>
      <name val="Calibri Light"/>
      <family val="2"/>
      <charset val="1"/>
    </font>
    <font>
      <u/>
      <sz val="7"/>
      <color theme="10"/>
      <name val="Calibri"/>
      <family val="2"/>
      <charset val="1"/>
    </font>
    <font>
      <u/>
      <sz val="11"/>
      <color theme="10"/>
      <name val="Calibri"/>
      <family val="2"/>
      <charset val="1"/>
    </font>
    <font>
      <b/>
      <sz val="18"/>
      <color rgb="FF2C6EAB"/>
      <name val="Calibri Light"/>
      <family val="2"/>
      <charset val="1"/>
    </font>
    <font>
      <sz val="9"/>
      <color theme="1"/>
      <name val="Calibri"/>
      <family val="2"/>
      <charset val="1"/>
    </font>
    <font>
      <i/>
      <sz val="14"/>
      <color rgb="FF2C6EAB"/>
      <name val="Calibri Light"/>
      <family val="2"/>
      <charset val="1"/>
    </font>
    <font>
      <sz val="11"/>
      <color theme="1"/>
      <name val="Calibri"/>
      <family val="2"/>
      <charset val="1"/>
    </font>
    <font>
      <b/>
      <sz val="11"/>
      <color rgb="FF3F3F3F"/>
      <name val="Calibri"/>
      <family val="2"/>
      <scheme val="minor"/>
    </font>
    <font>
      <sz val="10"/>
      <color theme="1"/>
      <name val="Liberation Sans"/>
      <family val="2"/>
    </font>
    <font>
      <sz val="11"/>
      <color rgb="FF3F3F76"/>
      <name val="Calibri"/>
      <family val="2"/>
    </font>
    <font>
      <sz val="11"/>
      <color rgb="FF000000"/>
      <name val="Calibri"/>
      <family val="2"/>
    </font>
    <font>
      <sz val="20"/>
      <color rgb="FFC9211E"/>
      <name val="Liberation Sans"/>
      <family val="2"/>
    </font>
    <font>
      <sz val="20"/>
      <color rgb="FF2A6099"/>
      <name val="Liberation Sans"/>
      <family val="2"/>
    </font>
    <font>
      <sz val="11"/>
      <color rgb="FF006100"/>
      <name val="Calibri"/>
      <family val="2"/>
    </font>
    <font>
      <sz val="16"/>
      <name val="Calibri"/>
      <family val="2"/>
      <charset val="1"/>
    </font>
    <font>
      <u/>
      <sz val="11"/>
      <color theme="1"/>
      <name val="Calibri"/>
      <family val="2"/>
      <charset val="1"/>
    </font>
    <font>
      <sz val="10"/>
      <color theme="1"/>
      <name val="Calibri Light"/>
      <family val="2"/>
    </font>
    <font>
      <b/>
      <sz val="16"/>
      <name val="Calibri"/>
      <family val="2"/>
      <charset val="1"/>
    </font>
    <font>
      <b/>
      <sz val="10"/>
      <color theme="1"/>
      <name val="Liberation Sans"/>
      <family val="2"/>
    </font>
  </fonts>
  <fills count="39">
    <fill>
      <patternFill patternType="none"/>
    </fill>
    <fill>
      <patternFill patternType="gray125"/>
    </fill>
    <fill>
      <patternFill patternType="solid">
        <fgColor rgb="FFFFCC99"/>
        <bgColor rgb="FFFCBABF"/>
      </patternFill>
    </fill>
    <fill>
      <patternFill patternType="solid">
        <fgColor rgb="FFC6EFCE"/>
        <bgColor rgb="FFE2F0D9"/>
      </patternFill>
    </fill>
    <fill>
      <patternFill patternType="solid">
        <fgColor rgb="FFF2F2F2"/>
        <bgColor rgb="FFE2F0D9"/>
      </patternFill>
    </fill>
    <fill>
      <patternFill patternType="solid">
        <fgColor theme="0" tint="-0.14999847407452621"/>
        <bgColor rgb="FFD0CECE"/>
      </patternFill>
    </fill>
    <fill>
      <patternFill patternType="solid">
        <fgColor rgb="FFFFFF00"/>
        <bgColor rgb="FFFFE699"/>
      </patternFill>
    </fill>
    <fill>
      <patternFill patternType="solid">
        <fgColor theme="4" tint="0.39988402966399123"/>
        <bgColor rgb="FFBFBFBF"/>
      </patternFill>
    </fill>
    <fill>
      <patternFill patternType="solid">
        <fgColor rgb="FFFCBABF"/>
        <bgColor rgb="FFFFCC99"/>
      </patternFill>
    </fill>
    <fill>
      <patternFill patternType="solid">
        <fgColor theme="4" tint="0.79989013336588644"/>
        <bgColor rgb="FFDAE3F3"/>
      </patternFill>
    </fill>
    <fill>
      <patternFill patternType="solid">
        <fgColor rgb="FFFDD7DA"/>
        <bgColor rgb="FFD9D9D9"/>
      </patternFill>
    </fill>
    <fill>
      <patternFill patternType="solid">
        <fgColor theme="4" tint="0.59987182226020086"/>
        <bgColor rgb="FFD0CECE"/>
      </patternFill>
    </fill>
    <fill>
      <patternFill patternType="solid">
        <fgColor theme="0" tint="-0.249977111117893"/>
        <bgColor rgb="FFD0CECE"/>
      </patternFill>
    </fill>
    <fill>
      <patternFill patternType="solid">
        <fgColor theme="7" tint="0.59987182226020086"/>
        <bgColor rgb="FFFFF2CC"/>
      </patternFill>
    </fill>
    <fill>
      <patternFill patternType="solid">
        <fgColor theme="7" tint="0.79989013336588644"/>
        <bgColor rgb="FFF2F2F2"/>
      </patternFill>
    </fill>
    <fill>
      <patternFill patternType="solid">
        <fgColor theme="9" tint="0.79989013336588644"/>
        <bgColor rgb="FFDEEBF7"/>
      </patternFill>
    </fill>
    <fill>
      <patternFill patternType="solid">
        <fgColor theme="9" tint="0.39988402966399123"/>
        <bgColor rgb="FFBFBFBF"/>
      </patternFill>
    </fill>
    <fill>
      <patternFill patternType="solid">
        <fgColor rgb="FF66FF33"/>
        <bgColor rgb="FFA9D18E"/>
      </patternFill>
    </fill>
    <fill>
      <patternFill patternType="solid">
        <fgColor theme="8" tint="0.79989013336588644"/>
        <bgColor rgb="FFDEEBF7"/>
      </patternFill>
    </fill>
    <fill>
      <patternFill patternType="solid">
        <fgColor rgb="FFD0CECE"/>
        <bgColor rgb="FFD9D9D9"/>
      </patternFill>
    </fill>
    <fill>
      <patternFill patternType="solid">
        <fgColor rgb="FFFFFFFF"/>
        <bgColor rgb="FFF2F2F2"/>
      </patternFill>
    </fill>
    <fill>
      <patternFill patternType="solid">
        <fgColor rgb="FFF2F2F2"/>
      </patternFill>
    </fill>
    <fill>
      <patternFill patternType="solid">
        <fgColor rgb="FFFFD7D7"/>
        <bgColor rgb="FFFFD7D7"/>
      </patternFill>
    </fill>
    <fill>
      <patternFill patternType="solid">
        <fgColor rgb="FFFFCC99"/>
        <bgColor rgb="FFFFCC99"/>
      </patternFill>
    </fill>
    <fill>
      <patternFill patternType="solid">
        <fgColor rgb="FFE8F2A1"/>
        <bgColor rgb="FFE8F2A1"/>
      </patternFill>
    </fill>
    <fill>
      <patternFill patternType="solid">
        <fgColor rgb="FFDEE6EF"/>
        <bgColor rgb="FFDEE6EF"/>
      </patternFill>
    </fill>
    <fill>
      <patternFill patternType="solid">
        <fgColor rgb="FFC6EFCE"/>
        <bgColor rgb="FFC6EFCE"/>
      </patternFill>
    </fill>
    <fill>
      <patternFill patternType="solid">
        <fgColor theme="4" tint="0.59999389629810485"/>
        <bgColor indexed="64"/>
      </patternFill>
    </fill>
    <fill>
      <patternFill patternType="solid">
        <fgColor theme="7" tint="0.59999389629810485"/>
        <bgColor indexed="64"/>
      </patternFill>
    </fill>
    <fill>
      <patternFill patternType="solid">
        <fgColor theme="6" tint="0.39997558519241921"/>
        <bgColor rgb="FFFFCC99"/>
      </patternFill>
    </fill>
    <fill>
      <patternFill patternType="solid">
        <fgColor theme="6" tint="0.59999389629810485"/>
        <bgColor rgb="FFD9D9D9"/>
      </patternFill>
    </fill>
    <fill>
      <patternFill patternType="solid">
        <fgColor theme="0" tint="-0.34998626667073579"/>
        <bgColor rgb="FFFFCC99"/>
      </patternFill>
    </fill>
    <fill>
      <patternFill patternType="solid">
        <fgColor theme="0" tint="-0.14999847407452621"/>
        <bgColor indexed="64"/>
      </patternFill>
    </fill>
    <fill>
      <patternFill patternType="solid">
        <fgColor theme="5" tint="0.39997558519241921"/>
        <bgColor rgb="FFBFBFBF"/>
      </patternFill>
    </fill>
    <fill>
      <patternFill patternType="solid">
        <fgColor theme="5" tint="0.59999389629810485"/>
        <bgColor rgb="FFD9D9D9"/>
      </patternFill>
    </fill>
    <fill>
      <patternFill patternType="solid">
        <fgColor theme="5" tint="0.59999389629810485"/>
        <bgColor indexed="64"/>
      </patternFill>
    </fill>
    <fill>
      <patternFill patternType="solid">
        <fgColor theme="5" tint="0.59999389629810485"/>
        <bgColor rgb="FFDEEBF7"/>
      </patternFill>
    </fill>
    <fill>
      <patternFill patternType="solid">
        <fgColor rgb="FFFFC000"/>
        <bgColor rgb="FFD0CECE"/>
      </patternFill>
    </fill>
    <fill>
      <patternFill patternType="solid">
        <fgColor rgb="FFFFC000"/>
        <bgColor indexed="64"/>
      </patternFill>
    </fill>
  </fills>
  <borders count="175">
    <border>
      <left/>
      <right/>
      <top/>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theme="4" tint="-0.249977111117893"/>
      </left>
      <right style="medium">
        <color theme="4" tint="-0.249977111117893"/>
      </right>
      <top style="medium">
        <color theme="4" tint="-0.249977111117893"/>
      </top>
      <bottom/>
      <diagonal/>
    </border>
    <border>
      <left style="medium">
        <color rgb="FFFF3300"/>
      </left>
      <right style="medium">
        <color rgb="FFFF3300"/>
      </right>
      <top style="medium">
        <color rgb="FFFF3300"/>
      </top>
      <bottom/>
      <diagonal/>
    </border>
    <border>
      <left style="medium">
        <color theme="4" tint="-0.249977111117893"/>
      </left>
      <right style="medium">
        <color theme="4" tint="-0.249977111117893"/>
      </right>
      <top/>
      <bottom/>
      <diagonal/>
    </border>
    <border>
      <left style="medium">
        <color rgb="FFFF3300"/>
      </left>
      <right style="medium">
        <color rgb="FFFF3300"/>
      </right>
      <top/>
      <bottom/>
      <diagonal/>
    </border>
    <border>
      <left style="medium">
        <color theme="4" tint="-0.249977111117893"/>
      </left>
      <right/>
      <top/>
      <bottom/>
      <diagonal/>
    </border>
    <border>
      <left/>
      <right style="medium">
        <color theme="4" tint="-0.249977111117893"/>
      </right>
      <top/>
      <bottom/>
      <diagonal/>
    </border>
    <border>
      <left style="medium">
        <color rgb="FFFF3300"/>
      </left>
      <right/>
      <top/>
      <bottom/>
      <diagonal/>
    </border>
    <border>
      <left/>
      <right style="medium">
        <color rgb="FFFF3300"/>
      </right>
      <top/>
      <bottom/>
      <diagonal/>
    </border>
    <border>
      <left style="medium">
        <color theme="4" tint="-0.249977111117893"/>
      </left>
      <right/>
      <top/>
      <bottom style="medium">
        <color theme="4" tint="-0.249977111117893"/>
      </bottom>
      <diagonal/>
    </border>
    <border>
      <left/>
      <right style="medium">
        <color theme="4" tint="-0.249977111117893"/>
      </right>
      <top/>
      <bottom style="medium">
        <color theme="4" tint="-0.249977111117893"/>
      </bottom>
      <diagonal/>
    </border>
    <border>
      <left style="medium">
        <color rgb="FFFF3300"/>
      </left>
      <right/>
      <top/>
      <bottom style="medium">
        <color rgb="FFFF3300"/>
      </bottom>
      <diagonal/>
    </border>
    <border>
      <left/>
      <right style="medium">
        <color rgb="FFFF3300"/>
      </right>
      <top/>
      <bottom style="medium">
        <color rgb="FFFF3300"/>
      </bottom>
      <diagonal/>
    </border>
    <border>
      <left style="medium">
        <color rgb="FF0070C0"/>
      </left>
      <right/>
      <top style="medium">
        <color rgb="FF0070C0"/>
      </top>
      <bottom style="double">
        <color auto="1"/>
      </bottom>
      <diagonal/>
    </border>
    <border>
      <left style="thin">
        <color auto="1"/>
      </left>
      <right/>
      <top style="medium">
        <color rgb="FF0070C0"/>
      </top>
      <bottom/>
      <diagonal/>
    </border>
    <border>
      <left style="thin">
        <color auto="1"/>
      </left>
      <right style="thin">
        <color auto="1"/>
      </right>
      <top style="medium">
        <color rgb="FF0070C0"/>
      </top>
      <bottom/>
      <diagonal/>
    </border>
    <border>
      <left/>
      <right style="medium">
        <color rgb="FF0070C0"/>
      </right>
      <top style="medium">
        <color rgb="FF0070C0"/>
      </top>
      <bottom/>
      <diagonal/>
    </border>
    <border>
      <left style="thin">
        <color auto="1"/>
      </left>
      <right/>
      <top/>
      <bottom style="double">
        <color auto="1"/>
      </bottom>
      <diagonal/>
    </border>
    <border>
      <left style="thin">
        <color auto="1"/>
      </left>
      <right style="medium">
        <color rgb="FF0070C0"/>
      </right>
      <top/>
      <bottom style="double">
        <color auto="1"/>
      </bottom>
      <diagonal/>
    </border>
    <border>
      <left style="medium">
        <color rgb="FF0070C0"/>
      </left>
      <right/>
      <top/>
      <bottom/>
      <diagonal/>
    </border>
    <border>
      <left style="thin">
        <color auto="1"/>
      </left>
      <right/>
      <top/>
      <bottom/>
      <diagonal/>
    </border>
    <border>
      <left style="thin">
        <color auto="1"/>
      </left>
      <right style="medium">
        <color rgb="FF0070C0"/>
      </right>
      <top style="double">
        <color auto="1"/>
      </top>
      <bottom/>
      <diagonal/>
    </border>
    <border>
      <left style="medium">
        <color rgb="FF0070C0"/>
      </left>
      <right/>
      <top/>
      <bottom style="medium">
        <color rgb="FF0070C0"/>
      </bottom>
      <diagonal/>
    </border>
    <border>
      <left style="thin">
        <color auto="1"/>
      </left>
      <right/>
      <top/>
      <bottom style="medium">
        <color rgb="FF0070C0"/>
      </bottom>
      <diagonal/>
    </border>
    <border>
      <left style="thin">
        <color auto="1"/>
      </left>
      <right style="thin">
        <color auto="1"/>
      </right>
      <top/>
      <bottom style="medium">
        <color rgb="FF0070C0"/>
      </bottom>
      <diagonal/>
    </border>
    <border>
      <left/>
      <right/>
      <top/>
      <bottom style="medium">
        <color rgb="FF0070C0"/>
      </bottom>
      <diagonal/>
    </border>
    <border>
      <left style="thin">
        <color auto="1"/>
      </left>
      <right style="medium">
        <color rgb="FF0070C0"/>
      </right>
      <top/>
      <bottom style="medium">
        <color rgb="FF0070C0"/>
      </bottom>
      <diagonal/>
    </border>
    <border>
      <left/>
      <right/>
      <top style="medium">
        <color rgb="FF0070C0"/>
      </top>
      <bottom style="medium">
        <color rgb="FF0070C0"/>
      </bottom>
      <diagonal/>
    </border>
    <border>
      <left style="medium">
        <color rgb="FF0070C0"/>
      </left>
      <right/>
      <top/>
      <bottom style="double">
        <color auto="1"/>
      </bottom>
      <diagonal/>
    </border>
    <border>
      <left/>
      <right/>
      <top style="medium">
        <color rgb="FF0070C0"/>
      </top>
      <bottom style="double">
        <color auto="1"/>
      </bottom>
      <diagonal/>
    </border>
    <border>
      <left style="thin">
        <color auto="1"/>
      </left>
      <right style="thin">
        <color auto="1"/>
      </right>
      <top style="medium">
        <color rgb="FF0070C0"/>
      </top>
      <bottom style="double">
        <color auto="1"/>
      </bottom>
      <diagonal/>
    </border>
    <border>
      <left style="thin">
        <color auto="1"/>
      </left>
      <right style="medium">
        <color rgb="FF0070C0"/>
      </right>
      <top style="medium">
        <color rgb="FF0070C0"/>
      </top>
      <bottom style="double">
        <color auto="1"/>
      </bottom>
      <diagonal/>
    </border>
    <border>
      <left style="medium">
        <color rgb="FFFF3300"/>
      </left>
      <right/>
      <top style="medium">
        <color rgb="FFFF3300"/>
      </top>
      <bottom style="double">
        <color auto="1"/>
      </bottom>
      <diagonal/>
    </border>
    <border>
      <left style="thin">
        <color auto="1"/>
      </left>
      <right/>
      <top style="medium">
        <color rgb="FFFF3300"/>
      </top>
      <bottom/>
      <diagonal/>
    </border>
    <border>
      <left style="thin">
        <color auto="1"/>
      </left>
      <right style="thin">
        <color auto="1"/>
      </right>
      <top style="medium">
        <color rgb="FFFF3300"/>
      </top>
      <bottom/>
      <diagonal/>
    </border>
    <border>
      <left/>
      <right style="medium">
        <color rgb="FFFF3300"/>
      </right>
      <top style="medium">
        <color rgb="FFFF3300"/>
      </top>
      <bottom/>
      <diagonal/>
    </border>
    <border>
      <left style="thin">
        <color auto="1"/>
      </left>
      <right style="thin">
        <color auto="1"/>
      </right>
      <top/>
      <bottom style="double">
        <color auto="1"/>
      </bottom>
      <diagonal/>
    </border>
    <border>
      <left/>
      <right/>
      <top/>
      <bottom style="double">
        <color auto="1"/>
      </bottom>
      <diagonal/>
    </border>
    <border>
      <left style="thin">
        <color auto="1"/>
      </left>
      <right style="medium">
        <color rgb="FFFF3300"/>
      </right>
      <top/>
      <bottom style="double">
        <color auto="1"/>
      </bottom>
      <diagonal/>
    </border>
    <border>
      <left style="thin">
        <color auto="1"/>
      </left>
      <right style="medium">
        <color rgb="FFFF3300"/>
      </right>
      <top/>
      <bottom/>
      <diagonal/>
    </border>
    <border>
      <left style="thin">
        <color auto="1"/>
      </left>
      <right/>
      <top/>
      <bottom style="medium">
        <color rgb="FFFF3300"/>
      </bottom>
      <diagonal/>
    </border>
    <border>
      <left style="thin">
        <color auto="1"/>
      </left>
      <right style="thin">
        <color auto="1"/>
      </right>
      <top/>
      <bottom style="medium">
        <color rgb="FFFF3300"/>
      </bottom>
      <diagonal/>
    </border>
    <border>
      <left/>
      <right/>
      <top/>
      <bottom style="medium">
        <color rgb="FFFF3300"/>
      </bottom>
      <diagonal/>
    </border>
    <border>
      <left style="thin">
        <color auto="1"/>
      </left>
      <right style="medium">
        <color rgb="FFFF3300"/>
      </right>
      <top/>
      <bottom style="medium">
        <color rgb="FFFF3300"/>
      </bottom>
      <diagonal/>
    </border>
    <border>
      <left/>
      <right/>
      <top style="medium">
        <color rgb="FFFF3300"/>
      </top>
      <bottom style="double">
        <color auto="1"/>
      </bottom>
      <diagonal/>
    </border>
    <border>
      <left style="thin">
        <color auto="1"/>
      </left>
      <right style="thin">
        <color auto="1"/>
      </right>
      <top style="medium">
        <color rgb="FFFF3300"/>
      </top>
      <bottom style="double">
        <color auto="1"/>
      </bottom>
      <diagonal/>
    </border>
    <border>
      <left style="thin">
        <color auto="1"/>
      </left>
      <right style="medium">
        <color rgb="FFFF3300"/>
      </right>
      <top style="medium">
        <color rgb="FFFF3300"/>
      </top>
      <bottom style="double">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double">
        <color auto="1"/>
      </bottom>
      <diagonal/>
    </border>
    <border>
      <left style="thin">
        <color auto="1"/>
      </left>
      <right/>
      <top style="medium">
        <color auto="1"/>
      </top>
      <bottom/>
      <diagonal/>
    </border>
    <border>
      <left style="thin">
        <color auto="1"/>
      </left>
      <right style="thin">
        <color auto="1"/>
      </right>
      <top style="medium">
        <color auto="1"/>
      </top>
      <bottom/>
      <diagonal/>
    </border>
    <border>
      <left style="thin">
        <color auto="1"/>
      </left>
      <right style="medium">
        <color auto="1"/>
      </right>
      <top/>
      <bottom style="double">
        <color auto="1"/>
      </bottom>
      <diagonal/>
    </border>
    <border>
      <left style="medium">
        <color auto="1"/>
      </left>
      <right/>
      <top/>
      <bottom/>
      <diagonal/>
    </border>
    <border>
      <left style="thin">
        <color auto="1"/>
      </left>
      <right style="medium">
        <color auto="1"/>
      </right>
      <top/>
      <bottom/>
      <diagonal/>
    </border>
    <border>
      <left style="thin">
        <color auto="1"/>
      </left>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top style="medium">
        <color auto="1"/>
      </top>
      <bottom style="double">
        <color auto="1"/>
      </bottom>
      <diagonal/>
    </border>
    <border>
      <left style="thin">
        <color auto="1"/>
      </left>
      <right style="thin">
        <color auto="1"/>
      </right>
      <top style="medium">
        <color auto="1"/>
      </top>
      <bottom style="double">
        <color auto="1"/>
      </bottom>
      <diagonal/>
    </border>
    <border>
      <left style="thin">
        <color auto="1"/>
      </left>
      <right style="medium">
        <color auto="1"/>
      </right>
      <top style="medium">
        <color auto="1"/>
      </top>
      <bottom style="double">
        <color auto="1"/>
      </bottom>
      <diagonal/>
    </border>
    <border>
      <left/>
      <right style="medium">
        <color auto="1"/>
      </right>
      <top/>
      <bottom/>
      <diagonal/>
    </border>
    <border>
      <left style="medium">
        <color auto="1"/>
      </left>
      <right/>
      <top/>
      <bottom style="thick">
        <color theme="4"/>
      </bottom>
      <diagonal/>
    </border>
    <border>
      <left/>
      <right style="medium">
        <color auto="1"/>
      </right>
      <top/>
      <bottom style="thick">
        <color theme="4"/>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diagonal/>
    </border>
    <border>
      <left/>
      <right style="medium">
        <color auto="1"/>
      </right>
      <top style="medium">
        <color auto="1"/>
      </top>
      <bottom style="double">
        <color auto="1"/>
      </bottom>
      <diagonal/>
    </border>
    <border>
      <left style="medium">
        <color auto="1"/>
      </left>
      <right style="thin">
        <color auto="1"/>
      </right>
      <top style="medium">
        <color auto="1"/>
      </top>
      <bottom style="double">
        <color auto="1"/>
      </bottom>
      <diagonal/>
    </border>
    <border>
      <left style="medium">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medium">
        <color auto="1"/>
      </right>
      <top style="double">
        <color auto="1"/>
      </top>
      <bottom style="thin">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right style="thin">
        <color auto="1"/>
      </right>
      <top/>
      <bottom/>
      <diagonal/>
    </border>
    <border>
      <left style="medium">
        <color auto="1"/>
      </left>
      <right style="thin">
        <color auto="1"/>
      </right>
      <top/>
      <bottom/>
      <diagonal/>
    </border>
    <border>
      <left/>
      <right/>
      <top style="thick">
        <color theme="4"/>
      </top>
      <bottom style="thin">
        <color auto="1"/>
      </bottom>
      <diagonal/>
    </border>
    <border>
      <left style="medium">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style="thin">
        <color auto="1"/>
      </bottom>
      <diagonal/>
    </border>
    <border>
      <left/>
      <right style="medium">
        <color auto="1"/>
      </right>
      <top/>
      <bottom style="thin">
        <color auto="1"/>
      </bottom>
      <diagonal/>
    </border>
    <border>
      <left style="medium">
        <color theme="9" tint="-0.249977111117893"/>
      </left>
      <right/>
      <top style="medium">
        <color theme="9" tint="-0.249977111117893"/>
      </top>
      <bottom/>
      <diagonal/>
    </border>
    <border>
      <left/>
      <right/>
      <top style="medium">
        <color theme="9" tint="-0.249977111117893"/>
      </top>
      <bottom/>
      <diagonal/>
    </border>
    <border>
      <left/>
      <right style="medium">
        <color theme="9" tint="-0.249977111117893"/>
      </right>
      <top style="medium">
        <color theme="9" tint="-0.249977111117893"/>
      </top>
      <bottom/>
      <diagonal/>
    </border>
    <border>
      <left style="medium">
        <color theme="9" tint="-0.249977111117893"/>
      </left>
      <right/>
      <top/>
      <bottom/>
      <diagonal/>
    </border>
    <border>
      <left/>
      <right style="medium">
        <color theme="9" tint="-0.249977111117893"/>
      </right>
      <top/>
      <bottom/>
      <diagonal/>
    </border>
    <border>
      <left style="thin">
        <color auto="1"/>
      </left>
      <right style="medium">
        <color theme="9" tint="-0.249977111117893"/>
      </right>
      <top style="medium">
        <color auto="1"/>
      </top>
      <bottom style="thin">
        <color auto="1"/>
      </bottom>
      <diagonal/>
    </border>
    <border>
      <left style="thin">
        <color auto="1"/>
      </left>
      <right style="medium">
        <color theme="9" tint="-0.249977111117893"/>
      </right>
      <top style="thin">
        <color auto="1"/>
      </top>
      <bottom style="medium">
        <color auto="1"/>
      </bottom>
      <diagonal/>
    </border>
    <border>
      <left style="medium">
        <color theme="9" tint="-0.249977111117893"/>
      </left>
      <right/>
      <top/>
      <bottom style="medium">
        <color theme="9" tint="-0.249977111117893"/>
      </bottom>
      <diagonal/>
    </border>
    <border>
      <left style="medium">
        <color auto="1"/>
      </left>
      <right/>
      <top/>
      <bottom style="medium">
        <color theme="9" tint="-0.249977111117893"/>
      </bottom>
      <diagonal/>
    </border>
    <border>
      <left style="thin">
        <color auto="1"/>
      </left>
      <right style="thin">
        <color auto="1"/>
      </right>
      <top style="thin">
        <color auto="1"/>
      </top>
      <bottom style="medium">
        <color theme="9" tint="-0.249977111117893"/>
      </bottom>
      <diagonal/>
    </border>
    <border>
      <left style="thin">
        <color auto="1"/>
      </left>
      <right style="medium">
        <color theme="9" tint="-0.249977111117893"/>
      </right>
      <top style="thin">
        <color auto="1"/>
      </top>
      <bottom style="medium">
        <color theme="9" tint="-0.249977111117893"/>
      </bottom>
      <diagonal/>
    </border>
    <border>
      <left style="medium">
        <color rgb="FF0070C0"/>
      </left>
      <right/>
      <top style="medium">
        <color rgb="FF0070C0"/>
      </top>
      <bottom/>
      <diagonal/>
    </border>
    <border>
      <left/>
      <right/>
      <top style="medium">
        <color rgb="FF0070C0"/>
      </top>
      <bottom/>
      <diagonal/>
    </border>
    <border>
      <left/>
      <right style="medium">
        <color rgb="FF0070C0"/>
      </right>
      <top/>
      <bottom/>
      <diagonal/>
    </border>
    <border>
      <left style="thin">
        <color auto="1"/>
      </left>
      <right style="medium">
        <color rgb="FF0070C0"/>
      </right>
      <top style="medium">
        <color auto="1"/>
      </top>
      <bottom style="thin">
        <color auto="1"/>
      </bottom>
      <diagonal/>
    </border>
    <border>
      <left style="thin">
        <color auto="1"/>
      </left>
      <right style="medium">
        <color rgb="FF0070C0"/>
      </right>
      <top style="thin">
        <color auto="1"/>
      </top>
      <bottom style="medium">
        <color auto="1"/>
      </bottom>
      <diagonal/>
    </border>
    <border>
      <left style="medium">
        <color auto="1"/>
      </left>
      <right/>
      <top/>
      <bottom style="medium">
        <color rgb="FF0070C0"/>
      </bottom>
      <diagonal/>
    </border>
    <border>
      <left style="thin">
        <color auto="1"/>
      </left>
      <right style="thin">
        <color auto="1"/>
      </right>
      <top style="thin">
        <color auto="1"/>
      </top>
      <bottom style="medium">
        <color rgb="FF0070C0"/>
      </bottom>
      <diagonal/>
    </border>
    <border>
      <left style="thin">
        <color auto="1"/>
      </left>
      <right style="medium">
        <color rgb="FF0070C0"/>
      </right>
      <top style="thin">
        <color auto="1"/>
      </top>
      <bottom style="medium">
        <color rgb="FF0070C0"/>
      </bottom>
      <diagonal/>
    </border>
    <border>
      <left style="medium">
        <color rgb="FFFF3300"/>
      </left>
      <right/>
      <top style="medium">
        <color rgb="FFFF3300"/>
      </top>
      <bottom/>
      <diagonal/>
    </border>
    <border>
      <left/>
      <right/>
      <top style="medium">
        <color rgb="FFFF3300"/>
      </top>
      <bottom/>
      <diagonal/>
    </border>
    <border>
      <left style="thin">
        <color auto="1"/>
      </left>
      <right style="medium">
        <color rgb="FFFF3300"/>
      </right>
      <top style="medium">
        <color auto="1"/>
      </top>
      <bottom style="thin">
        <color auto="1"/>
      </bottom>
      <diagonal/>
    </border>
    <border>
      <left style="thin">
        <color auto="1"/>
      </left>
      <right style="medium">
        <color rgb="FFFF3300"/>
      </right>
      <top style="thin">
        <color auto="1"/>
      </top>
      <bottom style="medium">
        <color auto="1"/>
      </bottom>
      <diagonal/>
    </border>
    <border>
      <left style="medium">
        <color auto="1"/>
      </left>
      <right/>
      <top/>
      <bottom style="medium">
        <color rgb="FFFF3300"/>
      </bottom>
      <diagonal/>
    </border>
    <border>
      <left style="thin">
        <color auto="1"/>
      </left>
      <right style="thin">
        <color auto="1"/>
      </right>
      <top style="thin">
        <color auto="1"/>
      </top>
      <bottom style="medium">
        <color rgb="FFFF3300"/>
      </bottom>
      <diagonal/>
    </border>
    <border>
      <left style="thin">
        <color auto="1"/>
      </left>
      <right style="medium">
        <color rgb="FFFF3300"/>
      </right>
      <top style="thin">
        <color auto="1"/>
      </top>
      <bottom style="medium">
        <color rgb="FFFF3300"/>
      </bottom>
      <diagonal/>
    </border>
    <border>
      <left style="thin">
        <color rgb="FF3F3F3F"/>
      </left>
      <right style="thin">
        <color rgb="FF3F3F3F"/>
      </right>
      <top style="thin">
        <color rgb="FF3F3F3F"/>
      </top>
      <bottom style="thin">
        <color rgb="FF3F3F3F"/>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808080"/>
      </left>
      <right style="thin">
        <color rgb="FF808080"/>
      </right>
      <top style="thin">
        <color rgb="FF000000"/>
      </top>
      <bottom style="thin">
        <color rgb="FF808080"/>
      </bottom>
      <diagonal/>
    </border>
    <border>
      <left/>
      <right style="thin">
        <color rgb="FF000000"/>
      </right>
      <top style="thin">
        <color rgb="FF000000"/>
      </top>
      <bottom/>
      <diagonal/>
    </border>
    <border>
      <left style="thin">
        <color rgb="FF000000"/>
      </left>
      <right/>
      <top/>
      <bottom/>
      <diagonal/>
    </border>
    <border>
      <left style="thin">
        <color rgb="FF808080"/>
      </left>
      <right style="thin">
        <color rgb="FF808080"/>
      </right>
      <top style="thin">
        <color rgb="FF808080"/>
      </top>
      <bottom style="thin">
        <color rgb="FF808080"/>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808080"/>
      </left>
      <right style="thin">
        <color rgb="FF808080"/>
      </right>
      <top style="thin">
        <color rgb="FF80808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FF0000"/>
      </left>
      <right style="thin">
        <color rgb="FF808080"/>
      </right>
      <top style="medium">
        <color rgb="FFFF0000"/>
      </top>
      <bottom style="thin">
        <color rgb="FF808080"/>
      </bottom>
      <diagonal/>
    </border>
    <border>
      <left style="thin">
        <color rgb="FF808080"/>
      </left>
      <right style="thin">
        <color rgb="FF808080"/>
      </right>
      <top style="medium">
        <color rgb="FFFF0000"/>
      </top>
      <bottom style="thin">
        <color rgb="FF808080"/>
      </bottom>
      <diagonal/>
    </border>
    <border>
      <left style="thin">
        <color rgb="FF808080"/>
      </left>
      <right style="medium">
        <color rgb="FFFF0000"/>
      </right>
      <top style="medium">
        <color rgb="FFFF0000"/>
      </top>
      <bottom style="thin">
        <color rgb="FF808080"/>
      </bottom>
      <diagonal/>
    </border>
    <border>
      <left style="medium">
        <color rgb="FFFF0000"/>
      </left>
      <right style="thin">
        <color rgb="FF808080"/>
      </right>
      <top style="thin">
        <color rgb="FF808080"/>
      </top>
      <bottom style="thin">
        <color rgb="FF808080"/>
      </bottom>
      <diagonal/>
    </border>
    <border>
      <left style="thin">
        <color rgb="FF808080"/>
      </left>
      <right style="medium">
        <color rgb="FFFF0000"/>
      </right>
      <top style="thin">
        <color rgb="FF808080"/>
      </top>
      <bottom style="thin">
        <color rgb="FF808080"/>
      </bottom>
      <diagonal/>
    </border>
    <border>
      <left style="medium">
        <color rgb="FFFF0000"/>
      </left>
      <right style="thin">
        <color rgb="FF808080"/>
      </right>
      <top style="thin">
        <color rgb="FF000000"/>
      </top>
      <bottom style="thin">
        <color rgb="FF808080"/>
      </bottom>
      <diagonal/>
    </border>
    <border>
      <left style="thin">
        <color rgb="FF808080"/>
      </left>
      <right style="medium">
        <color rgb="FFFF0000"/>
      </right>
      <top style="thin">
        <color rgb="FF000000"/>
      </top>
      <bottom style="thin">
        <color rgb="FF808080"/>
      </bottom>
      <diagonal/>
    </border>
    <border>
      <left style="medium">
        <color rgb="FFFF0000"/>
      </left>
      <right style="thin">
        <color rgb="FF808080"/>
      </right>
      <top style="thin">
        <color rgb="FF808080"/>
      </top>
      <bottom style="thin">
        <color rgb="FF000000"/>
      </bottom>
      <diagonal/>
    </border>
    <border>
      <left style="thin">
        <color rgb="FF808080"/>
      </left>
      <right style="medium">
        <color rgb="FFFF0000"/>
      </right>
      <top style="thin">
        <color rgb="FF808080"/>
      </top>
      <bottom style="thin">
        <color rgb="FF000000"/>
      </bottom>
      <diagonal/>
    </border>
    <border>
      <left style="medium">
        <color rgb="FFFF0000"/>
      </left>
      <right style="thin">
        <color rgb="FF808080"/>
      </right>
      <top style="thin">
        <color rgb="FF808080"/>
      </top>
      <bottom style="medium">
        <color rgb="FFFF0000"/>
      </bottom>
      <diagonal/>
    </border>
    <border>
      <left style="thin">
        <color rgb="FF808080"/>
      </left>
      <right style="thin">
        <color rgb="FF808080"/>
      </right>
      <top style="thin">
        <color rgb="FF808080"/>
      </top>
      <bottom style="medium">
        <color rgb="FFFF0000"/>
      </bottom>
      <diagonal/>
    </border>
    <border>
      <left style="thin">
        <color rgb="FF808080"/>
      </left>
      <right style="medium">
        <color rgb="FFFF0000"/>
      </right>
      <top style="thin">
        <color rgb="FF808080"/>
      </top>
      <bottom style="medium">
        <color rgb="FFFF0000"/>
      </bottom>
      <diagonal/>
    </border>
    <border>
      <left/>
      <right style="medium">
        <color rgb="FFFF0000"/>
      </right>
      <top style="thin">
        <color rgb="FF000000"/>
      </top>
      <bottom style="thin">
        <color indexed="64"/>
      </bottom>
      <diagonal/>
    </border>
    <border>
      <left style="medium">
        <color rgb="FFFF3300"/>
      </left>
      <right/>
      <top/>
      <bottom style="double">
        <color auto="1"/>
      </bottom>
      <diagonal/>
    </border>
    <border>
      <left/>
      <right style="thin">
        <color auto="1"/>
      </right>
      <top style="medium">
        <color rgb="FFFF3300"/>
      </top>
      <bottom/>
      <diagonal/>
    </border>
    <border>
      <left/>
      <right style="thin">
        <color auto="1"/>
      </right>
      <top style="medium">
        <color rgb="FF0070C0"/>
      </top>
      <bottom/>
      <diagonal/>
    </border>
    <border>
      <left/>
      <right style="medium">
        <color theme="4" tint="-0.249977111117893"/>
      </right>
      <top style="medium">
        <color theme="4" tint="-0.249977111117893"/>
      </top>
      <bottom/>
      <diagonal/>
    </border>
    <border>
      <left/>
      <right style="thin">
        <color auto="1"/>
      </right>
      <top style="medium">
        <color auto="1"/>
      </top>
      <bottom/>
      <diagonal/>
    </border>
    <border>
      <left style="medium">
        <color auto="1"/>
      </left>
      <right/>
      <top/>
      <bottom style="double">
        <color auto="1"/>
      </bottom>
      <diagonal/>
    </border>
    <border>
      <left/>
      <right style="thin">
        <color auto="1"/>
      </right>
      <top style="thin">
        <color auto="1"/>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s>
  <cellStyleXfs count="16">
    <xf numFmtId="0" fontId="0" fillId="0" borderId="0"/>
    <xf numFmtId="9" fontId="55" fillId="0" borderId="0"/>
    <xf numFmtId="0" fontId="51" fillId="0" borderId="0"/>
    <xf numFmtId="0" fontId="1" fillId="0" borderId="0"/>
    <xf numFmtId="0" fontId="1" fillId="0" borderId="0"/>
    <xf numFmtId="0" fontId="5" fillId="2" borderId="1"/>
    <xf numFmtId="0" fontId="15" fillId="3" borderId="0"/>
    <xf numFmtId="0" fontId="26" fillId="0" borderId="2"/>
    <xf numFmtId="0" fontId="27" fillId="0" borderId="0"/>
    <xf numFmtId="0" fontId="28" fillId="4" borderId="1"/>
    <xf numFmtId="0" fontId="56" fillId="21" borderId="135"/>
    <xf numFmtId="0" fontId="57" fillId="0" borderId="0"/>
    <xf numFmtId="0" fontId="58" fillId="23" borderId="1"/>
    <xf numFmtId="9" fontId="59" fillId="0" borderId="0"/>
    <xf numFmtId="0" fontId="62" fillId="26" borderId="0"/>
    <xf numFmtId="0" fontId="57" fillId="0" borderId="0"/>
  </cellStyleXfs>
  <cellXfs count="532">
    <xf numFmtId="0" fontId="0" fillId="0" borderId="0" xfId="0"/>
    <xf numFmtId="0" fontId="2" fillId="5" borderId="0" xfId="0" applyFont="1" applyFill="1"/>
    <xf numFmtId="0" fontId="0" fillId="5" borderId="0" xfId="0" applyFill="1"/>
    <xf numFmtId="0" fontId="3" fillId="0" borderId="0" xfId="0" applyFont="1"/>
    <xf numFmtId="0" fontId="4" fillId="0" borderId="0" xfId="0" applyFont="1"/>
    <xf numFmtId="0" fontId="0" fillId="0" borderId="0" xfId="0" applyAlignment="1">
      <alignment horizontal="center" vertical="center"/>
    </xf>
    <xf numFmtId="0" fontId="5" fillId="6" borderId="1" xfId="5" applyFill="1"/>
    <xf numFmtId="0" fontId="5" fillId="6" borderId="1" xfId="5" applyFill="1" applyAlignment="1">
      <alignment horizontal="right"/>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0" fillId="0" borderId="0" xfId="0" applyAlignment="1">
      <alignment vertical="center"/>
    </xf>
    <xf numFmtId="0" fontId="9" fillId="0" borderId="0" xfId="0" applyFont="1"/>
    <xf numFmtId="0" fontId="0" fillId="9" borderId="10" xfId="0" applyFill="1" applyBorder="1"/>
    <xf numFmtId="0" fontId="0" fillId="9" borderId="11" xfId="0" applyFill="1" applyBorder="1" applyAlignment="1">
      <alignment horizontal="center" vertical="center"/>
    </xf>
    <xf numFmtId="0" fontId="0" fillId="10" borderId="12" xfId="0" applyFill="1" applyBorder="1" applyAlignment="1">
      <alignment vertical="center"/>
    </xf>
    <xf numFmtId="0" fontId="0" fillId="10" borderId="13" xfId="0" applyFill="1" applyBorder="1" applyAlignment="1">
      <alignment horizontal="center" vertical="center"/>
    </xf>
    <xf numFmtId="1" fontId="0" fillId="0" borderId="0" xfId="0" applyNumberFormat="1"/>
    <xf numFmtId="1" fontId="0" fillId="9" borderId="11" xfId="0" applyNumberFormat="1" applyFill="1" applyBorder="1" applyAlignment="1">
      <alignment horizontal="center" vertical="center"/>
    </xf>
    <xf numFmtId="1" fontId="0" fillId="10" borderId="13" xfId="0" applyNumberFormat="1" applyFill="1" applyBorder="1" applyAlignment="1">
      <alignment horizontal="center" vertical="center"/>
    </xf>
    <xf numFmtId="0" fontId="0" fillId="9" borderId="14" xfId="0" applyFill="1" applyBorder="1"/>
    <xf numFmtId="1" fontId="0" fillId="9" borderId="15" xfId="0" applyNumberFormat="1" applyFill="1" applyBorder="1" applyAlignment="1">
      <alignment horizontal="center" vertical="center"/>
    </xf>
    <xf numFmtId="0" fontId="0" fillId="10" borderId="16" xfId="0" applyFill="1" applyBorder="1" applyAlignment="1">
      <alignment vertical="center"/>
    </xf>
    <xf numFmtId="1" fontId="0" fillId="10" borderId="17" xfId="0" applyNumberFormat="1" applyFill="1" applyBorder="1" applyAlignment="1">
      <alignment horizontal="center" vertical="center"/>
    </xf>
    <xf numFmtId="10" fontId="0" fillId="0" borderId="0" xfId="0" applyNumberFormat="1"/>
    <xf numFmtId="0" fontId="10" fillId="6" borderId="0" xfId="0" applyFont="1" applyFill="1"/>
    <xf numFmtId="0" fontId="15" fillId="11" borderId="22" xfId="6" applyFill="1" applyBorder="1" applyAlignment="1">
      <alignment horizontal="center" vertical="center"/>
    </xf>
    <xf numFmtId="0" fontId="0" fillId="11" borderId="22" xfId="0" applyFill="1" applyBorder="1" applyAlignment="1">
      <alignment horizontal="center" vertical="center"/>
    </xf>
    <xf numFmtId="0" fontId="0" fillId="11" borderId="23" xfId="0" applyFill="1" applyBorder="1" applyAlignment="1">
      <alignment horizontal="center" vertical="center"/>
    </xf>
    <xf numFmtId="0" fontId="0" fillId="9" borderId="24" xfId="0" applyFill="1" applyBorder="1"/>
    <xf numFmtId="0" fontId="0" fillId="9" borderId="27" xfId="0" applyFill="1" applyBorder="1"/>
    <xf numFmtId="0" fontId="15" fillId="6" borderId="28" xfId="6" applyFill="1" applyBorder="1" applyAlignment="1">
      <alignment horizontal="center" vertical="center"/>
    </xf>
    <xf numFmtId="0" fontId="15" fillId="6" borderId="29" xfId="6" applyFill="1" applyBorder="1" applyAlignment="1">
      <alignment horizontal="center" vertical="center"/>
    </xf>
    <xf numFmtId="0" fontId="15" fillId="6" borderId="30" xfId="6" applyFill="1" applyBorder="1" applyAlignment="1">
      <alignment horizontal="center" vertical="center"/>
    </xf>
    <xf numFmtId="0" fontId="15" fillId="6" borderId="31" xfId="6" applyFill="1" applyBorder="1" applyAlignment="1">
      <alignment horizontal="center" vertical="center"/>
    </xf>
    <xf numFmtId="0" fontId="0" fillId="0" borderId="32" xfId="0" applyBorder="1"/>
    <xf numFmtId="0" fontId="12" fillId="11" borderId="33" xfId="0" applyFont="1" applyFill="1" applyBorder="1" applyAlignment="1">
      <alignment horizontal="center" wrapText="1"/>
    </xf>
    <xf numFmtId="0" fontId="0" fillId="11" borderId="34" xfId="0" applyFill="1" applyBorder="1" applyAlignment="1">
      <alignment horizontal="center" vertical="center" wrapText="1"/>
    </xf>
    <xf numFmtId="0" fontId="0" fillId="11" borderId="35" xfId="0" applyFill="1" applyBorder="1" applyAlignment="1">
      <alignment horizontal="center" vertical="center" wrapText="1"/>
    </xf>
    <xf numFmtId="0" fontId="0" fillId="11" borderId="36" xfId="0" applyFill="1" applyBorder="1" applyAlignment="1">
      <alignment horizontal="center" vertical="center" wrapText="1"/>
    </xf>
    <xf numFmtId="0" fontId="12" fillId="11" borderId="18" xfId="0" applyFont="1" applyFill="1" applyBorder="1" applyAlignment="1">
      <alignment horizontal="center" wrapText="1"/>
    </xf>
    <xf numFmtId="0" fontId="15" fillId="8" borderId="22" xfId="6" applyFill="1" applyBorder="1" applyAlignment="1">
      <alignment horizontal="center" vertical="center"/>
    </xf>
    <xf numFmtId="0" fontId="0" fillId="8" borderId="22" xfId="0" applyFill="1" applyBorder="1" applyAlignment="1">
      <alignment horizontal="center" vertical="center"/>
    </xf>
    <xf numFmtId="0" fontId="0" fillId="8" borderId="41" xfId="0" applyFill="1" applyBorder="1" applyAlignment="1">
      <alignment horizontal="center" vertical="center"/>
    </xf>
    <xf numFmtId="0" fontId="15" fillId="8" borderId="42" xfId="6" applyFill="1" applyBorder="1" applyAlignment="1">
      <alignment horizontal="center" vertical="center"/>
    </xf>
    <xf numFmtId="0" fontId="0" fillId="8" borderId="43" xfId="0" applyFill="1" applyBorder="1" applyAlignment="1">
      <alignment horizontal="center" vertical="center"/>
    </xf>
    <xf numFmtId="0" fontId="0" fillId="10" borderId="12" xfId="0" applyFill="1" applyBorder="1"/>
    <xf numFmtId="0" fontId="0" fillId="10" borderId="16" xfId="0" applyFill="1" applyBorder="1"/>
    <xf numFmtId="0" fontId="12" fillId="8" borderId="37" xfId="0" applyFont="1" applyFill="1" applyBorder="1" applyAlignment="1">
      <alignment horizontal="center" wrapText="1"/>
    </xf>
    <xf numFmtId="0" fontId="0" fillId="8" borderId="49" xfId="0" applyFill="1" applyBorder="1" applyAlignment="1">
      <alignment horizontal="center" vertical="center" wrapText="1"/>
    </xf>
    <xf numFmtId="0" fontId="0" fillId="8" borderId="50" xfId="0" applyFill="1" applyBorder="1" applyAlignment="1">
      <alignment horizontal="center" vertical="center" wrapText="1"/>
    </xf>
    <xf numFmtId="0" fontId="0" fillId="8" borderId="51" xfId="0" applyFill="1" applyBorder="1" applyAlignment="1">
      <alignment horizontal="center" vertical="center" wrapText="1"/>
    </xf>
    <xf numFmtId="0" fontId="0" fillId="0" borderId="0" xfId="0" applyAlignment="1">
      <alignment horizontal="left"/>
    </xf>
    <xf numFmtId="164" fontId="5" fillId="6" borderId="1" xfId="5" applyNumberFormat="1" applyFill="1" applyAlignment="1">
      <alignment horizontal="left"/>
    </xf>
    <xf numFmtId="0" fontId="5" fillId="6" borderId="1" xfId="5" applyFill="1" applyAlignment="1">
      <alignment horizontal="left"/>
    </xf>
    <xf numFmtId="0" fontId="17" fillId="0" borderId="0" xfId="0" applyFont="1" applyAlignment="1">
      <alignment horizontal="left"/>
    </xf>
    <xf numFmtId="0" fontId="19" fillId="0" borderId="0" xfId="0" applyFont="1" applyAlignment="1">
      <alignment horizontal="left"/>
    </xf>
    <xf numFmtId="0" fontId="20" fillId="6" borderId="1" xfId="5" applyFont="1" applyFill="1" applyAlignment="1">
      <alignment horizontal="right"/>
    </xf>
    <xf numFmtId="0" fontId="21" fillId="0" borderId="0" xfId="0" applyFont="1"/>
    <xf numFmtId="0" fontId="17" fillId="0" borderId="0" xfId="0" applyFont="1"/>
    <xf numFmtId="0" fontId="5" fillId="0" borderId="0" xfId="5" applyFill="1" applyBorder="1" applyAlignment="1">
      <alignment horizontal="right"/>
    </xf>
    <xf numFmtId="0" fontId="23" fillId="11" borderId="0" xfId="0" applyFont="1" applyFill="1"/>
    <xf numFmtId="0" fontId="0" fillId="11" borderId="0" xfId="0" applyFill="1"/>
    <xf numFmtId="0" fontId="0" fillId="0" borderId="52" xfId="0" applyBorder="1"/>
    <xf numFmtId="0" fontId="0" fillId="0" borderId="53" xfId="0" applyBorder="1"/>
    <xf numFmtId="0" fontId="0" fillId="0" borderId="54" xfId="0" applyBorder="1"/>
    <xf numFmtId="0" fontId="0" fillId="0" borderId="55" xfId="0" applyBorder="1"/>
    <xf numFmtId="0" fontId="0" fillId="0" borderId="56" xfId="0" applyBorder="1"/>
    <xf numFmtId="0" fontId="0" fillId="0" borderId="57" xfId="0" applyBorder="1"/>
    <xf numFmtId="0" fontId="15" fillId="0" borderId="22" xfId="6" applyFill="1" applyBorder="1" applyAlignment="1">
      <alignment horizontal="center" vertical="center"/>
    </xf>
    <xf numFmtId="0" fontId="0" fillId="0" borderId="22" xfId="0" applyBorder="1" applyAlignment="1">
      <alignment horizontal="center" vertical="center"/>
    </xf>
    <xf numFmtId="0" fontId="0" fillId="0" borderId="41" xfId="0" applyBorder="1" applyAlignment="1">
      <alignment horizontal="center" vertical="center"/>
    </xf>
    <xf numFmtId="0" fontId="15" fillId="0" borderId="42" xfId="6" applyFill="1" applyBorder="1" applyAlignment="1">
      <alignment horizontal="center" vertical="center"/>
    </xf>
    <xf numFmtId="0" fontId="0" fillId="0" borderId="61" xfId="0" applyBorder="1" applyAlignment="1">
      <alignment horizontal="center" vertical="center"/>
    </xf>
    <xf numFmtId="0" fontId="0" fillId="0" borderId="62" xfId="0" applyBorder="1"/>
    <xf numFmtId="0" fontId="15" fillId="3" borderId="25" xfId="6" applyBorder="1" applyAlignment="1">
      <alignment horizontal="center" vertical="center"/>
    </xf>
    <xf numFmtId="0" fontId="15" fillId="3" borderId="4" xfId="6" applyBorder="1" applyAlignment="1">
      <alignment horizontal="center" vertical="center"/>
    </xf>
    <xf numFmtId="0" fontId="15" fillId="3" borderId="0" xfId="6" applyAlignment="1">
      <alignment horizontal="center" vertical="center"/>
    </xf>
    <xf numFmtId="0" fontId="15" fillId="3" borderId="63" xfId="6" applyBorder="1" applyAlignment="1">
      <alignment horizontal="center" vertical="center"/>
    </xf>
    <xf numFmtId="0" fontId="15" fillId="3" borderId="64" xfId="6" applyBorder="1" applyAlignment="1">
      <alignment horizontal="center" vertical="center"/>
    </xf>
    <xf numFmtId="0" fontId="15" fillId="3" borderId="65" xfId="6" applyBorder="1" applyAlignment="1">
      <alignment horizontal="center" vertical="center"/>
    </xf>
    <xf numFmtId="0" fontId="15" fillId="3" borderId="56" xfId="6" applyBorder="1" applyAlignment="1">
      <alignment horizontal="center" vertical="center"/>
    </xf>
    <xf numFmtId="0" fontId="15" fillId="3" borderId="66" xfId="6" applyBorder="1" applyAlignment="1">
      <alignment horizontal="center" vertical="center"/>
    </xf>
    <xf numFmtId="0" fontId="12" fillId="0" borderId="58" xfId="0" applyFont="1" applyBorder="1" applyAlignment="1">
      <alignment horizontal="center" wrapText="1"/>
    </xf>
    <xf numFmtId="0" fontId="0" fillId="0" borderId="67" xfId="0" applyBorder="1" applyAlignment="1">
      <alignment horizontal="center" vertical="center" wrapText="1"/>
    </xf>
    <xf numFmtId="0" fontId="0" fillId="0" borderId="68" xfId="0" applyBorder="1" applyAlignment="1">
      <alignment horizontal="center" vertical="center" wrapText="1"/>
    </xf>
    <xf numFmtId="0" fontId="0" fillId="0" borderId="69" xfId="0" applyBorder="1" applyAlignment="1">
      <alignment horizontal="center" vertical="center" wrapText="1"/>
    </xf>
    <xf numFmtId="0" fontId="24" fillId="0" borderId="0" xfId="0" applyFont="1"/>
    <xf numFmtId="0" fontId="27" fillId="0" borderId="0" xfId="8" applyAlignment="1">
      <alignment horizontal="center" vertical="center"/>
    </xf>
    <xf numFmtId="0" fontId="27" fillId="0" borderId="0" xfId="8" applyAlignment="1">
      <alignment horizontal="center" vertical="center" wrapText="1"/>
    </xf>
    <xf numFmtId="165" fontId="28" fillId="4" borderId="1" xfId="9" applyNumberFormat="1"/>
    <xf numFmtId="165" fontId="0" fillId="0" borderId="0" xfId="0" applyNumberFormat="1"/>
    <xf numFmtId="0" fontId="29" fillId="0" borderId="53" xfId="0" applyFont="1" applyBorder="1"/>
    <xf numFmtId="0" fontId="0" fillId="0" borderId="70" xfId="0" applyBorder="1"/>
    <xf numFmtId="0" fontId="31" fillId="3" borderId="73" xfId="6" applyFont="1" applyBorder="1" applyAlignment="1">
      <alignment horizontal="center" vertical="center"/>
    </xf>
    <xf numFmtId="0" fontId="32" fillId="3" borderId="73" xfId="6" applyFont="1" applyBorder="1" applyAlignment="1">
      <alignment horizontal="center" vertical="center"/>
    </xf>
    <xf numFmtId="0" fontId="32" fillId="3" borderId="74" xfId="6" applyFont="1" applyBorder="1" applyAlignment="1">
      <alignment horizontal="center" vertical="center"/>
    </xf>
    <xf numFmtId="0" fontId="0" fillId="0" borderId="75" xfId="0" applyBorder="1" applyAlignment="1">
      <alignment horizontal="center"/>
    </xf>
    <xf numFmtId="0" fontId="22" fillId="12" borderId="62" xfId="0" applyFont="1" applyFill="1" applyBorder="1" applyAlignment="1">
      <alignment horizontal="center" vertical="center"/>
    </xf>
    <xf numFmtId="166" fontId="15" fillId="3" borderId="76" xfId="6" applyNumberFormat="1" applyBorder="1" applyAlignment="1">
      <alignment horizontal="center" vertical="center"/>
    </xf>
    <xf numFmtId="166" fontId="15" fillId="3" borderId="77" xfId="6" applyNumberFormat="1" applyBorder="1" applyAlignment="1">
      <alignment horizontal="center" vertical="center"/>
    </xf>
    <xf numFmtId="10" fontId="22" fillId="12" borderId="78" xfId="0" applyNumberFormat="1" applyFont="1" applyFill="1" applyBorder="1" applyAlignment="1">
      <alignment horizontal="center" vertical="center"/>
    </xf>
    <xf numFmtId="0" fontId="22" fillId="4" borderId="62" xfId="0" applyFont="1" applyFill="1" applyBorder="1" applyAlignment="1">
      <alignment horizontal="center" vertical="center"/>
    </xf>
    <xf numFmtId="10" fontId="22" fillId="4" borderId="78" xfId="0" applyNumberFormat="1" applyFont="1" applyFill="1" applyBorder="1" applyAlignment="1">
      <alignment horizontal="center" vertical="center"/>
    </xf>
    <xf numFmtId="0" fontId="22" fillId="4" borderId="55" xfId="0" applyFont="1" applyFill="1" applyBorder="1" applyAlignment="1">
      <alignment horizontal="center" vertical="center"/>
    </xf>
    <xf numFmtId="166" fontId="15" fillId="3" borderId="79" xfId="6" applyNumberFormat="1" applyBorder="1" applyAlignment="1">
      <alignment horizontal="center" vertical="center"/>
    </xf>
    <xf numFmtId="166" fontId="15" fillId="3" borderId="80" xfId="6" applyNumberFormat="1" applyBorder="1" applyAlignment="1">
      <alignment horizontal="center" vertical="center"/>
    </xf>
    <xf numFmtId="0" fontId="0" fillId="4" borderId="81" xfId="0" applyFill="1" applyBorder="1" applyAlignment="1">
      <alignment horizontal="center" vertical="center"/>
    </xf>
    <xf numFmtId="0" fontId="33" fillId="3" borderId="73" xfId="6" applyFont="1" applyBorder="1" applyAlignment="1">
      <alignment horizontal="center" vertical="center"/>
    </xf>
    <xf numFmtId="0" fontId="32" fillId="3" borderId="82" xfId="6" applyFont="1" applyBorder="1" applyAlignment="1">
      <alignment horizontal="center" vertical="center"/>
    </xf>
    <xf numFmtId="0" fontId="1" fillId="0" borderId="0" xfId="3"/>
    <xf numFmtId="0" fontId="32" fillId="3" borderId="79" xfId="6" applyFont="1" applyBorder="1" applyAlignment="1">
      <alignment horizontal="center" vertical="center"/>
    </xf>
    <xf numFmtId="166" fontId="15" fillId="3" borderId="83" xfId="6" applyNumberFormat="1" applyBorder="1" applyAlignment="1">
      <alignment horizontal="center" vertical="center"/>
    </xf>
    <xf numFmtId="0" fontId="34" fillId="13" borderId="55" xfId="0" applyFont="1" applyFill="1" applyBorder="1" applyAlignment="1">
      <alignment horizontal="center" vertical="center"/>
    </xf>
    <xf numFmtId="167" fontId="35" fillId="13" borderId="83" xfId="6" applyNumberFormat="1" applyFont="1" applyFill="1" applyBorder="1" applyAlignment="1">
      <alignment horizontal="center" vertical="center"/>
    </xf>
    <xf numFmtId="167" fontId="35" fillId="13" borderId="80" xfId="6" applyNumberFormat="1" applyFont="1" applyFill="1" applyBorder="1" applyAlignment="1">
      <alignment horizontal="center" vertical="center"/>
    </xf>
    <xf numFmtId="168" fontId="15" fillId="3" borderId="83" xfId="6" applyNumberFormat="1" applyBorder="1" applyAlignment="1">
      <alignment horizontal="center" vertical="center"/>
    </xf>
    <xf numFmtId="168" fontId="15" fillId="3" borderId="80" xfId="6" applyNumberFormat="1" applyBorder="1" applyAlignment="1">
      <alignment horizontal="center" vertical="center"/>
    </xf>
    <xf numFmtId="168" fontId="35" fillId="13" borderId="83" xfId="6" applyNumberFormat="1" applyFont="1" applyFill="1" applyBorder="1" applyAlignment="1">
      <alignment horizontal="center" vertical="center"/>
    </xf>
    <xf numFmtId="168" fontId="35" fillId="13" borderId="80" xfId="6" applyNumberFormat="1" applyFont="1" applyFill="1" applyBorder="1" applyAlignment="1">
      <alignment horizontal="center" vertical="center"/>
    </xf>
    <xf numFmtId="0" fontId="34" fillId="13" borderId="62" xfId="0" applyFont="1" applyFill="1" applyBorder="1" applyAlignment="1">
      <alignment horizontal="center" vertical="center"/>
    </xf>
    <xf numFmtId="169" fontId="35" fillId="13" borderId="3" xfId="6" applyNumberFormat="1" applyFont="1" applyFill="1" applyBorder="1" applyAlignment="1">
      <alignment horizontal="center" vertical="center"/>
    </xf>
    <xf numFmtId="169" fontId="35" fillId="13" borderId="84" xfId="6" applyNumberFormat="1" applyFont="1" applyFill="1" applyBorder="1" applyAlignment="1">
      <alignment horizontal="center" vertical="center"/>
    </xf>
    <xf numFmtId="0" fontId="13" fillId="0" borderId="58" xfId="0" applyFont="1" applyBorder="1" applyAlignment="1">
      <alignment horizontal="center" vertical="center" wrapText="1"/>
    </xf>
    <xf numFmtId="0" fontId="17" fillId="14" borderId="67" xfId="0" applyFont="1" applyFill="1" applyBorder="1" applyAlignment="1">
      <alignment horizontal="center" vertical="center" wrapText="1"/>
    </xf>
    <xf numFmtId="2" fontId="17" fillId="0" borderId="67" xfId="0" applyNumberFormat="1" applyFont="1" applyBorder="1" applyAlignment="1">
      <alignment horizontal="center" vertical="center" wrapText="1"/>
    </xf>
    <xf numFmtId="0" fontId="17" fillId="15" borderId="67" xfId="0" applyFont="1" applyFill="1" applyBorder="1" applyAlignment="1">
      <alignment horizontal="center" vertical="center"/>
    </xf>
    <xf numFmtId="0" fontId="17" fillId="16" borderId="67" xfId="0" applyFont="1" applyFill="1" applyBorder="1" applyAlignment="1">
      <alignment horizontal="center" vertical="center"/>
    </xf>
    <xf numFmtId="0" fontId="17" fillId="0" borderId="67" xfId="0" applyFont="1" applyBorder="1" applyAlignment="1">
      <alignment horizontal="center" vertical="center" wrapText="1"/>
    </xf>
    <xf numFmtId="2" fontId="17" fillId="0" borderId="67" xfId="0" applyNumberFormat="1" applyFont="1" applyBorder="1" applyAlignment="1">
      <alignment horizontal="center" vertical="center"/>
    </xf>
    <xf numFmtId="0" fontId="17" fillId="16" borderId="67" xfId="0" applyFont="1" applyFill="1" applyBorder="1" applyAlignment="1">
      <alignment horizontal="center" vertical="center" wrapText="1"/>
    </xf>
    <xf numFmtId="0" fontId="17" fillId="0" borderId="85" xfId="0" applyFont="1" applyBorder="1" applyAlignment="1">
      <alignment horizontal="center" vertical="center" wrapText="1"/>
    </xf>
    <xf numFmtId="0" fontId="0" fillId="14" borderId="0" xfId="0" applyFill="1"/>
    <xf numFmtId="165" fontId="0" fillId="5" borderId="0" xfId="0" applyNumberFormat="1" applyFill="1"/>
    <xf numFmtId="169" fontId="0" fillId="16" borderId="0" xfId="0" applyNumberFormat="1" applyFill="1"/>
    <xf numFmtId="165" fontId="0" fillId="0" borderId="0" xfId="1" applyNumberFormat="1" applyFont="1"/>
    <xf numFmtId="166" fontId="0" fillId="0" borderId="0" xfId="0" applyNumberFormat="1"/>
    <xf numFmtId="165" fontId="0" fillId="0" borderId="70" xfId="1" applyNumberFormat="1" applyFont="1" applyBorder="1"/>
    <xf numFmtId="1" fontId="0" fillId="14" borderId="0" xfId="0" applyNumberFormat="1" applyFill="1"/>
    <xf numFmtId="1" fontId="0" fillId="14" borderId="56" xfId="0" applyNumberFormat="1" applyFill="1" applyBorder="1"/>
    <xf numFmtId="165" fontId="0" fillId="0" borderId="56" xfId="0" applyNumberFormat="1" applyBorder="1"/>
    <xf numFmtId="165" fontId="0" fillId="5" borderId="56" xfId="0" applyNumberFormat="1" applyFill="1" applyBorder="1"/>
    <xf numFmtId="169" fontId="0" fillId="16" borderId="56" xfId="0" applyNumberFormat="1" applyFill="1" applyBorder="1"/>
    <xf numFmtId="165" fontId="0" fillId="0" borderId="56" xfId="1" applyNumberFormat="1" applyFont="1" applyBorder="1"/>
    <xf numFmtId="166" fontId="0" fillId="0" borderId="56" xfId="0" applyNumberFormat="1" applyBorder="1"/>
    <xf numFmtId="165" fontId="0" fillId="0" borderId="57" xfId="1" applyNumberFormat="1" applyFont="1" applyBorder="1"/>
    <xf numFmtId="169" fontId="35" fillId="13" borderId="83" xfId="6" applyNumberFormat="1" applyFont="1" applyFill="1" applyBorder="1" applyAlignment="1">
      <alignment horizontal="center" vertical="center"/>
    </xf>
    <xf numFmtId="169" fontId="35" fillId="13" borderId="80" xfId="6" applyNumberFormat="1" applyFont="1" applyFill="1" applyBorder="1" applyAlignment="1">
      <alignment horizontal="center" vertical="center"/>
    </xf>
    <xf numFmtId="0" fontId="33" fillId="3" borderId="86" xfId="6" applyFont="1" applyBorder="1" applyAlignment="1">
      <alignment horizontal="center" vertical="center"/>
    </xf>
    <xf numFmtId="0" fontId="32" fillId="3" borderId="68" xfId="6" applyFont="1" applyBorder="1" applyAlignment="1">
      <alignment horizontal="center" vertical="center"/>
    </xf>
    <xf numFmtId="0" fontId="32" fillId="3" borderId="69" xfId="6" applyFont="1" applyBorder="1" applyAlignment="1">
      <alignment horizontal="center" vertical="center"/>
    </xf>
    <xf numFmtId="0" fontId="36" fillId="0" borderId="0" xfId="0" applyFont="1"/>
    <xf numFmtId="2" fontId="0" fillId="0" borderId="0" xfId="0" applyNumberFormat="1"/>
    <xf numFmtId="0" fontId="32" fillId="3" borderId="87" xfId="6" applyFont="1" applyBorder="1" applyAlignment="1">
      <alignment horizontal="center" vertical="center"/>
    </xf>
    <xf numFmtId="168" fontId="15" fillId="3" borderId="88" xfId="6" applyNumberFormat="1" applyBorder="1" applyAlignment="1">
      <alignment horizontal="center" vertical="center"/>
    </xf>
    <xf numFmtId="168" fontId="15" fillId="3" borderId="89" xfId="6" applyNumberFormat="1" applyBorder="1" applyAlignment="1">
      <alignment horizontal="center" vertical="center"/>
    </xf>
    <xf numFmtId="0" fontId="32" fillId="3" borderId="90" xfId="6" applyFont="1" applyBorder="1" applyAlignment="1">
      <alignment horizontal="center" vertical="center"/>
    </xf>
    <xf numFmtId="166" fontId="15" fillId="3" borderId="5" xfId="6" applyNumberFormat="1" applyBorder="1" applyAlignment="1">
      <alignment horizontal="center" vertical="center"/>
    </xf>
    <xf numFmtId="166" fontId="15" fillId="3" borderId="91" xfId="6" applyNumberFormat="1" applyBorder="1" applyAlignment="1">
      <alignment horizontal="center" vertical="center"/>
    </xf>
    <xf numFmtId="168" fontId="35" fillId="13" borderId="65" xfId="6" applyNumberFormat="1" applyFont="1" applyFill="1" applyBorder="1" applyAlignment="1">
      <alignment horizontal="center" vertical="center"/>
    </xf>
    <xf numFmtId="168" fontId="35" fillId="13" borderId="66" xfId="6" applyNumberFormat="1" applyFont="1" applyFill="1" applyBorder="1" applyAlignment="1">
      <alignment horizontal="center" vertical="center"/>
    </xf>
    <xf numFmtId="167" fontId="35" fillId="13" borderId="65" xfId="6" applyNumberFormat="1" applyFont="1" applyFill="1" applyBorder="1" applyAlignment="1">
      <alignment horizontal="center" vertical="center"/>
    </xf>
    <xf numFmtId="2" fontId="35" fillId="13" borderId="66" xfId="6" applyNumberFormat="1" applyFont="1" applyFill="1" applyBorder="1" applyAlignment="1">
      <alignment horizontal="center" vertical="center"/>
    </xf>
    <xf numFmtId="0" fontId="37" fillId="0" borderId="0" xfId="0" applyFont="1"/>
    <xf numFmtId="0" fontId="0" fillId="5" borderId="92" xfId="0" applyFill="1" applyBorder="1" applyAlignment="1">
      <alignment horizontal="center" vertical="center"/>
    </xf>
    <xf numFmtId="0" fontId="0" fillId="5" borderId="93" xfId="0" applyFill="1" applyBorder="1" applyAlignment="1">
      <alignment horizontal="center" vertical="center"/>
    </xf>
    <xf numFmtId="0" fontId="0" fillId="4" borderId="82" xfId="0" applyFill="1" applyBorder="1" applyAlignment="1">
      <alignment horizontal="center" vertical="center"/>
    </xf>
    <xf numFmtId="0" fontId="0" fillId="5" borderId="74" xfId="0" applyFill="1" applyBorder="1" applyAlignment="1">
      <alignment horizontal="center" vertical="center"/>
    </xf>
    <xf numFmtId="0" fontId="0" fillId="5" borderId="73" xfId="0" applyFill="1" applyBorder="1" applyAlignment="1">
      <alignment horizontal="center" vertical="center"/>
    </xf>
    <xf numFmtId="0" fontId="0" fillId="4" borderId="0" xfId="0" applyFill="1"/>
    <xf numFmtId="0" fontId="0" fillId="5" borderId="78" xfId="0" applyFill="1" applyBorder="1" applyAlignment="1">
      <alignment horizontal="center" vertical="center"/>
    </xf>
    <xf numFmtId="0" fontId="0" fillId="5" borderId="94" xfId="0" applyFill="1" applyBorder="1" applyAlignment="1">
      <alignment horizontal="center" vertical="center"/>
    </xf>
    <xf numFmtId="0" fontId="0" fillId="4" borderId="4" xfId="0" applyFill="1" applyBorder="1" applyAlignment="1">
      <alignment horizontal="center" vertical="center"/>
    </xf>
    <xf numFmtId="0" fontId="0" fillId="5" borderId="63" xfId="0" applyFill="1" applyBorder="1" applyAlignment="1">
      <alignment horizontal="center" vertical="center"/>
    </xf>
    <xf numFmtId="0" fontId="0" fillId="5" borderId="95" xfId="0" applyFill="1" applyBorder="1" applyAlignment="1">
      <alignment horizontal="center" vertical="center"/>
    </xf>
    <xf numFmtId="0" fontId="0" fillId="0" borderId="96" xfId="0" applyBorder="1"/>
    <xf numFmtId="0" fontId="27" fillId="0" borderId="96" xfId="8" applyBorder="1" applyAlignment="1">
      <alignment horizontal="center" vertical="center" wrapText="1"/>
    </xf>
    <xf numFmtId="0" fontId="0" fillId="5" borderId="97" xfId="0" applyFill="1" applyBorder="1" applyAlignment="1">
      <alignment horizontal="center" vertical="center"/>
    </xf>
    <xf numFmtId="0" fontId="0" fillId="5" borderId="98" xfId="0" applyFill="1" applyBorder="1" applyAlignment="1">
      <alignment horizontal="center" vertical="center"/>
    </xf>
    <xf numFmtId="0" fontId="0" fillId="4" borderId="83" xfId="0" applyFill="1" applyBorder="1" applyAlignment="1">
      <alignment horizontal="center" vertical="center"/>
    </xf>
    <xf numFmtId="0" fontId="0" fillId="5" borderId="80" xfId="0" applyFill="1" applyBorder="1" applyAlignment="1">
      <alignment horizontal="center" vertical="center"/>
    </xf>
    <xf numFmtId="0" fontId="0" fillId="5" borderId="79" xfId="0" applyFill="1" applyBorder="1" applyAlignment="1">
      <alignment horizontal="center" vertical="center"/>
    </xf>
    <xf numFmtId="0" fontId="38" fillId="0" borderId="0" xfId="3" applyFont="1"/>
    <xf numFmtId="169" fontId="21" fillId="0" borderId="0" xfId="3" applyNumberFormat="1" applyFont="1"/>
    <xf numFmtId="0" fontId="21" fillId="0" borderId="0" xfId="3" applyFont="1"/>
    <xf numFmtId="0" fontId="0" fillId="17" borderId="0" xfId="0" applyFill="1" applyAlignment="1">
      <alignment horizontal="center" vertical="center"/>
    </xf>
    <xf numFmtId="165" fontId="5" fillId="17" borderId="1" xfId="5" applyNumberFormat="1" applyFill="1" applyAlignment="1">
      <alignment horizontal="center" vertical="center"/>
    </xf>
    <xf numFmtId="169" fontId="0" fillId="0" borderId="0" xfId="0" applyNumberFormat="1" applyAlignment="1">
      <alignment horizontal="center" vertical="center"/>
    </xf>
    <xf numFmtId="169" fontId="0" fillId="0" borderId="0" xfId="0" applyNumberFormat="1"/>
    <xf numFmtId="1" fontId="21" fillId="0" borderId="0" xfId="3" applyNumberFormat="1" applyFont="1"/>
    <xf numFmtId="1" fontId="0" fillId="17" borderId="0" xfId="0" applyNumberFormat="1" applyFill="1" applyAlignment="1">
      <alignment horizontal="center" vertical="center"/>
    </xf>
    <xf numFmtId="165" fontId="0" fillId="0" borderId="99" xfId="0" applyNumberFormat="1" applyBorder="1" applyAlignment="1">
      <alignment horizontal="center" vertical="center"/>
    </xf>
    <xf numFmtId="0" fontId="38" fillId="0" borderId="100" xfId="3" applyFont="1" applyBorder="1"/>
    <xf numFmtId="169" fontId="21" fillId="0" borderId="100" xfId="3" applyNumberFormat="1" applyFont="1" applyBorder="1"/>
    <xf numFmtId="1" fontId="21" fillId="0" borderId="100" xfId="3" applyNumberFormat="1" applyFont="1" applyBorder="1"/>
    <xf numFmtId="0" fontId="39" fillId="0" borderId="0" xfId="3" applyFont="1"/>
    <xf numFmtId="0" fontId="0" fillId="0" borderId="101" xfId="0" applyBorder="1" applyAlignment="1">
      <alignment horizontal="center" vertical="center"/>
    </xf>
    <xf numFmtId="0" fontId="0" fillId="0" borderId="102" xfId="0" applyBorder="1" applyAlignment="1">
      <alignment horizontal="center" vertical="center"/>
    </xf>
    <xf numFmtId="0" fontId="0" fillId="0" borderId="102" xfId="0" applyBorder="1"/>
    <xf numFmtId="0" fontId="0" fillId="0" borderId="103" xfId="0" applyBorder="1" applyAlignment="1">
      <alignment vertical="center"/>
    </xf>
    <xf numFmtId="0" fontId="0" fillId="18" borderId="103" xfId="0" applyFill="1" applyBorder="1" applyAlignment="1">
      <alignment vertical="center"/>
    </xf>
    <xf numFmtId="170" fontId="0" fillId="0" borderId="103" xfId="0" applyNumberFormat="1" applyBorder="1" applyAlignment="1">
      <alignment vertical="center"/>
    </xf>
    <xf numFmtId="0" fontId="0" fillId="0" borderId="103" xfId="0" applyBorder="1"/>
    <xf numFmtId="166" fontId="0" fillId="17" borderId="103" xfId="0" applyNumberFormat="1" applyFill="1" applyBorder="1" applyAlignment="1">
      <alignment vertical="center"/>
    </xf>
    <xf numFmtId="168" fontId="40" fillId="3" borderId="0" xfId="6" applyNumberFormat="1" applyFont="1" applyAlignment="1">
      <alignment horizontal="left" vertical="center"/>
    </xf>
    <xf numFmtId="168" fontId="15" fillId="3" borderId="0" xfId="6" applyNumberFormat="1" applyAlignment="1">
      <alignment horizontal="left" vertical="center"/>
    </xf>
    <xf numFmtId="0" fontId="1" fillId="19" borderId="104" xfId="0" applyFont="1" applyFill="1" applyBorder="1" applyAlignment="1">
      <alignment vertical="center"/>
    </xf>
    <xf numFmtId="0" fontId="1" fillId="19" borderId="105" xfId="0" applyFont="1" applyFill="1" applyBorder="1" applyAlignment="1">
      <alignment vertical="center"/>
    </xf>
    <xf numFmtId="0" fontId="1" fillId="19" borderId="106" xfId="0" applyFont="1" applyFill="1" applyBorder="1" applyAlignment="1">
      <alignment vertical="center"/>
    </xf>
    <xf numFmtId="0" fontId="1" fillId="0" borderId="76" xfId="0" applyFont="1" applyBorder="1" applyAlignment="1">
      <alignment horizontal="center" vertical="center"/>
    </xf>
    <xf numFmtId="0" fontId="1" fillId="0" borderId="99" xfId="0" applyFont="1" applyBorder="1" applyAlignment="1">
      <alignment horizontal="center" wrapText="1"/>
    </xf>
    <xf numFmtId="0" fontId="1" fillId="0" borderId="77" xfId="0" applyFont="1" applyBorder="1" applyAlignment="1">
      <alignment horizontal="center" wrapText="1"/>
    </xf>
    <xf numFmtId="0" fontId="1" fillId="0" borderId="76" xfId="0" applyFont="1" applyBorder="1" applyAlignment="1">
      <alignment horizontal="center" vertical="center" wrapText="1"/>
    </xf>
    <xf numFmtId="0" fontId="1" fillId="0" borderId="99" xfId="0" applyFont="1" applyBorder="1" applyAlignment="1">
      <alignment horizontal="center" vertical="center"/>
    </xf>
    <xf numFmtId="168" fontId="1" fillId="0" borderId="77" xfId="0" applyNumberFormat="1" applyFont="1" applyBorder="1" applyAlignment="1">
      <alignment horizontal="center" vertical="center"/>
    </xf>
    <xf numFmtId="0" fontId="1" fillId="0" borderId="79" xfId="0" applyFont="1" applyBorder="1" applyAlignment="1">
      <alignment horizontal="center" vertical="center" wrapText="1"/>
    </xf>
    <xf numFmtId="168" fontId="1" fillId="0" borderId="83" xfId="0" applyNumberFormat="1" applyFont="1" applyBorder="1" applyAlignment="1">
      <alignment horizontal="center" vertical="center"/>
    </xf>
    <xf numFmtId="168" fontId="1" fillId="0" borderId="80" xfId="0" applyNumberFormat="1" applyFont="1" applyBorder="1" applyAlignment="1">
      <alignment horizontal="center" vertical="center"/>
    </xf>
    <xf numFmtId="0" fontId="1" fillId="0" borderId="0" xfId="0" applyFont="1" applyAlignment="1">
      <alignment horizontal="center" vertical="center"/>
    </xf>
    <xf numFmtId="168" fontId="1" fillId="0" borderId="0" xfId="0" applyNumberFormat="1" applyFont="1" applyAlignment="1">
      <alignment horizontal="center" vertical="center"/>
    </xf>
    <xf numFmtId="168" fontId="35" fillId="13" borderId="0" xfId="6" applyNumberFormat="1" applyFont="1" applyFill="1" applyAlignment="1">
      <alignment horizontal="left" vertical="center"/>
    </xf>
    <xf numFmtId="0" fontId="0" fillId="13" borderId="0" xfId="0" applyFill="1"/>
    <xf numFmtId="168" fontId="0" fillId="0" borderId="0" xfId="0" applyNumberFormat="1"/>
    <xf numFmtId="0" fontId="21" fillId="0" borderId="0" xfId="0" applyFont="1" applyAlignment="1">
      <alignment horizontal="center" vertical="center"/>
    </xf>
    <xf numFmtId="0" fontId="41" fillId="19" borderId="52" xfId="0" applyFont="1" applyFill="1" applyBorder="1" applyAlignment="1">
      <alignment horizontal="center" vertical="center"/>
    </xf>
    <xf numFmtId="0" fontId="41" fillId="19" borderId="53" xfId="0" applyFont="1" applyFill="1" applyBorder="1" applyAlignment="1">
      <alignment horizontal="center" vertical="center"/>
    </xf>
    <xf numFmtId="0" fontId="41" fillId="19" borderId="54" xfId="0" applyFont="1" applyFill="1" applyBorder="1" applyAlignment="1">
      <alignment horizontal="center" vertical="center"/>
    </xf>
    <xf numFmtId="0" fontId="41" fillId="20" borderId="0" xfId="0" applyFont="1" applyFill="1" applyAlignment="1">
      <alignment vertical="center"/>
    </xf>
    <xf numFmtId="0" fontId="41" fillId="19" borderId="107" xfId="0" applyFont="1" applyFill="1" applyBorder="1" applyAlignment="1">
      <alignment horizontal="center" vertical="center"/>
    </xf>
    <xf numFmtId="0" fontId="41" fillId="19" borderId="100" xfId="0" applyFont="1" applyFill="1" applyBorder="1" applyAlignment="1">
      <alignment horizontal="center" vertical="center"/>
    </xf>
    <xf numFmtId="0" fontId="41" fillId="19" borderId="108" xfId="0" applyFont="1" applyFill="1" applyBorder="1" applyAlignment="1">
      <alignment horizontal="center" vertical="center"/>
    </xf>
    <xf numFmtId="0" fontId="41" fillId="20" borderId="0" xfId="0" applyFont="1" applyFill="1" applyAlignment="1">
      <alignment horizontal="center" vertical="center"/>
    </xf>
    <xf numFmtId="0" fontId="41" fillId="0" borderId="90" xfId="0" applyFont="1" applyBorder="1" applyAlignment="1">
      <alignment horizontal="center" vertical="center"/>
    </xf>
    <xf numFmtId="171" fontId="41" fillId="0" borderId="5" xfId="0" applyNumberFormat="1" applyFont="1" applyBorder="1" applyAlignment="1">
      <alignment horizontal="center" vertical="center"/>
    </xf>
    <xf numFmtId="171" fontId="41" fillId="0" borderId="91" xfId="0" applyNumberFormat="1" applyFont="1" applyBorder="1" applyAlignment="1">
      <alignment horizontal="center" vertical="center"/>
    </xf>
    <xf numFmtId="0" fontId="41" fillId="0" borderId="0" xfId="0" applyFont="1" applyAlignment="1">
      <alignment horizontal="right" vertical="center"/>
    </xf>
    <xf numFmtId="1" fontId="41" fillId="0" borderId="76" xfId="0" applyNumberFormat="1" applyFont="1" applyBorder="1" applyAlignment="1">
      <alignment horizontal="center" vertical="center"/>
    </xf>
    <xf numFmtId="166" fontId="41" fillId="0" borderId="77" xfId="0" applyNumberFormat="1" applyFont="1" applyBorder="1" applyAlignment="1">
      <alignment horizontal="center" vertical="center"/>
    </xf>
    <xf numFmtId="171" fontId="1" fillId="0" borderId="99" xfId="0" applyNumberFormat="1" applyFont="1" applyBorder="1" applyAlignment="1">
      <alignment horizontal="center" vertical="center"/>
    </xf>
    <xf numFmtId="171" fontId="41" fillId="0" borderId="99" xfId="0" applyNumberFormat="1" applyFont="1" applyBorder="1" applyAlignment="1">
      <alignment horizontal="center" vertical="center"/>
    </xf>
    <xf numFmtId="171" fontId="41" fillId="0" borderId="77" xfId="0" applyNumberFormat="1" applyFont="1" applyBorder="1" applyAlignment="1">
      <alignment horizontal="center" vertical="center"/>
    </xf>
    <xf numFmtId="1" fontId="41" fillId="0" borderId="79" xfId="0" applyNumberFormat="1" applyFont="1" applyBorder="1" applyAlignment="1">
      <alignment horizontal="center" vertical="center"/>
    </xf>
    <xf numFmtId="166" fontId="41" fillId="0" borderId="80" xfId="0" applyNumberFormat="1" applyFont="1" applyBorder="1" applyAlignment="1">
      <alignment horizontal="center" vertical="center"/>
    </xf>
    <xf numFmtId="171" fontId="41" fillId="0" borderId="83" xfId="0" applyNumberFormat="1" applyFont="1" applyBorder="1" applyAlignment="1">
      <alignment horizontal="center" vertical="center"/>
    </xf>
    <xf numFmtId="171" fontId="41" fillId="0" borderId="80" xfId="0" applyNumberFormat="1" applyFont="1" applyBorder="1" applyAlignment="1">
      <alignment horizontal="center" vertical="center"/>
    </xf>
    <xf numFmtId="0" fontId="41" fillId="0" borderId="0" xfId="0" applyFont="1" applyAlignment="1">
      <alignment horizontal="center" vertical="center"/>
    </xf>
    <xf numFmtId="0" fontId="23" fillId="8" borderId="0" xfId="0" applyFont="1" applyFill="1"/>
    <xf numFmtId="0" fontId="0" fillId="8" borderId="0" xfId="0" applyFill="1"/>
    <xf numFmtId="169" fontId="5" fillId="17" borderId="1" xfId="5" applyNumberFormat="1" applyFill="1" applyAlignment="1">
      <alignment horizontal="center" vertical="center"/>
    </xf>
    <xf numFmtId="169" fontId="0" fillId="0" borderId="99" xfId="0" applyNumberFormat="1" applyBorder="1" applyAlignment="1">
      <alignment horizontal="center" vertical="center"/>
    </xf>
    <xf numFmtId="0" fontId="0" fillId="0" borderId="101" xfId="0" applyBorder="1"/>
    <xf numFmtId="0" fontId="27" fillId="0" borderId="0" xfId="8"/>
    <xf numFmtId="0" fontId="42" fillId="16" borderId="109" xfId="0" applyFont="1" applyFill="1" applyBorder="1"/>
    <xf numFmtId="0" fontId="43" fillId="16" borderId="110" xfId="0" applyFont="1" applyFill="1" applyBorder="1"/>
    <xf numFmtId="0" fontId="43" fillId="16" borderId="111" xfId="0" applyFont="1" applyFill="1" applyBorder="1"/>
    <xf numFmtId="0" fontId="0" fillId="9" borderId="0" xfId="0" applyFill="1"/>
    <xf numFmtId="165" fontId="0" fillId="9" borderId="0" xfId="0" applyNumberFormat="1" applyFill="1"/>
    <xf numFmtId="0" fontId="0" fillId="15" borderId="112" xfId="0" applyFill="1" applyBorder="1"/>
    <xf numFmtId="0" fontId="0" fillId="15" borderId="113" xfId="0" applyFill="1" applyBorder="1"/>
    <xf numFmtId="1" fontId="0" fillId="11" borderId="0" xfId="0" applyNumberFormat="1" applyFill="1"/>
    <xf numFmtId="0" fontId="14" fillId="15" borderId="112" xfId="0" applyFont="1" applyFill="1" applyBorder="1" applyAlignment="1">
      <alignment horizontal="right"/>
    </xf>
    <xf numFmtId="0" fontId="1" fillId="15" borderId="0" xfId="3" applyFill="1"/>
    <xf numFmtId="0" fontId="0" fillId="15" borderId="0" xfId="0" applyFill="1"/>
    <xf numFmtId="0" fontId="18" fillId="14" borderId="52" xfId="0" applyFont="1" applyFill="1" applyBorder="1"/>
    <xf numFmtId="0" fontId="0" fillId="14" borderId="53" xfId="0" applyFill="1" applyBorder="1"/>
    <xf numFmtId="0" fontId="0" fillId="14" borderId="54" xfId="0" applyFill="1" applyBorder="1"/>
    <xf numFmtId="0" fontId="32" fillId="3" borderId="114" xfId="6" applyFont="1" applyBorder="1" applyAlignment="1">
      <alignment horizontal="center" vertical="center"/>
    </xf>
    <xf numFmtId="0" fontId="0" fillId="14" borderId="62" xfId="0" applyFill="1" applyBorder="1"/>
    <xf numFmtId="0" fontId="0" fillId="14" borderId="70" xfId="0" applyFill="1" applyBorder="1"/>
    <xf numFmtId="168" fontId="15" fillId="3" borderId="115" xfId="6" applyNumberFormat="1" applyBorder="1" applyAlignment="1">
      <alignment horizontal="center" vertical="center"/>
    </xf>
    <xf numFmtId="11" fontId="1" fillId="14" borderId="0" xfId="0" applyNumberFormat="1" applyFont="1" applyFill="1"/>
    <xf numFmtId="0" fontId="14" fillId="15" borderId="116" xfId="0" applyFont="1" applyFill="1" applyBorder="1" applyAlignment="1">
      <alignment horizontal="right"/>
    </xf>
    <xf numFmtId="0" fontId="34" fillId="13" borderId="117" xfId="0" applyFont="1" applyFill="1" applyBorder="1" applyAlignment="1">
      <alignment horizontal="center" vertical="center"/>
    </xf>
    <xf numFmtId="168" fontId="35" fillId="13" borderId="118" xfId="6" applyNumberFormat="1" applyFont="1" applyFill="1" applyBorder="1" applyAlignment="1">
      <alignment horizontal="center" vertical="center"/>
    </xf>
    <xf numFmtId="168" fontId="35" fillId="13" borderId="119" xfId="6" applyNumberFormat="1" applyFont="1" applyFill="1" applyBorder="1" applyAlignment="1">
      <alignment horizontal="center" vertical="center"/>
    </xf>
    <xf numFmtId="0" fontId="0" fillId="14" borderId="55" xfId="0" applyFill="1" applyBorder="1"/>
    <xf numFmtId="10" fontId="0" fillId="14" borderId="56" xfId="0" applyNumberFormat="1" applyFill="1" applyBorder="1"/>
    <xf numFmtId="10" fontId="0" fillId="14" borderId="57" xfId="0" applyNumberFormat="1" applyFill="1" applyBorder="1"/>
    <xf numFmtId="0" fontId="45" fillId="7" borderId="120" xfId="0" applyFont="1" applyFill="1" applyBorder="1"/>
    <xf numFmtId="0" fontId="46" fillId="7" borderId="121" xfId="0" applyFont="1" applyFill="1" applyBorder="1"/>
    <xf numFmtId="0" fontId="46" fillId="7" borderId="21" xfId="0" applyFont="1" applyFill="1" applyBorder="1"/>
    <xf numFmtId="0" fontId="0" fillId="9" borderId="122" xfId="0" applyFill="1" applyBorder="1"/>
    <xf numFmtId="0" fontId="14" fillId="9" borderId="24" xfId="0" applyFont="1" applyFill="1" applyBorder="1" applyAlignment="1">
      <alignment horizontal="right"/>
    </xf>
    <xf numFmtId="172" fontId="0" fillId="0" borderId="0" xfId="0" applyNumberFormat="1"/>
    <xf numFmtId="0" fontId="0" fillId="10" borderId="0" xfId="0" applyFill="1"/>
    <xf numFmtId="165" fontId="0" fillId="10" borderId="0" xfId="0" applyNumberFormat="1" applyFill="1"/>
    <xf numFmtId="0" fontId="1" fillId="9" borderId="0" xfId="3" applyFill="1"/>
    <xf numFmtId="1" fontId="0" fillId="8" borderId="0" xfId="0" applyNumberFormat="1" applyFill="1"/>
    <xf numFmtId="0" fontId="32" fillId="3" borderId="123" xfId="6" applyFont="1" applyBorder="1" applyAlignment="1">
      <alignment horizontal="center" vertical="center"/>
    </xf>
    <xf numFmtId="168" fontId="15" fillId="3" borderId="124" xfId="6" applyNumberFormat="1" applyBorder="1" applyAlignment="1">
      <alignment horizontal="center" vertical="center"/>
    </xf>
    <xf numFmtId="0" fontId="14" fillId="9" borderId="27" xfId="0" applyFont="1" applyFill="1" applyBorder="1" applyAlignment="1">
      <alignment horizontal="right"/>
    </xf>
    <xf numFmtId="0" fontId="34" fillId="13" borderId="125" xfId="0" applyFont="1" applyFill="1" applyBorder="1" applyAlignment="1">
      <alignment horizontal="center" vertical="center"/>
    </xf>
    <xf numFmtId="168" fontId="35" fillId="13" borderId="126" xfId="6" applyNumberFormat="1" applyFont="1" applyFill="1" applyBorder="1" applyAlignment="1">
      <alignment horizontal="center" vertical="center"/>
    </xf>
    <xf numFmtId="168" fontId="35" fillId="13" borderId="127" xfId="6" applyNumberFormat="1" applyFont="1" applyFill="1" applyBorder="1" applyAlignment="1">
      <alignment horizontal="center" vertical="center"/>
    </xf>
    <xf numFmtId="0" fontId="48" fillId="8" borderId="128" xfId="0" applyFont="1" applyFill="1" applyBorder="1"/>
    <xf numFmtId="0" fontId="46" fillId="8" borderId="129" xfId="0" applyFont="1" applyFill="1" applyBorder="1"/>
    <xf numFmtId="0" fontId="46" fillId="8" borderId="40" xfId="0" applyFont="1" applyFill="1" applyBorder="1"/>
    <xf numFmtId="0" fontId="0" fillId="10" borderId="13" xfId="0" applyFill="1" applyBorder="1"/>
    <xf numFmtId="0" fontId="14" fillId="10" borderId="12" xfId="0" applyFont="1" applyFill="1" applyBorder="1" applyAlignment="1">
      <alignment horizontal="right"/>
    </xf>
    <xf numFmtId="0" fontId="1" fillId="10" borderId="0" xfId="3" applyFill="1"/>
    <xf numFmtId="0" fontId="32" fillId="3" borderId="130" xfId="6" applyFont="1" applyBorder="1" applyAlignment="1">
      <alignment horizontal="center" vertical="center"/>
    </xf>
    <xf numFmtId="168" fontId="15" fillId="3" borderId="131" xfId="6" applyNumberFormat="1" applyBorder="1" applyAlignment="1">
      <alignment horizontal="center" vertical="center"/>
    </xf>
    <xf numFmtId="0" fontId="14" fillId="10" borderId="16" xfId="0" applyFont="1" applyFill="1" applyBorder="1" applyAlignment="1">
      <alignment horizontal="right"/>
    </xf>
    <xf numFmtId="0" fontId="34" fillId="13" borderId="132" xfId="0" applyFont="1" applyFill="1" applyBorder="1" applyAlignment="1">
      <alignment horizontal="center" vertical="center"/>
    </xf>
    <xf numFmtId="168" fontId="35" fillId="13" borderId="133" xfId="6" applyNumberFormat="1" applyFont="1" applyFill="1" applyBorder="1" applyAlignment="1">
      <alignment horizontal="center" vertical="center"/>
    </xf>
    <xf numFmtId="168" fontId="35" fillId="13" borderId="134" xfId="6" applyNumberFormat="1" applyFont="1" applyFill="1" applyBorder="1" applyAlignment="1">
      <alignment horizontal="center" vertical="center"/>
    </xf>
    <xf numFmtId="0" fontId="49" fillId="0" borderId="0" xfId="0" applyFont="1" applyAlignment="1">
      <alignment horizontal="right" vertical="center"/>
    </xf>
    <xf numFmtId="0" fontId="50" fillId="0" borderId="0" xfId="2" applyFont="1" applyAlignment="1">
      <alignment horizontal="right"/>
    </xf>
    <xf numFmtId="0" fontId="21" fillId="0" borderId="0" xfId="0" applyFont="1" applyAlignment="1">
      <alignment horizontal="left"/>
    </xf>
    <xf numFmtId="0" fontId="21" fillId="4" borderId="0" xfId="0" applyFont="1" applyFill="1" applyAlignment="1">
      <alignment horizontal="left"/>
    </xf>
    <xf numFmtId="0" fontId="21" fillId="4" borderId="0" xfId="0" applyFont="1" applyFill="1"/>
    <xf numFmtId="0" fontId="21" fillId="0" borderId="0" xfId="0" applyFont="1" applyAlignment="1">
      <alignment vertical="center"/>
    </xf>
    <xf numFmtId="171" fontId="41" fillId="0" borderId="0" xfId="0" applyNumberFormat="1" applyFont="1" applyAlignment="1">
      <alignment horizontal="center" vertical="center"/>
    </xf>
    <xf numFmtId="11" fontId="1" fillId="0" borderId="0" xfId="0" applyNumberFormat="1" applyFont="1" applyAlignment="1">
      <alignment horizontal="center" vertical="center"/>
    </xf>
    <xf numFmtId="0" fontId="41" fillId="7" borderId="52" xfId="0" applyFont="1" applyFill="1" applyBorder="1" applyAlignment="1">
      <alignment horizontal="center" vertical="center"/>
    </xf>
    <xf numFmtId="0" fontId="41" fillId="7" borderId="53" xfId="0" applyFont="1" applyFill="1" applyBorder="1" applyAlignment="1">
      <alignment horizontal="center" vertical="center"/>
    </xf>
    <xf numFmtId="0" fontId="41" fillId="7" borderId="54" xfId="0" applyFont="1" applyFill="1" applyBorder="1" applyAlignment="1">
      <alignment horizontal="center" vertical="center"/>
    </xf>
    <xf numFmtId="0" fontId="41" fillId="7" borderId="107" xfId="0" applyFont="1" applyFill="1" applyBorder="1" applyAlignment="1">
      <alignment horizontal="center" vertical="center"/>
    </xf>
    <xf numFmtId="0" fontId="41" fillId="7" borderId="100" xfId="0" applyFont="1" applyFill="1" applyBorder="1" applyAlignment="1">
      <alignment horizontal="center" vertical="center"/>
    </xf>
    <xf numFmtId="0" fontId="41" fillId="7" borderId="108" xfId="0" applyFont="1" applyFill="1" applyBorder="1" applyAlignment="1">
      <alignment horizontal="center" vertical="center"/>
    </xf>
    <xf numFmtId="0" fontId="41" fillId="8" borderId="52" xfId="0" applyFont="1" applyFill="1" applyBorder="1" applyAlignment="1">
      <alignment horizontal="center" vertical="center"/>
    </xf>
    <xf numFmtId="0" fontId="41" fillId="8" borderId="53" xfId="0" applyFont="1" applyFill="1" applyBorder="1" applyAlignment="1">
      <alignment horizontal="center" vertical="center"/>
    </xf>
    <xf numFmtId="0" fontId="41" fillId="8" borderId="54" xfId="0" applyFont="1" applyFill="1" applyBorder="1" applyAlignment="1">
      <alignment horizontal="center" vertical="center"/>
    </xf>
    <xf numFmtId="0" fontId="41" fillId="8" borderId="107" xfId="0" applyFont="1" applyFill="1" applyBorder="1" applyAlignment="1">
      <alignment horizontal="center" vertical="center"/>
    </xf>
    <xf numFmtId="0" fontId="41" fillId="8" borderId="100" xfId="0" applyFont="1" applyFill="1" applyBorder="1" applyAlignment="1">
      <alignment horizontal="center" vertical="center"/>
    </xf>
    <xf numFmtId="0" fontId="41" fillId="8" borderId="108" xfId="0" applyFont="1" applyFill="1" applyBorder="1" applyAlignment="1">
      <alignment horizontal="center" vertical="center"/>
    </xf>
    <xf numFmtId="0" fontId="21" fillId="0" borderId="0" xfId="0" applyFont="1" applyAlignment="1">
      <alignment horizontal="right"/>
    </xf>
    <xf numFmtId="0" fontId="57" fillId="0" borderId="0" xfId="11"/>
    <xf numFmtId="0" fontId="0" fillId="0" borderId="136" xfId="11" applyFont="1" applyBorder="1"/>
    <xf numFmtId="0" fontId="0" fillId="0" borderId="137" xfId="11" applyFont="1" applyBorder="1" applyAlignment="1">
      <alignment horizontal="center"/>
    </xf>
    <xf numFmtId="0" fontId="0" fillId="0" borderId="137" xfId="11" applyFont="1" applyBorder="1"/>
    <xf numFmtId="0" fontId="0" fillId="0" borderId="138" xfId="11" applyFont="1" applyBorder="1"/>
    <xf numFmtId="0" fontId="0" fillId="22" borderId="139" xfId="11" applyFont="1" applyFill="1" applyBorder="1"/>
    <xf numFmtId="10" fontId="0" fillId="0" borderId="140" xfId="11" applyNumberFormat="1" applyFont="1" applyBorder="1" applyAlignment="1">
      <alignment horizontal="center"/>
    </xf>
    <xf numFmtId="0" fontId="0" fillId="0" borderId="140" xfId="11" applyFont="1" applyBorder="1"/>
    <xf numFmtId="172" fontId="59" fillId="0" borderId="140" xfId="13" applyNumberFormat="1" applyBorder="1"/>
    <xf numFmtId="172" fontId="59" fillId="0" borderId="142" xfId="13" applyNumberFormat="1" applyBorder="1"/>
    <xf numFmtId="0" fontId="0" fillId="22" borderId="143" xfId="11" applyFont="1" applyFill="1" applyBorder="1"/>
    <xf numFmtId="10" fontId="0" fillId="0" borderId="0" xfId="11" applyNumberFormat="1" applyFont="1" applyAlignment="1">
      <alignment horizontal="center"/>
    </xf>
    <xf numFmtId="0" fontId="58" fillId="24" borderId="144" xfId="12" applyFill="1" applyBorder="1"/>
    <xf numFmtId="0" fontId="0" fillId="0" borderId="0" xfId="11" applyFont="1"/>
    <xf numFmtId="172" fontId="59" fillId="0" borderId="0" xfId="13" applyNumberFormat="1"/>
    <xf numFmtId="172" fontId="59" fillId="0" borderId="145" xfId="13" applyNumberFormat="1" applyBorder="1"/>
    <xf numFmtId="0" fontId="58" fillId="23" borderId="141" xfId="12" applyBorder="1"/>
    <xf numFmtId="0" fontId="58" fillId="23" borderId="144" xfId="12" applyBorder="1"/>
    <xf numFmtId="0" fontId="0" fillId="22" borderId="146" xfId="11" applyFont="1" applyFill="1" applyBorder="1"/>
    <xf numFmtId="10" fontId="0" fillId="0" borderId="147" xfId="11" applyNumberFormat="1" applyFont="1" applyBorder="1" applyAlignment="1">
      <alignment horizontal="center"/>
    </xf>
    <xf numFmtId="0" fontId="0" fillId="0" borderId="147" xfId="11" applyFont="1" applyBorder="1"/>
    <xf numFmtId="0" fontId="58" fillId="23" borderId="148" xfId="12" applyBorder="1"/>
    <xf numFmtId="172" fontId="59" fillId="0" borderId="147" xfId="13" applyNumberFormat="1" applyBorder="1"/>
    <xf numFmtId="172" fontId="59" fillId="0" borderId="149" xfId="13" applyNumberFormat="1" applyBorder="1"/>
    <xf numFmtId="0" fontId="0" fillId="25" borderId="136" xfId="11" applyFont="1" applyFill="1" applyBorder="1"/>
    <xf numFmtId="0" fontId="0" fillId="25" borderId="139" xfId="11" applyFont="1" applyFill="1" applyBorder="1"/>
    <xf numFmtId="0" fontId="0" fillId="25" borderId="143" xfId="11" applyFont="1" applyFill="1" applyBorder="1"/>
    <xf numFmtId="0" fontId="0" fillId="25" borderId="146" xfId="11" applyFont="1" applyFill="1" applyBorder="1"/>
    <xf numFmtId="0" fontId="0" fillId="0" borderId="145" xfId="11" applyFont="1" applyBorder="1"/>
    <xf numFmtId="0" fontId="60" fillId="22" borderId="136" xfId="11" applyFont="1" applyFill="1" applyBorder="1" applyAlignment="1">
      <alignment horizontal="center"/>
    </xf>
    <xf numFmtId="0" fontId="0" fillId="0" borderId="143" xfId="11" applyFont="1" applyBorder="1"/>
    <xf numFmtId="0" fontId="62" fillId="26" borderId="0" xfId="14"/>
    <xf numFmtId="0" fontId="0" fillId="0" borderId="146" xfId="11" applyFont="1" applyBorder="1"/>
    <xf numFmtId="0" fontId="0" fillId="0" borderId="149" xfId="11" applyFont="1" applyBorder="1"/>
    <xf numFmtId="0" fontId="57" fillId="0" borderId="0" xfId="15"/>
    <xf numFmtId="0" fontId="5" fillId="0" borderId="140" xfId="5" applyFill="1" applyBorder="1"/>
    <xf numFmtId="0" fontId="5" fillId="0" borderId="0" xfId="5" applyFill="1" applyBorder="1"/>
    <xf numFmtId="0" fontId="5" fillId="0" borderId="147" xfId="5" applyFill="1" applyBorder="1"/>
    <xf numFmtId="0" fontId="56" fillId="27" borderId="135" xfId="10" applyFill="1"/>
    <xf numFmtId="0" fontId="56" fillId="28" borderId="135" xfId="10" applyFill="1"/>
    <xf numFmtId="2" fontId="56" fillId="28" borderId="135" xfId="10" applyNumberFormat="1" applyFill="1"/>
    <xf numFmtId="2" fontId="56" fillId="27" borderId="135" xfId="10" applyNumberFormat="1" applyFill="1"/>
    <xf numFmtId="2" fontId="15" fillId="6" borderId="28" xfId="6" applyNumberFormat="1" applyFill="1" applyBorder="1" applyAlignment="1">
      <alignment horizontal="center" vertical="center"/>
    </xf>
    <xf numFmtId="2" fontId="15" fillId="6" borderId="29" xfId="6" applyNumberFormat="1" applyFill="1" applyBorder="1" applyAlignment="1">
      <alignment horizontal="center" vertical="center"/>
    </xf>
    <xf numFmtId="2" fontId="15" fillId="6" borderId="25" xfId="6" applyNumberFormat="1" applyFill="1" applyBorder="1" applyAlignment="1">
      <alignment horizontal="center" vertical="center"/>
    </xf>
    <xf numFmtId="2" fontId="15" fillId="6" borderId="45" xfId="6" applyNumberFormat="1" applyFill="1" applyBorder="1" applyAlignment="1">
      <alignment horizontal="center" vertical="center"/>
    </xf>
    <xf numFmtId="2" fontId="15" fillId="6" borderId="26" xfId="6" applyNumberFormat="1" applyFill="1" applyBorder="1" applyAlignment="1">
      <alignment horizontal="center" vertical="center"/>
    </xf>
    <xf numFmtId="2" fontId="15" fillId="6" borderId="4" xfId="6" applyNumberFormat="1" applyFill="1" applyBorder="1" applyAlignment="1">
      <alignment horizontal="center" vertical="center"/>
    </xf>
    <xf numFmtId="2" fontId="15" fillId="6" borderId="0" xfId="6" applyNumberFormat="1" applyFill="1" applyAlignment="1">
      <alignment horizontal="center" vertical="center"/>
    </xf>
    <xf numFmtId="2" fontId="15" fillId="6" borderId="44" xfId="6" applyNumberFormat="1" applyFill="1" applyBorder="1" applyAlignment="1">
      <alignment horizontal="center" vertical="center"/>
    </xf>
    <xf numFmtId="2" fontId="15" fillId="6" borderId="46" xfId="6" applyNumberFormat="1" applyFill="1" applyBorder="1" applyAlignment="1">
      <alignment horizontal="center" vertical="center"/>
    </xf>
    <xf numFmtId="2" fontId="15" fillId="6" borderId="47" xfId="6" applyNumberFormat="1" applyFill="1" applyBorder="1" applyAlignment="1">
      <alignment horizontal="center" vertical="center"/>
    </xf>
    <xf numFmtId="2" fontId="15" fillId="6" borderId="48" xfId="6" applyNumberFormat="1" applyFill="1" applyBorder="1" applyAlignment="1">
      <alignment horizontal="center" vertical="center"/>
    </xf>
    <xf numFmtId="0" fontId="63" fillId="29" borderId="52" xfId="0" applyFont="1" applyFill="1" applyBorder="1"/>
    <xf numFmtId="0" fontId="46" fillId="29" borderId="53" xfId="0" applyFont="1" applyFill="1" applyBorder="1"/>
    <xf numFmtId="0" fontId="46" fillId="29" borderId="54" xfId="0" applyFont="1" applyFill="1" applyBorder="1"/>
    <xf numFmtId="0" fontId="0" fillId="30" borderId="62" xfId="0" applyFill="1" applyBorder="1"/>
    <xf numFmtId="0" fontId="0" fillId="30" borderId="70" xfId="0" applyFill="1" applyBorder="1"/>
    <xf numFmtId="0" fontId="14" fillId="30" borderId="62" xfId="0" applyFont="1" applyFill="1" applyBorder="1" applyAlignment="1">
      <alignment horizontal="right"/>
    </xf>
    <xf numFmtId="0" fontId="1" fillId="30" borderId="0" xfId="3" applyFill="1"/>
    <xf numFmtId="0" fontId="0" fillId="30" borderId="0" xfId="0" applyFill="1"/>
    <xf numFmtId="0" fontId="14" fillId="30" borderId="55" xfId="0" applyFont="1" applyFill="1" applyBorder="1" applyAlignment="1">
      <alignment horizontal="right"/>
    </xf>
    <xf numFmtId="0" fontId="64" fillId="0" borderId="0" xfId="0" applyFont="1"/>
    <xf numFmtId="1" fontId="41" fillId="0" borderId="82" xfId="0" applyNumberFormat="1" applyFont="1" applyBorder="1" applyAlignment="1">
      <alignment horizontal="center" vertical="center"/>
    </xf>
    <xf numFmtId="1" fontId="41" fillId="0" borderId="74" xfId="0" applyNumberFormat="1" applyFont="1" applyBorder="1" applyAlignment="1">
      <alignment horizontal="center" vertical="center"/>
    </xf>
    <xf numFmtId="1" fontId="41" fillId="0" borderId="93" xfId="0" applyNumberFormat="1" applyFont="1" applyBorder="1" applyAlignment="1">
      <alignment horizontal="center" vertical="center"/>
    </xf>
    <xf numFmtId="172" fontId="65" fillId="0" borderId="83" xfId="1" applyNumberFormat="1" applyFont="1" applyBorder="1"/>
    <xf numFmtId="172" fontId="65" fillId="0" borderId="80" xfId="1" applyNumberFormat="1" applyFont="1" applyBorder="1"/>
    <xf numFmtId="172" fontId="65" fillId="0" borderId="98" xfId="1" applyNumberFormat="1" applyFont="1" applyBorder="1"/>
    <xf numFmtId="172" fontId="55" fillId="0" borderId="70" xfId="1" applyNumberFormat="1" applyBorder="1"/>
    <xf numFmtId="172" fontId="55" fillId="0" borderId="57" xfId="1" applyNumberFormat="1" applyBorder="1"/>
    <xf numFmtId="166" fontId="0" fillId="18" borderId="103" xfId="0" applyNumberFormat="1" applyFill="1" applyBorder="1" applyAlignment="1">
      <alignment vertical="center"/>
    </xf>
    <xf numFmtId="173" fontId="15" fillId="3" borderId="83" xfId="6" applyNumberFormat="1" applyBorder="1" applyAlignment="1">
      <alignment horizontal="center" vertical="center"/>
    </xf>
    <xf numFmtId="0" fontId="0" fillId="32" borderId="0" xfId="0" applyFill="1"/>
    <xf numFmtId="10" fontId="55" fillId="32" borderId="0" xfId="1" applyNumberFormat="1" applyFill="1"/>
    <xf numFmtId="0" fontId="0" fillId="34" borderId="62" xfId="0" applyFill="1" applyBorder="1"/>
    <xf numFmtId="0" fontId="14" fillId="34" borderId="62" xfId="0" applyFont="1" applyFill="1" applyBorder="1" applyAlignment="1">
      <alignment horizontal="right"/>
    </xf>
    <xf numFmtId="0" fontId="0" fillId="35" borderId="70" xfId="0" applyFill="1" applyBorder="1"/>
    <xf numFmtId="0" fontId="0" fillId="35" borderId="62" xfId="0" applyFill="1" applyBorder="1"/>
    <xf numFmtId="0" fontId="0" fillId="35" borderId="0" xfId="0" applyFill="1"/>
    <xf numFmtId="0" fontId="14" fillId="36" borderId="62" xfId="0" applyFont="1" applyFill="1" applyBorder="1" applyAlignment="1">
      <alignment horizontal="right"/>
    </xf>
    <xf numFmtId="173" fontId="15" fillId="3" borderId="80" xfId="6" applyNumberFormat="1" applyBorder="1" applyAlignment="1">
      <alignment horizontal="center" vertical="center"/>
    </xf>
    <xf numFmtId="0" fontId="14" fillId="36" borderId="55" xfId="0" applyFont="1" applyFill="1" applyBorder="1" applyAlignment="1">
      <alignment horizontal="right"/>
    </xf>
    <xf numFmtId="173" fontId="35" fillId="13" borderId="83" xfId="6" applyNumberFormat="1" applyFont="1" applyFill="1" applyBorder="1" applyAlignment="1">
      <alignment horizontal="center" vertical="center"/>
    </xf>
    <xf numFmtId="173" fontId="35" fillId="13" borderId="80" xfId="6" applyNumberFormat="1" applyFont="1" applyFill="1" applyBorder="1" applyAlignment="1">
      <alignment horizontal="center" vertical="center"/>
    </xf>
    <xf numFmtId="0" fontId="2" fillId="37" borderId="101" xfId="0" applyFont="1" applyFill="1" applyBorder="1"/>
    <xf numFmtId="0" fontId="0" fillId="37" borderId="151" xfId="0" applyFill="1" applyBorder="1"/>
    <xf numFmtId="0" fontId="0" fillId="37" borderId="152" xfId="0" applyFill="1" applyBorder="1"/>
    <xf numFmtId="0" fontId="58" fillId="24" borderId="153" xfId="12" applyFill="1" applyBorder="1"/>
    <xf numFmtId="0" fontId="58" fillId="24" borderId="154" xfId="12" applyFill="1" applyBorder="1"/>
    <xf numFmtId="0" fontId="58" fillId="24" borderId="155" xfId="12" applyFill="1" applyBorder="1"/>
    <xf numFmtId="0" fontId="58" fillId="24" borderId="156" xfId="12" applyFill="1" applyBorder="1"/>
    <xf numFmtId="0" fontId="58" fillId="24" borderId="157" xfId="12" applyFill="1" applyBorder="1"/>
    <xf numFmtId="0" fontId="58" fillId="23" borderId="158" xfId="12" applyBorder="1"/>
    <xf numFmtId="0" fontId="58" fillId="23" borderId="159" xfId="12" applyBorder="1"/>
    <xf numFmtId="0" fontId="58" fillId="23" borderId="156" xfId="12" applyBorder="1"/>
    <xf numFmtId="0" fontId="58" fillId="23" borderId="157" xfId="12" applyBorder="1"/>
    <xf numFmtId="0" fontId="58" fillId="23" borderId="160" xfId="12" applyBorder="1"/>
    <xf numFmtId="0" fontId="58" fillId="23" borderId="161" xfId="12" applyBorder="1"/>
    <xf numFmtId="0" fontId="58" fillId="23" borderId="162" xfId="12" applyBorder="1"/>
    <xf numFmtId="0" fontId="58" fillId="23" borderId="163" xfId="12" applyBorder="1"/>
    <xf numFmtId="0" fontId="58" fillId="23" borderId="164" xfId="12" applyBorder="1"/>
    <xf numFmtId="0" fontId="67" fillId="0" borderId="0" xfId="11" applyFont="1"/>
    <xf numFmtId="0" fontId="0" fillId="38" borderId="0" xfId="11" applyFont="1" applyFill="1"/>
    <xf numFmtId="0" fontId="57" fillId="38" borderId="0" xfId="11" applyFill="1"/>
    <xf numFmtId="0" fontId="0" fillId="0" borderId="165" xfId="11" applyFont="1" applyBorder="1"/>
    <xf numFmtId="14" fontId="0" fillId="0" borderId="0" xfId="0" applyNumberFormat="1"/>
    <xf numFmtId="174" fontId="36" fillId="0" borderId="0" xfId="0" applyNumberFormat="1" applyFont="1" applyAlignment="1">
      <alignment horizontal="center" vertical="center"/>
    </xf>
    <xf numFmtId="0" fontId="36" fillId="0" borderId="0" xfId="0" applyFont="1" applyAlignment="1">
      <alignment horizontal="center" vertical="center"/>
    </xf>
    <xf numFmtId="0" fontId="14" fillId="11" borderId="19" xfId="0" applyFont="1" applyFill="1" applyBorder="1" applyAlignment="1">
      <alignment horizontal="center" vertical="center"/>
    </xf>
    <xf numFmtId="0" fontId="0" fillId="0" borderId="121" xfId="0" applyBorder="1"/>
    <xf numFmtId="0" fontId="12" fillId="8" borderId="37" xfId="0" applyFont="1" applyFill="1" applyBorder="1" applyAlignment="1">
      <alignment horizontal="center" vertical="center" wrapText="1"/>
    </xf>
    <xf numFmtId="0" fontId="0" fillId="0" borderId="166" xfId="0" applyBorder="1"/>
    <xf numFmtId="0" fontId="60" fillId="22" borderId="136" xfId="11" applyFont="1" applyFill="1" applyBorder="1" applyAlignment="1">
      <alignment horizontal="center"/>
    </xf>
    <xf numFmtId="0" fontId="0" fillId="0" borderId="140" xfId="0" applyBorder="1"/>
    <xf numFmtId="0" fontId="0" fillId="0" borderId="146" xfId="0" applyBorder="1"/>
    <xf numFmtId="0" fontId="0" fillId="0" borderId="147" xfId="0" applyBorder="1"/>
    <xf numFmtId="0" fontId="12" fillId="11" borderId="18" xfId="0" applyFont="1" applyFill="1" applyBorder="1" applyAlignment="1">
      <alignment horizontal="center" vertical="center" wrapText="1"/>
    </xf>
    <xf numFmtId="0" fontId="0" fillId="0" borderId="33" xfId="0" applyBorder="1"/>
    <xf numFmtId="0" fontId="16" fillId="8" borderId="0" xfId="0" applyFont="1" applyFill="1" applyAlignment="1">
      <alignment horizontal="center" vertical="center" wrapText="1"/>
    </xf>
    <xf numFmtId="0" fontId="57" fillId="0" borderId="0" xfId="15"/>
    <xf numFmtId="0" fontId="14" fillId="8" borderId="38" xfId="0" applyFont="1" applyFill="1" applyBorder="1" applyAlignment="1">
      <alignment horizontal="center" vertical="center"/>
    </xf>
    <xf numFmtId="0" fontId="0" fillId="0" borderId="129" xfId="0" applyBorder="1"/>
    <xf numFmtId="0" fontId="14" fillId="11" borderId="21" xfId="0" applyFont="1" applyFill="1" applyBorder="1" applyAlignment="1">
      <alignment horizontal="center" vertical="center"/>
    </xf>
    <xf numFmtId="0" fontId="0" fillId="0" borderId="21" xfId="0" applyBorder="1"/>
    <xf numFmtId="0" fontId="14" fillId="11" borderId="20" xfId="0" applyFont="1" applyFill="1" applyBorder="1" applyAlignment="1">
      <alignment horizontal="center" vertical="center"/>
    </xf>
    <xf numFmtId="0" fontId="0" fillId="0" borderId="168" xfId="0" applyBorder="1"/>
    <xf numFmtId="0" fontId="11" fillId="7" borderId="0" xfId="0" applyFont="1" applyFill="1" applyAlignment="1">
      <alignment horizontal="center" vertical="center" wrapText="1"/>
    </xf>
    <xf numFmtId="0" fontId="57" fillId="0" borderId="0" xfId="11"/>
    <xf numFmtId="0" fontId="14" fillId="8" borderId="39" xfId="0" applyFont="1" applyFill="1" applyBorder="1" applyAlignment="1">
      <alignment horizontal="center" vertical="center"/>
    </xf>
    <xf numFmtId="0" fontId="0" fillId="0" borderId="167" xfId="0" applyBorder="1"/>
    <xf numFmtId="0" fontId="14" fillId="8" borderId="40" xfId="0" applyFont="1" applyFill="1" applyBorder="1" applyAlignment="1">
      <alignment horizontal="center" vertical="center"/>
    </xf>
    <xf numFmtId="0" fontId="0" fillId="0" borderId="40" xfId="0" applyBorder="1"/>
    <xf numFmtId="0" fontId="61" fillId="25" borderId="150" xfId="11" applyFont="1" applyFill="1" applyBorder="1" applyAlignment="1">
      <alignment horizontal="center"/>
    </xf>
    <xf numFmtId="0" fontId="0" fillId="0" borderId="142" xfId="0" applyBorder="1"/>
    <xf numFmtId="0" fontId="0" fillId="0" borderId="149" xfId="0" applyBorder="1"/>
    <xf numFmtId="0" fontId="66" fillId="31" borderId="0" xfId="0" applyFont="1" applyFill="1" applyAlignment="1">
      <alignment horizontal="center" vertical="center" wrapText="1"/>
    </xf>
    <xf numFmtId="0" fontId="0" fillId="0" borderId="0" xfId="0"/>
    <xf numFmtId="0" fontId="9" fillId="9" borderId="8" xfId="0" applyFont="1" applyFill="1" applyBorder="1" applyAlignment="1">
      <alignment horizontal="center"/>
    </xf>
    <xf numFmtId="0" fontId="0" fillId="0" borderId="11" xfId="0" applyBorder="1"/>
    <xf numFmtId="0" fontId="9" fillId="10" borderId="9" xfId="0" applyFont="1" applyFill="1" applyBorder="1" applyAlignment="1">
      <alignment horizontal="center" vertical="center"/>
    </xf>
    <xf numFmtId="0" fontId="0" fillId="0" borderId="13" xfId="0" applyBorder="1"/>
    <xf numFmtId="0" fontId="7" fillId="7" borderId="6" xfId="0" applyFont="1" applyFill="1" applyBorder="1" applyAlignment="1">
      <alignment horizontal="center" wrapText="1"/>
    </xf>
    <xf numFmtId="0" fontId="0" fillId="0" borderId="169" xfId="0" applyBorder="1"/>
    <xf numFmtId="0" fontId="8" fillId="8" borderId="7" xfId="0" applyFont="1" applyFill="1" applyBorder="1" applyAlignment="1">
      <alignment horizontal="center" vertical="center" wrapText="1"/>
    </xf>
    <xf numFmtId="0" fontId="41" fillId="19" borderId="74" xfId="0" applyFont="1" applyFill="1" applyBorder="1" applyAlignment="1">
      <alignment horizontal="center" vertical="center" wrapText="1"/>
    </xf>
    <xf numFmtId="0" fontId="0" fillId="0" borderId="91" xfId="0" applyBorder="1"/>
    <xf numFmtId="0" fontId="14" fillId="0" borderId="54" xfId="0" applyFont="1" applyBorder="1" applyAlignment="1">
      <alignment horizontal="center" vertical="center"/>
    </xf>
    <xf numFmtId="0" fontId="0" fillId="0" borderId="54" xfId="0" applyBorder="1"/>
    <xf numFmtId="0" fontId="26" fillId="0" borderId="2" xfId="7" applyAlignment="1">
      <alignment horizontal="center"/>
    </xf>
    <xf numFmtId="0" fontId="0" fillId="0" borderId="2" xfId="0" applyBorder="1"/>
    <xf numFmtId="0" fontId="30" fillId="0" borderId="72" xfId="7" applyFont="1" applyBorder="1" applyAlignment="1">
      <alignment horizontal="center"/>
    </xf>
    <xf numFmtId="0" fontId="0" fillId="0" borderId="72" xfId="0" applyBorder="1"/>
    <xf numFmtId="0" fontId="0" fillId="5" borderId="0" xfId="0" applyFill="1" applyAlignment="1">
      <alignment horizontal="center" vertical="center" wrapText="1"/>
    </xf>
    <xf numFmtId="0" fontId="41" fillId="7" borderId="79" xfId="0" applyFont="1" applyFill="1" applyBorder="1" applyAlignment="1">
      <alignment horizontal="center" vertical="center" wrapText="1"/>
    </xf>
    <xf numFmtId="0" fontId="0" fillId="0" borderId="98" xfId="0" applyBorder="1"/>
    <xf numFmtId="0" fontId="30" fillId="0" borderId="71" xfId="7" applyFont="1" applyBorder="1" applyAlignment="1">
      <alignment horizontal="center"/>
    </xf>
    <xf numFmtId="0" fontId="0" fillId="4" borderId="62" xfId="0" applyFill="1" applyBorder="1" applyAlignment="1">
      <alignment horizontal="center" vertical="center" wrapText="1"/>
    </xf>
    <xf numFmtId="0" fontId="0" fillId="0" borderId="62" xfId="0" applyBorder="1"/>
    <xf numFmtId="0" fontId="0" fillId="4" borderId="0" xfId="0" applyFill="1" applyAlignment="1">
      <alignment horizontal="center" vertical="center" wrapText="1"/>
    </xf>
    <xf numFmtId="0" fontId="41" fillId="19" borderId="104" xfId="0" applyFont="1" applyFill="1" applyBorder="1" applyAlignment="1">
      <alignment horizontal="center" vertical="center" wrapText="1"/>
    </xf>
    <xf numFmtId="0" fontId="0" fillId="0" borderId="107" xfId="0" applyBorder="1"/>
    <xf numFmtId="0" fontId="14" fillId="0" borderId="59" xfId="0" applyFont="1" applyBorder="1" applyAlignment="1">
      <alignment horizontal="center" vertical="center"/>
    </xf>
    <xf numFmtId="0" fontId="0" fillId="0" borderId="53" xfId="0" applyBorder="1"/>
    <xf numFmtId="0" fontId="41" fillId="7" borderId="73" xfId="0" applyFont="1" applyFill="1" applyBorder="1" applyAlignment="1">
      <alignment horizontal="center" vertical="center" wrapText="1"/>
    </xf>
    <xf numFmtId="0" fontId="0" fillId="0" borderId="93" xfId="0" applyBorder="1"/>
    <xf numFmtId="0" fontId="25" fillId="0" borderId="2" xfId="7" applyFont="1" applyAlignment="1">
      <alignment horizontal="center"/>
    </xf>
    <xf numFmtId="0" fontId="12" fillId="0" borderId="58" xfId="0" applyFont="1" applyBorder="1" applyAlignment="1">
      <alignment horizontal="center" vertical="center" wrapText="1"/>
    </xf>
    <xf numFmtId="0" fontId="0" fillId="0" borderId="171" xfId="0" applyBorder="1"/>
    <xf numFmtId="0" fontId="14" fillId="0" borderId="60" xfId="0" applyFont="1" applyBorder="1" applyAlignment="1">
      <alignment horizontal="center" vertical="center"/>
    </xf>
    <xf numFmtId="0" fontId="0" fillId="0" borderId="170" xfId="0" applyBorder="1"/>
    <xf numFmtId="0" fontId="44" fillId="11" borderId="0" xfId="0" applyFont="1" applyFill="1" applyAlignment="1">
      <alignment horizontal="center" vertical="center" textRotation="255" wrapText="1"/>
    </xf>
    <xf numFmtId="0" fontId="63" fillId="33" borderId="75" xfId="0" applyFont="1" applyFill="1" applyBorder="1" applyAlignment="1">
      <alignment horizontal="left"/>
    </xf>
    <xf numFmtId="0" fontId="47" fillId="8" borderId="0" xfId="0" applyFont="1" applyFill="1" applyAlignment="1">
      <alignment horizontal="center" vertical="center" textRotation="255" wrapText="1"/>
    </xf>
    <xf numFmtId="0" fontId="21" fillId="0" borderId="78" xfId="0" applyFont="1" applyBorder="1" applyAlignment="1">
      <alignment horizontal="right" vertical="center"/>
    </xf>
    <xf numFmtId="0" fontId="0" fillId="0" borderId="70" xfId="0" applyBorder="1"/>
    <xf numFmtId="0" fontId="41" fillId="7" borderId="104" xfId="0" applyFont="1" applyFill="1" applyBorder="1" applyAlignment="1">
      <alignment horizontal="center" vertical="center" wrapText="1"/>
    </xf>
    <xf numFmtId="168" fontId="1" fillId="0" borderId="77" xfId="0" applyNumberFormat="1" applyFont="1" applyBorder="1" applyAlignment="1">
      <alignment horizontal="center" vertical="center"/>
    </xf>
    <xf numFmtId="0" fontId="0" fillId="0" borderId="173" xfId="0" applyBorder="1"/>
    <xf numFmtId="0" fontId="21" fillId="0" borderId="0" xfId="0" applyFont="1" applyAlignment="1">
      <alignment horizontal="right"/>
    </xf>
    <xf numFmtId="0" fontId="21" fillId="0" borderId="0" xfId="0" applyFont="1" applyAlignment="1">
      <alignment horizontal="right" vertical="center"/>
    </xf>
    <xf numFmtId="0" fontId="21" fillId="4" borderId="0" xfId="0" applyFont="1" applyFill="1" applyAlignment="1">
      <alignment horizontal="right"/>
    </xf>
    <xf numFmtId="0" fontId="52" fillId="0" borderId="0" xfId="0" applyFont="1" applyAlignment="1">
      <alignment horizontal="left" vertical="center"/>
    </xf>
    <xf numFmtId="168" fontId="1" fillId="0" borderId="83" xfId="0" applyNumberFormat="1" applyFont="1" applyBorder="1" applyAlignment="1">
      <alignment horizontal="center" vertical="center"/>
    </xf>
    <xf numFmtId="0" fontId="41" fillId="8" borderId="74" xfId="0" applyFont="1" applyFill="1" applyBorder="1" applyAlignment="1">
      <alignment horizontal="center" vertical="center" wrapText="1"/>
    </xf>
    <xf numFmtId="0" fontId="1" fillId="0" borderId="99" xfId="0" applyFont="1" applyBorder="1" applyAlignment="1">
      <alignment horizontal="center" vertical="center"/>
    </xf>
    <xf numFmtId="0" fontId="0" fillId="0" borderId="172" xfId="0" applyBorder="1"/>
    <xf numFmtId="0" fontId="41" fillId="8" borderId="79" xfId="0" applyFont="1" applyFill="1" applyBorder="1" applyAlignment="1">
      <alignment horizontal="center" vertical="center"/>
    </xf>
    <xf numFmtId="168" fontId="1" fillId="0" borderId="80" xfId="0" applyNumberFormat="1" applyFont="1" applyBorder="1" applyAlignment="1">
      <alignment horizontal="center" vertical="center"/>
    </xf>
    <xf numFmtId="0" fontId="0" fillId="0" borderId="174" xfId="0" applyBorder="1"/>
    <xf numFmtId="0" fontId="1" fillId="0" borderId="77" xfId="0" applyFont="1" applyBorder="1" applyAlignment="1">
      <alignment horizontal="center" vertical="center" wrapText="1"/>
    </xf>
    <xf numFmtId="0" fontId="41" fillId="8" borderId="73" xfId="0" applyFont="1" applyFill="1" applyBorder="1" applyAlignment="1">
      <alignment horizontal="center" vertical="center"/>
    </xf>
    <xf numFmtId="0" fontId="54" fillId="0" borderId="0" xfId="0" applyFont="1" applyAlignment="1">
      <alignment horizontal="left" vertical="center"/>
    </xf>
    <xf numFmtId="0" fontId="41" fillId="7" borderId="74" xfId="0" applyFont="1" applyFill="1" applyBorder="1" applyAlignment="1">
      <alignment horizontal="center" vertical="center" wrapText="1"/>
    </xf>
    <xf numFmtId="0" fontId="1" fillId="8" borderId="92" xfId="0" applyFont="1" applyFill="1" applyBorder="1" applyAlignment="1">
      <alignment horizontal="center" vertical="center" wrapText="1"/>
    </xf>
    <xf numFmtId="0" fontId="0" fillId="0" borderId="105" xfId="0" applyBorder="1"/>
    <xf numFmtId="0" fontId="0" fillId="0" borderId="106" xfId="0" applyBorder="1"/>
    <xf numFmtId="0" fontId="41" fillId="8" borderId="104" xfId="0" applyFont="1" applyFill="1" applyBorder="1" applyAlignment="1">
      <alignment horizontal="center" vertical="center" wrapText="1"/>
    </xf>
    <xf numFmtId="0" fontId="1" fillId="0" borderId="99" xfId="0" applyFont="1" applyBorder="1" applyAlignment="1">
      <alignment horizontal="center" vertical="center" wrapText="1"/>
    </xf>
    <xf numFmtId="0" fontId="1" fillId="7" borderId="92" xfId="0" applyFont="1" applyFill="1" applyBorder="1" applyAlignment="1">
      <alignment horizontal="center" vertical="center" wrapText="1"/>
    </xf>
    <xf numFmtId="0" fontId="53" fillId="0" borderId="75" xfId="0" applyFont="1" applyBorder="1" applyAlignment="1">
      <alignment horizontal="center" wrapText="1"/>
    </xf>
    <xf numFmtId="164" fontId="21" fillId="0" borderId="0" xfId="0" applyNumberFormat="1" applyFont="1" applyAlignment="1">
      <alignment horizontal="right"/>
    </xf>
    <xf numFmtId="0" fontId="21" fillId="0" borderId="81" xfId="0" applyFont="1" applyBorder="1" applyAlignment="1">
      <alignment horizontal="right" vertical="center"/>
    </xf>
    <xf numFmtId="0" fontId="0" fillId="0" borderId="56" xfId="0" applyBorder="1"/>
    <xf numFmtId="0" fontId="0" fillId="0" borderId="57" xfId="0" applyBorder="1"/>
  </cellXfs>
  <cellStyles count="16">
    <cellStyle name="Default" xfId="11" xr:uid="{00000000-0005-0000-0000-00000B000000}"/>
    <cellStyle name="Excel Built-in Calculation" xfId="9" xr:uid="{00000000-0005-0000-0000-000009000000}"/>
    <cellStyle name="Excel Built-in Good" xfId="6" xr:uid="{00000000-0005-0000-0000-000006000000}"/>
    <cellStyle name="Excel Built-in Good 2" xfId="14" xr:uid="{00000000-0005-0000-0000-00000E000000}"/>
    <cellStyle name="Excel Built-in Heading 1" xfId="7" xr:uid="{00000000-0005-0000-0000-000007000000}"/>
    <cellStyle name="Excel Built-in Heading 4" xfId="8" xr:uid="{00000000-0005-0000-0000-000008000000}"/>
    <cellStyle name="Excel Built-in Input" xfId="5" xr:uid="{00000000-0005-0000-0000-000005000000}"/>
    <cellStyle name="Excel Built-in Input 2" xfId="12" xr:uid="{00000000-0005-0000-0000-00000C000000}"/>
    <cellStyle name="Excel Built-in Percent" xfId="13" xr:uid="{00000000-0005-0000-0000-00000D000000}"/>
    <cellStyle name="Hyperlink" xfId="2" builtinId="8"/>
    <cellStyle name="Normal" xfId="0" builtinId="0"/>
    <cellStyle name="Normale 2" xfId="3" xr:uid="{00000000-0005-0000-0000-000003000000}"/>
    <cellStyle name="Normale 2 2" xfId="4" xr:uid="{00000000-0005-0000-0000-000004000000}"/>
    <cellStyle name="Normale 3" xfId="15" xr:uid="{00000000-0005-0000-0000-00000F000000}"/>
    <cellStyle name="Output" xfId="10" builtinId="21"/>
    <cellStyle name="Percent" xfId="1" builtinId="5"/>
  </cellStyles>
  <dxfs count="24">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s>
  <tableStyles count="0" defaultTableStyle="TableStyleMedium2" defaultPivotStyle="PivotStyleLight16"/>
  <colors>
    <indexedColors>
      <rgbColor rgb="FF000000"/>
      <rgbColor rgb="FFFFFFFF"/>
      <rgbColor rgb="FFFF0000"/>
      <rgbColor rgb="FF66FF33"/>
      <rgbColor rgb="FF0000FF"/>
      <rgbColor rgb="FFFFFF00"/>
      <rgbColor rgb="FFFF00FF"/>
      <rgbColor rgb="FF00FFFF"/>
      <rgbColor rgb="FF800000"/>
      <rgbColor rgb="FF006100"/>
      <rgbColor rgb="FF000080"/>
      <rgbColor rgb="FF548235"/>
      <rgbColor rgb="FF800080"/>
      <rgbColor rgb="FF0070C0"/>
      <rgbColor rgb="FFBFBFBF"/>
      <rgbColor rgb="FF808080"/>
      <rgbColor rgb="FF5B9BD5"/>
      <rgbColor rgb="FF993366"/>
      <rgbColor rgb="FFFFF2CC"/>
      <rgbColor rgb="FFDEEBF7"/>
      <rgbColor rgb="FF660066"/>
      <rgbColor rgb="FFD9D9D9"/>
      <rgbColor rgb="FF0563C1"/>
      <rgbColor rgb="FFBDD7EE"/>
      <rgbColor rgb="FF000080"/>
      <rgbColor rgb="FFFF00FF"/>
      <rgbColor rgb="FFF2F2F2"/>
      <rgbColor rgb="FF00FFFF"/>
      <rgbColor rgb="FF800080"/>
      <rgbColor rgb="FF800000"/>
      <rgbColor rgb="FF2C6EAB"/>
      <rgbColor rgb="FF0000FF"/>
      <rgbColor rgb="FF00B0F0"/>
      <rgbColor rgb="FFE2F0D9"/>
      <rgbColor rgb="FFC6EFCE"/>
      <rgbColor rgb="FFFFE699"/>
      <rgbColor rgb="FF9DC3E6"/>
      <rgbColor rgb="FFFCBABF"/>
      <rgbColor rgb="FFD0CECE"/>
      <rgbColor rgb="FFFFCC99"/>
      <rgbColor rgb="FF2E75B6"/>
      <rgbColor rgb="FFDAE3F3"/>
      <rgbColor rgb="FFA9D18E"/>
      <rgbColor rgb="FFFDD7DA"/>
      <rgbColor rgb="FFBF9000"/>
      <rgbColor rgb="FFFA7D00"/>
      <rgbColor rgb="FF595959"/>
      <rgbColor rgb="FF7F7F7F"/>
      <rgbColor rgb="FF1F4E79"/>
      <rgbColor rgb="FF00B050"/>
      <rgbColor rgb="FF003300"/>
      <rgbColor rgb="FF44546A"/>
      <rgbColor rgb="FFFF3300"/>
      <rgbColor rgb="FF993366"/>
      <rgbColor rgb="FF3F3F76"/>
      <rgbColor rgb="FF38562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hyperlink" Target="http://www.eastingelectronics.com/" TargetMode="External"/><Relationship Id="rId1" Type="http://schemas.openxmlformats.org/officeDocument/2006/relationships/hyperlink" Target="http://www.eastingelectronic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85"/>
  <sheetViews>
    <sheetView tabSelected="1" topLeftCell="A17" zoomScale="85" zoomScaleNormal="85" workbookViewId="0">
      <selection activeCell="H34" sqref="H34"/>
    </sheetView>
  </sheetViews>
  <sheetFormatPr defaultColWidth="9" defaultRowHeight="13.2"/>
  <cols>
    <col min="1" max="1" width="9" style="361" customWidth="1"/>
    <col min="2" max="2" width="10.33203125" style="361" customWidth="1"/>
    <col min="3" max="3" width="12.44140625" style="361" bestFit="1" customWidth="1"/>
    <col min="4" max="4" width="16.33203125" style="361" customWidth="1"/>
    <col min="5" max="5" width="11.6640625" style="361" customWidth="1"/>
    <col min="6" max="6" width="11.44140625" style="361" customWidth="1"/>
    <col min="7" max="7" width="18" style="361" customWidth="1"/>
    <col min="8" max="8" width="10" style="361" customWidth="1"/>
    <col min="9" max="9" width="13.44140625" style="361" bestFit="1" customWidth="1"/>
    <col min="10" max="10" width="14" style="361" bestFit="1" customWidth="1"/>
    <col min="11" max="11" width="13.44140625" style="361" bestFit="1" customWidth="1"/>
    <col min="12" max="12" width="19.44140625" style="361" bestFit="1" customWidth="1"/>
    <col min="13" max="13" width="20.6640625" style="361" customWidth="1"/>
    <col min="14" max="14" width="11.6640625" style="361" customWidth="1"/>
    <col min="15" max="15" width="15.109375" style="361" customWidth="1"/>
    <col min="16" max="16" width="16" style="361" customWidth="1"/>
    <col min="17" max="17" width="10.88671875" style="361" customWidth="1"/>
    <col min="18" max="18" width="10.44140625" style="361" customWidth="1"/>
    <col min="19" max="20" width="9" style="361" customWidth="1"/>
    <col min="21" max="16384" width="9" style="361"/>
  </cols>
  <sheetData>
    <row r="1" spans="1:19" ht="21.6" customHeight="1" thickBot="1">
      <c r="A1" s="412" t="s">
        <v>0</v>
      </c>
      <c r="B1" s="413"/>
      <c r="C1" s="413"/>
      <c r="D1" s="413"/>
      <c r="E1" s="413"/>
      <c r="F1" s="413"/>
      <c r="G1" s="413"/>
      <c r="H1" s="413"/>
      <c r="I1" s="413"/>
      <c r="J1" s="413"/>
      <c r="K1" s="413"/>
      <c r="L1" s="413"/>
      <c r="M1" s="413"/>
      <c r="N1" s="413"/>
      <c r="O1" s="413"/>
      <c r="P1" s="413"/>
      <c r="Q1" s="413"/>
      <c r="R1" s="413"/>
      <c r="S1" s="414"/>
    </row>
    <row r="2" spans="1:19" s="327" customFormat="1" ht="14.4" customHeight="1">
      <c r="B2" s="340"/>
      <c r="C2" s="340"/>
      <c r="G2" s="327" t="s">
        <v>1</v>
      </c>
      <c r="H2" s="327">
        <f>'Istruzioni Uso'!B14</f>
        <v>2.5</v>
      </c>
    </row>
    <row r="3" spans="1:19" s="327" customFormat="1">
      <c r="G3" s="327" t="s">
        <v>2</v>
      </c>
      <c r="H3" s="327">
        <f>'Istruzioni Uso'!B13</f>
        <v>1</v>
      </c>
    </row>
    <row r="4" spans="1:19" s="327" customFormat="1">
      <c r="D4" s="327" t="s">
        <v>3</v>
      </c>
      <c r="E4" s="327" t="e">
        <f>AVERAGE(E7,E9,E25,E11,E13,E19)</f>
        <v>#DIV/0!</v>
      </c>
    </row>
    <row r="5" spans="1:19" s="327" customFormat="1">
      <c r="D5" s="327" t="s">
        <v>4</v>
      </c>
      <c r="E5" s="327" t="e">
        <f>AVERAGE(H7,H9,H25,H11,H13,H19)</f>
        <v>#DIV/0!</v>
      </c>
    </row>
    <row r="6" spans="1:19" s="327" customFormat="1" ht="15" customHeight="1" thickBot="1">
      <c r="A6" s="328" t="s">
        <v>5</v>
      </c>
      <c r="B6" s="329" t="s">
        <v>6</v>
      </c>
      <c r="C6" s="330" t="s">
        <v>7</v>
      </c>
      <c r="D6" s="334" t="s">
        <v>8</v>
      </c>
      <c r="E6" s="334" t="s">
        <v>9</v>
      </c>
      <c r="F6" s="334" t="s">
        <v>10</v>
      </c>
      <c r="G6" s="334" t="s">
        <v>11</v>
      </c>
      <c r="H6" s="334" t="s">
        <v>12</v>
      </c>
      <c r="I6" s="330" t="s">
        <v>13</v>
      </c>
      <c r="J6" s="366" t="s">
        <v>14</v>
      </c>
      <c r="K6" s="330" t="s">
        <v>15</v>
      </c>
      <c r="L6" s="365" t="s">
        <v>16</v>
      </c>
      <c r="M6" s="330" t="s">
        <v>17</v>
      </c>
      <c r="N6" s="330" t="s">
        <v>18</v>
      </c>
      <c r="O6" s="330" t="s">
        <v>19</v>
      </c>
      <c r="P6" s="330" t="s">
        <v>17</v>
      </c>
      <c r="Q6" s="330" t="s">
        <v>18</v>
      </c>
      <c r="R6" s="331" t="s">
        <v>19</v>
      </c>
    </row>
    <row r="7" spans="1:19" s="327" customFormat="1" ht="14.4" customHeight="1">
      <c r="A7" s="332" t="s">
        <v>20</v>
      </c>
      <c r="B7" s="333">
        <v>0</v>
      </c>
      <c r="C7" s="432">
        <f>SetPnt_N_0</f>
        <v>0</v>
      </c>
      <c r="D7" s="415"/>
      <c r="E7" s="416"/>
      <c r="F7" s="416"/>
      <c r="G7" s="416"/>
      <c r="H7" s="417"/>
      <c r="I7" s="362" t="e">
        <f t="shared" ref="I7:I25" si="0">(H7-$E$5)+$H$2</f>
        <v>#DIV/0!</v>
      </c>
      <c r="J7" s="367" t="e">
        <f t="shared" ref="J7:J25" si="1">(I7-$H$2)*$H$3</f>
        <v>#DIV/0!</v>
      </c>
      <c r="K7" s="334">
        <f t="shared" ref="K7:K25" si="2">COS(ASIN((E7-D7)/800))</f>
        <v>1</v>
      </c>
      <c r="L7" s="368">
        <f t="shared" ref="L7:L25" si="3">-F7*K7</f>
        <v>0</v>
      </c>
      <c r="M7" s="334" t="e">
        <f t="shared" ref="M7:M25" si="4">L7*$D$54+$E$54</f>
        <v>#DIV/0!</v>
      </c>
      <c r="N7" s="334" t="e">
        <f t="shared" ref="N7:N25" si="5">H7-M7</f>
        <v>#DIV/0!</v>
      </c>
      <c r="O7" s="335" t="e">
        <f t="shared" ref="O7:O25" si="6">N7/4</f>
        <v>#DIV/0!</v>
      </c>
      <c r="P7" s="334" t="e">
        <f t="shared" ref="P7:P25" si="7">L7*$J$49+$E$54</f>
        <v>#DIV/0!</v>
      </c>
      <c r="Q7" s="334" t="e">
        <f t="shared" ref="Q7:Q25" si="8">M7-P7</f>
        <v>#DIV/0!</v>
      </c>
      <c r="R7" s="336" t="e">
        <f t="shared" ref="R7:R25" si="9">Q7/4</f>
        <v>#DIV/0!</v>
      </c>
    </row>
    <row r="8" spans="1:19" s="327" customFormat="1" ht="14.4" customHeight="1">
      <c r="A8" s="337" t="s">
        <v>20</v>
      </c>
      <c r="B8" s="338">
        <v>1</v>
      </c>
      <c r="C8" s="327">
        <f>C_Tar_min</f>
        <v>-2000</v>
      </c>
      <c r="D8" s="418"/>
      <c r="E8" s="339"/>
      <c r="F8" s="339"/>
      <c r="G8" s="339"/>
      <c r="H8" s="419"/>
      <c r="I8" s="363" t="e">
        <f t="shared" si="0"/>
        <v>#DIV/0!</v>
      </c>
      <c r="J8" s="367" t="e">
        <f t="shared" si="1"/>
        <v>#DIV/0!</v>
      </c>
      <c r="K8" s="340">
        <f t="shared" si="2"/>
        <v>1</v>
      </c>
      <c r="L8" s="368">
        <f t="shared" si="3"/>
        <v>0</v>
      </c>
      <c r="M8" s="327" t="e">
        <f t="shared" si="4"/>
        <v>#DIV/0!</v>
      </c>
      <c r="N8" s="327" t="e">
        <f t="shared" si="5"/>
        <v>#DIV/0!</v>
      </c>
      <c r="O8" s="341" t="e">
        <f t="shared" si="6"/>
        <v>#DIV/0!</v>
      </c>
      <c r="P8" s="327" t="e">
        <f t="shared" si="7"/>
        <v>#DIV/0!</v>
      </c>
      <c r="Q8" s="327" t="e">
        <f t="shared" si="8"/>
        <v>#DIV/0!</v>
      </c>
      <c r="R8" s="342" t="e">
        <f t="shared" si="9"/>
        <v>#DIV/0!</v>
      </c>
    </row>
    <row r="9" spans="1:19" s="327" customFormat="1" ht="14.4" customHeight="1">
      <c r="A9" s="337" t="s">
        <v>20</v>
      </c>
      <c r="B9" s="338">
        <v>0</v>
      </c>
      <c r="C9" s="432">
        <f>SetPnt_N_0</f>
        <v>0</v>
      </c>
      <c r="D9" s="418"/>
      <c r="E9" s="339"/>
      <c r="F9" s="339"/>
      <c r="G9" s="339"/>
      <c r="H9" s="419"/>
      <c r="I9" s="363" t="e">
        <f t="shared" si="0"/>
        <v>#DIV/0!</v>
      </c>
      <c r="J9" s="367" t="e">
        <f t="shared" si="1"/>
        <v>#DIV/0!</v>
      </c>
      <c r="K9" s="340">
        <f t="shared" si="2"/>
        <v>1</v>
      </c>
      <c r="L9" s="368">
        <f t="shared" si="3"/>
        <v>0</v>
      </c>
      <c r="M9" s="327" t="e">
        <f t="shared" si="4"/>
        <v>#DIV/0!</v>
      </c>
      <c r="N9" s="327" t="e">
        <f t="shared" si="5"/>
        <v>#DIV/0!</v>
      </c>
      <c r="O9" s="341" t="e">
        <f t="shared" si="6"/>
        <v>#DIV/0!</v>
      </c>
      <c r="P9" s="327" t="e">
        <f t="shared" si="7"/>
        <v>#DIV/0!</v>
      </c>
      <c r="Q9" s="327" t="e">
        <f t="shared" si="8"/>
        <v>#DIV/0!</v>
      </c>
      <c r="R9" s="342" t="e">
        <f t="shared" si="9"/>
        <v>#DIV/0!</v>
      </c>
    </row>
    <row r="10" spans="1:19" s="327" customFormat="1" ht="14.4" customHeight="1">
      <c r="A10" s="337" t="s">
        <v>20</v>
      </c>
      <c r="B10" s="338">
        <v>1</v>
      </c>
      <c r="C10" s="327">
        <f>C_Tar_min</f>
        <v>-2000</v>
      </c>
      <c r="D10" s="418"/>
      <c r="E10" s="339"/>
      <c r="F10" s="339"/>
      <c r="G10" s="339"/>
      <c r="H10" s="419"/>
      <c r="I10" s="363" t="e">
        <f t="shared" si="0"/>
        <v>#DIV/0!</v>
      </c>
      <c r="J10" s="367" t="e">
        <f t="shared" si="1"/>
        <v>#DIV/0!</v>
      </c>
      <c r="K10" s="340">
        <f t="shared" si="2"/>
        <v>1</v>
      </c>
      <c r="L10" s="368">
        <f t="shared" si="3"/>
        <v>0</v>
      </c>
      <c r="M10" s="327" t="e">
        <f t="shared" si="4"/>
        <v>#DIV/0!</v>
      </c>
      <c r="N10" s="327" t="e">
        <f t="shared" si="5"/>
        <v>#DIV/0!</v>
      </c>
      <c r="O10" s="341" t="e">
        <f t="shared" si="6"/>
        <v>#DIV/0!</v>
      </c>
      <c r="P10" s="327" t="e">
        <f t="shared" si="7"/>
        <v>#DIV/0!</v>
      </c>
      <c r="Q10" s="327" t="e">
        <f t="shared" si="8"/>
        <v>#DIV/0!</v>
      </c>
      <c r="R10" s="342" t="e">
        <f t="shared" si="9"/>
        <v>#DIV/0!</v>
      </c>
    </row>
    <row r="11" spans="1:19" s="327" customFormat="1" ht="14.4" customHeight="1">
      <c r="A11" s="337" t="s">
        <v>20</v>
      </c>
      <c r="B11" s="338">
        <v>0</v>
      </c>
      <c r="C11" s="432">
        <f>SetPnt_N_0</f>
        <v>0</v>
      </c>
      <c r="D11" s="418"/>
      <c r="E11" s="339"/>
      <c r="F11" s="339"/>
      <c r="G11" s="339"/>
      <c r="H11" s="419"/>
      <c r="I11" s="363" t="e">
        <f t="shared" si="0"/>
        <v>#DIV/0!</v>
      </c>
      <c r="J11" s="367" t="e">
        <f t="shared" si="1"/>
        <v>#DIV/0!</v>
      </c>
      <c r="K11" s="340">
        <f t="shared" si="2"/>
        <v>1</v>
      </c>
      <c r="L11" s="368">
        <f t="shared" si="3"/>
        <v>0</v>
      </c>
      <c r="M11" s="327" t="e">
        <f t="shared" si="4"/>
        <v>#DIV/0!</v>
      </c>
      <c r="N11" s="327" t="e">
        <f t="shared" si="5"/>
        <v>#DIV/0!</v>
      </c>
      <c r="O11" s="341" t="e">
        <f t="shared" si="6"/>
        <v>#DIV/0!</v>
      </c>
      <c r="P11" s="327" t="e">
        <f t="shared" si="7"/>
        <v>#DIV/0!</v>
      </c>
      <c r="Q11" s="327" t="e">
        <f t="shared" si="8"/>
        <v>#DIV/0!</v>
      </c>
      <c r="R11" s="342" t="e">
        <f t="shared" si="9"/>
        <v>#DIV/0!</v>
      </c>
    </row>
    <row r="12" spans="1:19" s="327" customFormat="1" ht="14.4" customHeight="1">
      <c r="A12" s="337" t="s">
        <v>20</v>
      </c>
      <c r="B12" s="338">
        <v>1</v>
      </c>
      <c r="C12" s="327">
        <f>C_Tar_min</f>
        <v>-2000</v>
      </c>
      <c r="D12" s="418"/>
      <c r="E12" s="339"/>
      <c r="F12" s="339"/>
      <c r="G12" s="339"/>
      <c r="H12" s="419"/>
      <c r="I12" s="363" t="e">
        <f t="shared" si="0"/>
        <v>#DIV/0!</v>
      </c>
      <c r="J12" s="367" t="e">
        <f t="shared" si="1"/>
        <v>#DIV/0!</v>
      </c>
      <c r="K12" s="340">
        <f t="shared" si="2"/>
        <v>1</v>
      </c>
      <c r="L12" s="368">
        <f t="shared" si="3"/>
        <v>0</v>
      </c>
      <c r="M12" s="327" t="e">
        <f t="shared" si="4"/>
        <v>#DIV/0!</v>
      </c>
      <c r="N12" s="327" t="e">
        <f t="shared" si="5"/>
        <v>#DIV/0!</v>
      </c>
      <c r="O12" s="341" t="e">
        <f t="shared" si="6"/>
        <v>#DIV/0!</v>
      </c>
      <c r="P12" s="327" t="e">
        <f t="shared" si="7"/>
        <v>#DIV/0!</v>
      </c>
      <c r="Q12" s="327" t="e">
        <f t="shared" si="8"/>
        <v>#DIV/0!</v>
      </c>
      <c r="R12" s="342" t="e">
        <f t="shared" si="9"/>
        <v>#DIV/0!</v>
      </c>
    </row>
    <row r="13" spans="1:19" s="327" customFormat="1" ht="14.4" customHeight="1">
      <c r="A13" s="332" t="s">
        <v>20</v>
      </c>
      <c r="B13" s="333">
        <v>0</v>
      </c>
      <c r="C13" s="334">
        <f>SetPnt_N_0</f>
        <v>0</v>
      </c>
      <c r="D13" s="420"/>
      <c r="E13" s="343"/>
      <c r="F13" s="343"/>
      <c r="G13" s="343"/>
      <c r="H13" s="421"/>
      <c r="I13" s="362" t="e">
        <f t="shared" si="0"/>
        <v>#DIV/0!</v>
      </c>
      <c r="J13" s="367" t="e">
        <f t="shared" si="1"/>
        <v>#DIV/0!</v>
      </c>
      <c r="K13" s="334">
        <f t="shared" si="2"/>
        <v>1</v>
      </c>
      <c r="L13" s="368">
        <f t="shared" si="3"/>
        <v>0</v>
      </c>
      <c r="M13" s="334" t="e">
        <f t="shared" si="4"/>
        <v>#DIV/0!</v>
      </c>
      <c r="N13" s="334" t="e">
        <f t="shared" si="5"/>
        <v>#DIV/0!</v>
      </c>
      <c r="O13" s="335" t="e">
        <f t="shared" si="6"/>
        <v>#DIV/0!</v>
      </c>
      <c r="P13" s="334" t="e">
        <f t="shared" si="7"/>
        <v>#DIV/0!</v>
      </c>
      <c r="Q13" s="334" t="e">
        <f t="shared" si="8"/>
        <v>#DIV/0!</v>
      </c>
      <c r="R13" s="336" t="e">
        <f t="shared" si="9"/>
        <v>#DIV/0!</v>
      </c>
    </row>
    <row r="14" spans="1:19" s="327" customFormat="1" ht="14.4" customHeight="1">
      <c r="A14" s="337" t="s">
        <v>20</v>
      </c>
      <c r="B14" s="338">
        <v>0.2</v>
      </c>
      <c r="C14" s="334">
        <f>SetPnt_N_1</f>
        <v>-400</v>
      </c>
      <c r="D14" s="422"/>
      <c r="E14" s="344"/>
      <c r="F14" s="344"/>
      <c r="G14" s="344"/>
      <c r="H14" s="423"/>
      <c r="I14" s="363" t="e">
        <f t="shared" si="0"/>
        <v>#DIV/0!</v>
      </c>
      <c r="J14" s="367" t="e">
        <f t="shared" si="1"/>
        <v>#DIV/0!</v>
      </c>
      <c r="K14" s="340">
        <f t="shared" si="2"/>
        <v>1</v>
      </c>
      <c r="L14" s="368">
        <f t="shared" si="3"/>
        <v>0</v>
      </c>
      <c r="M14" s="327" t="e">
        <f t="shared" si="4"/>
        <v>#DIV/0!</v>
      </c>
      <c r="N14" s="327" t="e">
        <f t="shared" si="5"/>
        <v>#DIV/0!</v>
      </c>
      <c r="O14" s="341" t="e">
        <f t="shared" si="6"/>
        <v>#DIV/0!</v>
      </c>
      <c r="P14" s="327" t="e">
        <f t="shared" si="7"/>
        <v>#DIV/0!</v>
      </c>
      <c r="Q14" s="327" t="e">
        <f t="shared" si="8"/>
        <v>#DIV/0!</v>
      </c>
      <c r="R14" s="342" t="e">
        <f t="shared" si="9"/>
        <v>#DIV/0!</v>
      </c>
    </row>
    <row r="15" spans="1:19" s="327" customFormat="1" ht="14.4" customHeight="1">
      <c r="A15" s="337" t="s">
        <v>20</v>
      </c>
      <c r="B15" s="338">
        <v>0.4</v>
      </c>
      <c r="C15" s="334">
        <f>SetPnt_N_2</f>
        <v>-800</v>
      </c>
      <c r="D15" s="422"/>
      <c r="E15" s="344"/>
      <c r="F15" s="344"/>
      <c r="G15" s="344"/>
      <c r="H15" s="423"/>
      <c r="I15" s="363" t="e">
        <f t="shared" si="0"/>
        <v>#DIV/0!</v>
      </c>
      <c r="J15" s="367" t="e">
        <f t="shared" si="1"/>
        <v>#DIV/0!</v>
      </c>
      <c r="K15" s="340">
        <f t="shared" si="2"/>
        <v>1</v>
      </c>
      <c r="L15" s="368">
        <f t="shared" si="3"/>
        <v>0</v>
      </c>
      <c r="M15" s="327" t="e">
        <f t="shared" si="4"/>
        <v>#DIV/0!</v>
      </c>
      <c r="N15" s="327" t="e">
        <f t="shared" si="5"/>
        <v>#DIV/0!</v>
      </c>
      <c r="O15" s="341" t="e">
        <f t="shared" si="6"/>
        <v>#DIV/0!</v>
      </c>
      <c r="P15" s="327" t="e">
        <f t="shared" si="7"/>
        <v>#DIV/0!</v>
      </c>
      <c r="Q15" s="327" t="e">
        <f t="shared" si="8"/>
        <v>#DIV/0!</v>
      </c>
      <c r="R15" s="342" t="e">
        <f t="shared" si="9"/>
        <v>#DIV/0!</v>
      </c>
    </row>
    <row r="16" spans="1:19" s="327" customFormat="1" ht="14.4" customHeight="1">
      <c r="A16" s="337" t="s">
        <v>20</v>
      </c>
      <c r="B16" s="338">
        <v>0.6</v>
      </c>
      <c r="C16" s="334">
        <f>SetPnt_N_3</f>
        <v>-1200</v>
      </c>
      <c r="D16" s="422"/>
      <c r="E16" s="344"/>
      <c r="F16" s="344"/>
      <c r="G16" s="344"/>
      <c r="H16" s="423"/>
      <c r="I16" s="363" t="e">
        <f t="shared" si="0"/>
        <v>#DIV/0!</v>
      </c>
      <c r="J16" s="367" t="e">
        <f t="shared" si="1"/>
        <v>#DIV/0!</v>
      </c>
      <c r="K16" s="340">
        <f t="shared" si="2"/>
        <v>1</v>
      </c>
      <c r="L16" s="368">
        <f t="shared" si="3"/>
        <v>0</v>
      </c>
      <c r="M16" s="327" t="e">
        <f t="shared" si="4"/>
        <v>#DIV/0!</v>
      </c>
      <c r="N16" s="327" t="e">
        <f t="shared" si="5"/>
        <v>#DIV/0!</v>
      </c>
      <c r="O16" s="341" t="e">
        <f t="shared" si="6"/>
        <v>#DIV/0!</v>
      </c>
      <c r="P16" s="327" t="e">
        <f t="shared" si="7"/>
        <v>#DIV/0!</v>
      </c>
      <c r="Q16" s="327" t="e">
        <f t="shared" si="8"/>
        <v>#DIV/0!</v>
      </c>
      <c r="R16" s="342" t="e">
        <f t="shared" si="9"/>
        <v>#DIV/0!</v>
      </c>
    </row>
    <row r="17" spans="1:18" s="327" customFormat="1" ht="14.4" customHeight="1">
      <c r="A17" s="337" t="s">
        <v>20</v>
      </c>
      <c r="B17" s="338">
        <v>0.8</v>
      </c>
      <c r="C17" s="334">
        <f>SetPnt_N_4</f>
        <v>-1600</v>
      </c>
      <c r="D17" s="422"/>
      <c r="E17" s="344"/>
      <c r="F17" s="344"/>
      <c r="G17" s="344"/>
      <c r="H17" s="423"/>
      <c r="I17" s="363" t="e">
        <f t="shared" si="0"/>
        <v>#DIV/0!</v>
      </c>
      <c r="J17" s="367" t="e">
        <f t="shared" si="1"/>
        <v>#DIV/0!</v>
      </c>
      <c r="K17" s="340">
        <f t="shared" si="2"/>
        <v>1</v>
      </c>
      <c r="L17" s="368">
        <f t="shared" si="3"/>
        <v>0</v>
      </c>
      <c r="M17" s="327" t="e">
        <f t="shared" si="4"/>
        <v>#DIV/0!</v>
      </c>
      <c r="N17" s="327" t="e">
        <f t="shared" si="5"/>
        <v>#DIV/0!</v>
      </c>
      <c r="O17" s="341" t="e">
        <f t="shared" si="6"/>
        <v>#DIV/0!</v>
      </c>
      <c r="P17" s="327" t="e">
        <f t="shared" si="7"/>
        <v>#DIV/0!</v>
      </c>
      <c r="Q17" s="327" t="e">
        <f t="shared" si="8"/>
        <v>#DIV/0!</v>
      </c>
      <c r="R17" s="342" t="e">
        <f t="shared" si="9"/>
        <v>#DIV/0!</v>
      </c>
    </row>
    <row r="18" spans="1:18" s="327" customFormat="1" ht="14.4" customHeight="1">
      <c r="A18" s="337" t="s">
        <v>20</v>
      </c>
      <c r="B18" s="338">
        <v>1</v>
      </c>
      <c r="C18" s="334">
        <f>SetPnt_N_5</f>
        <v>-2000</v>
      </c>
      <c r="D18" s="422"/>
      <c r="E18" s="344"/>
      <c r="F18" s="344"/>
      <c r="G18" s="344"/>
      <c r="H18" s="423"/>
      <c r="I18" s="363" t="e">
        <f t="shared" si="0"/>
        <v>#DIV/0!</v>
      </c>
      <c r="J18" s="367" t="e">
        <f t="shared" si="1"/>
        <v>#DIV/0!</v>
      </c>
      <c r="K18" s="340">
        <f t="shared" si="2"/>
        <v>1</v>
      </c>
      <c r="L18" s="368">
        <f t="shared" si="3"/>
        <v>0</v>
      </c>
      <c r="M18" s="327" t="e">
        <f t="shared" si="4"/>
        <v>#DIV/0!</v>
      </c>
      <c r="N18" s="327" t="e">
        <f t="shared" si="5"/>
        <v>#DIV/0!</v>
      </c>
      <c r="O18" s="341" t="e">
        <f t="shared" si="6"/>
        <v>#DIV/0!</v>
      </c>
      <c r="P18" s="327" t="e">
        <f t="shared" si="7"/>
        <v>#DIV/0!</v>
      </c>
      <c r="Q18" s="327" t="e">
        <f t="shared" si="8"/>
        <v>#DIV/0!</v>
      </c>
      <c r="R18" s="342" t="e">
        <f t="shared" si="9"/>
        <v>#DIV/0!</v>
      </c>
    </row>
    <row r="19" spans="1:18" s="327" customFormat="1" ht="14.4" customHeight="1">
      <c r="A19" s="332" t="s">
        <v>20</v>
      </c>
      <c r="B19" s="333">
        <v>0</v>
      </c>
      <c r="C19" s="334">
        <f>SetPnt_N_0</f>
        <v>0</v>
      </c>
      <c r="D19" s="420"/>
      <c r="E19" s="343"/>
      <c r="F19" s="343"/>
      <c r="G19" s="343"/>
      <c r="H19" s="421"/>
      <c r="I19" s="362" t="e">
        <f t="shared" si="0"/>
        <v>#DIV/0!</v>
      </c>
      <c r="J19" s="367" t="e">
        <f t="shared" si="1"/>
        <v>#DIV/0!</v>
      </c>
      <c r="K19" s="334">
        <f t="shared" si="2"/>
        <v>1</v>
      </c>
      <c r="L19" s="368">
        <f t="shared" si="3"/>
        <v>0</v>
      </c>
      <c r="M19" s="334" t="e">
        <f t="shared" si="4"/>
        <v>#DIV/0!</v>
      </c>
      <c r="N19" s="334" t="e">
        <f t="shared" si="5"/>
        <v>#DIV/0!</v>
      </c>
      <c r="O19" s="335" t="e">
        <f t="shared" si="6"/>
        <v>#DIV/0!</v>
      </c>
      <c r="P19" s="334" t="e">
        <f t="shared" si="7"/>
        <v>#DIV/0!</v>
      </c>
      <c r="Q19" s="334" t="e">
        <f t="shared" si="8"/>
        <v>#DIV/0!</v>
      </c>
      <c r="R19" s="336" t="e">
        <f t="shared" si="9"/>
        <v>#DIV/0!</v>
      </c>
    </row>
    <row r="20" spans="1:18" s="327" customFormat="1" ht="14.4" customHeight="1">
      <c r="A20" s="337" t="s">
        <v>20</v>
      </c>
      <c r="B20" s="338">
        <v>0.2</v>
      </c>
      <c r="C20" s="334">
        <f>SetPnt_N_1</f>
        <v>-400</v>
      </c>
      <c r="D20" s="422"/>
      <c r="E20" s="344"/>
      <c r="F20" s="344"/>
      <c r="G20" s="344"/>
      <c r="H20" s="423"/>
      <c r="I20" s="363" t="e">
        <f t="shared" si="0"/>
        <v>#DIV/0!</v>
      </c>
      <c r="J20" s="367" t="e">
        <f t="shared" si="1"/>
        <v>#DIV/0!</v>
      </c>
      <c r="K20" s="340">
        <f t="shared" si="2"/>
        <v>1</v>
      </c>
      <c r="L20" s="368">
        <f t="shared" si="3"/>
        <v>0</v>
      </c>
      <c r="M20" s="327" t="e">
        <f t="shared" si="4"/>
        <v>#DIV/0!</v>
      </c>
      <c r="N20" s="327" t="e">
        <f t="shared" si="5"/>
        <v>#DIV/0!</v>
      </c>
      <c r="O20" s="341" t="e">
        <f t="shared" si="6"/>
        <v>#DIV/0!</v>
      </c>
      <c r="P20" s="327" t="e">
        <f t="shared" si="7"/>
        <v>#DIV/0!</v>
      </c>
      <c r="Q20" s="327" t="e">
        <f t="shared" si="8"/>
        <v>#DIV/0!</v>
      </c>
      <c r="R20" s="342" t="e">
        <f t="shared" si="9"/>
        <v>#DIV/0!</v>
      </c>
    </row>
    <row r="21" spans="1:18" s="327" customFormat="1" ht="14.4" customHeight="1">
      <c r="A21" s="337" t="s">
        <v>20</v>
      </c>
      <c r="B21" s="338">
        <v>0.4</v>
      </c>
      <c r="C21" s="334">
        <f>SetPnt_N_2</f>
        <v>-800</v>
      </c>
      <c r="D21" s="422"/>
      <c r="E21" s="344"/>
      <c r="F21" s="344"/>
      <c r="G21" s="344"/>
      <c r="H21" s="423"/>
      <c r="I21" s="363" t="e">
        <f t="shared" si="0"/>
        <v>#DIV/0!</v>
      </c>
      <c r="J21" s="367" t="e">
        <f t="shared" si="1"/>
        <v>#DIV/0!</v>
      </c>
      <c r="K21" s="340">
        <f t="shared" si="2"/>
        <v>1</v>
      </c>
      <c r="L21" s="368">
        <f t="shared" si="3"/>
        <v>0</v>
      </c>
      <c r="M21" s="327" t="e">
        <f t="shared" si="4"/>
        <v>#DIV/0!</v>
      </c>
      <c r="N21" s="327" t="e">
        <f t="shared" si="5"/>
        <v>#DIV/0!</v>
      </c>
      <c r="O21" s="341" t="e">
        <f t="shared" si="6"/>
        <v>#DIV/0!</v>
      </c>
      <c r="P21" s="327" t="e">
        <f t="shared" si="7"/>
        <v>#DIV/0!</v>
      </c>
      <c r="Q21" s="327" t="e">
        <f t="shared" si="8"/>
        <v>#DIV/0!</v>
      </c>
      <c r="R21" s="342" t="e">
        <f t="shared" si="9"/>
        <v>#DIV/0!</v>
      </c>
    </row>
    <row r="22" spans="1:18" s="327" customFormat="1" ht="14.4" customHeight="1">
      <c r="A22" s="337" t="s">
        <v>20</v>
      </c>
      <c r="B22" s="338">
        <v>0.6</v>
      </c>
      <c r="C22" s="334">
        <f>SetPnt_N_3</f>
        <v>-1200</v>
      </c>
      <c r="D22" s="422"/>
      <c r="E22" s="344"/>
      <c r="F22" s="344"/>
      <c r="G22" s="344"/>
      <c r="H22" s="423"/>
      <c r="I22" s="363" t="e">
        <f t="shared" si="0"/>
        <v>#DIV/0!</v>
      </c>
      <c r="J22" s="367" t="e">
        <f t="shared" si="1"/>
        <v>#DIV/0!</v>
      </c>
      <c r="K22" s="340">
        <f t="shared" si="2"/>
        <v>1</v>
      </c>
      <c r="L22" s="368">
        <f t="shared" si="3"/>
        <v>0</v>
      </c>
      <c r="M22" s="327" t="e">
        <f t="shared" si="4"/>
        <v>#DIV/0!</v>
      </c>
      <c r="N22" s="327" t="e">
        <f t="shared" si="5"/>
        <v>#DIV/0!</v>
      </c>
      <c r="O22" s="341" t="e">
        <f t="shared" si="6"/>
        <v>#DIV/0!</v>
      </c>
      <c r="P22" s="327" t="e">
        <f t="shared" si="7"/>
        <v>#DIV/0!</v>
      </c>
      <c r="Q22" s="327" t="e">
        <f t="shared" si="8"/>
        <v>#DIV/0!</v>
      </c>
      <c r="R22" s="342" t="e">
        <f t="shared" si="9"/>
        <v>#DIV/0!</v>
      </c>
    </row>
    <row r="23" spans="1:18" s="327" customFormat="1" ht="14.4" customHeight="1">
      <c r="A23" s="337" t="s">
        <v>20</v>
      </c>
      <c r="B23" s="338">
        <v>0.8</v>
      </c>
      <c r="C23" s="334">
        <f>SetPnt_N_4</f>
        <v>-1600</v>
      </c>
      <c r="D23" s="422"/>
      <c r="E23" s="344"/>
      <c r="F23" s="344"/>
      <c r="G23" s="344"/>
      <c r="H23" s="423"/>
      <c r="I23" s="363" t="e">
        <f t="shared" si="0"/>
        <v>#DIV/0!</v>
      </c>
      <c r="J23" s="367" t="e">
        <f t="shared" si="1"/>
        <v>#DIV/0!</v>
      </c>
      <c r="K23" s="340">
        <f t="shared" si="2"/>
        <v>1</v>
      </c>
      <c r="L23" s="368">
        <f t="shared" si="3"/>
        <v>0</v>
      </c>
      <c r="M23" s="327" t="e">
        <f t="shared" si="4"/>
        <v>#DIV/0!</v>
      </c>
      <c r="N23" s="327" t="e">
        <f t="shared" si="5"/>
        <v>#DIV/0!</v>
      </c>
      <c r="O23" s="341" t="e">
        <f t="shared" si="6"/>
        <v>#DIV/0!</v>
      </c>
      <c r="P23" s="327" t="e">
        <f t="shared" si="7"/>
        <v>#DIV/0!</v>
      </c>
      <c r="Q23" s="327" t="e">
        <f t="shared" si="8"/>
        <v>#DIV/0!</v>
      </c>
      <c r="R23" s="342" t="e">
        <f t="shared" si="9"/>
        <v>#DIV/0!</v>
      </c>
    </row>
    <row r="24" spans="1:18" s="327" customFormat="1" ht="14.4" customHeight="1">
      <c r="A24" s="345" t="s">
        <v>20</v>
      </c>
      <c r="B24" s="346">
        <v>1</v>
      </c>
      <c r="C24" s="334">
        <f>SetPnt_N_5</f>
        <v>-2000</v>
      </c>
      <c r="D24" s="424"/>
      <c r="E24" s="348"/>
      <c r="F24" s="348"/>
      <c r="G24" s="348"/>
      <c r="H24" s="425"/>
      <c r="I24" s="364" t="e">
        <f t="shared" si="0"/>
        <v>#DIV/0!</v>
      </c>
      <c r="J24" s="367" t="e">
        <f t="shared" si="1"/>
        <v>#DIV/0!</v>
      </c>
      <c r="K24" s="347">
        <f t="shared" si="2"/>
        <v>1</v>
      </c>
      <c r="L24" s="368">
        <f t="shared" si="3"/>
        <v>0</v>
      </c>
      <c r="M24" s="347" t="e">
        <f t="shared" si="4"/>
        <v>#DIV/0!</v>
      </c>
      <c r="N24" s="347" t="e">
        <f t="shared" si="5"/>
        <v>#DIV/0!</v>
      </c>
      <c r="O24" s="349" t="e">
        <f t="shared" si="6"/>
        <v>#DIV/0!</v>
      </c>
      <c r="P24" s="347" t="e">
        <f t="shared" si="7"/>
        <v>#DIV/0!</v>
      </c>
      <c r="Q24" s="347" t="e">
        <f t="shared" si="8"/>
        <v>#DIV/0!</v>
      </c>
      <c r="R24" s="350" t="e">
        <f t="shared" si="9"/>
        <v>#DIV/0!</v>
      </c>
    </row>
    <row r="25" spans="1:18" s="327" customFormat="1" ht="15" customHeight="1" thickBot="1">
      <c r="A25" s="345" t="s">
        <v>20</v>
      </c>
      <c r="B25" s="346">
        <v>0</v>
      </c>
      <c r="C25" s="432">
        <f>SetPnt_N_0</f>
        <v>0</v>
      </c>
      <c r="D25" s="426"/>
      <c r="E25" s="427"/>
      <c r="F25" s="427"/>
      <c r="G25" s="427"/>
      <c r="H25" s="428"/>
      <c r="I25" s="364" t="e">
        <f t="shared" si="0"/>
        <v>#DIV/0!</v>
      </c>
      <c r="J25" s="367" t="e">
        <f t="shared" si="1"/>
        <v>#DIV/0!</v>
      </c>
      <c r="K25" s="347">
        <f t="shared" si="2"/>
        <v>1</v>
      </c>
      <c r="L25" s="368">
        <f t="shared" si="3"/>
        <v>0</v>
      </c>
      <c r="M25" s="347" t="e">
        <f t="shared" si="4"/>
        <v>#DIV/0!</v>
      </c>
      <c r="N25" s="347" t="e">
        <f t="shared" si="5"/>
        <v>#DIV/0!</v>
      </c>
      <c r="O25" s="349" t="e">
        <f t="shared" si="6"/>
        <v>#DIV/0!</v>
      </c>
      <c r="P25" s="347" t="e">
        <f t="shared" si="7"/>
        <v>#DIV/0!</v>
      </c>
      <c r="Q25" s="347" t="e">
        <f t="shared" si="8"/>
        <v>#DIV/0!</v>
      </c>
      <c r="R25" s="350" t="e">
        <f t="shared" si="9"/>
        <v>#DIV/0!</v>
      </c>
    </row>
    <row r="26" spans="1:18" s="327" customFormat="1" ht="14.4" customHeight="1">
      <c r="D26" s="327" t="s">
        <v>3</v>
      </c>
      <c r="E26" s="327">
        <f>AVERAGE(E29,E31,E33,E35,E41,E47)</f>
        <v>0</v>
      </c>
      <c r="O26" s="341"/>
      <c r="R26" s="341"/>
    </row>
    <row r="27" spans="1:18" s="327" customFormat="1" ht="14.4" customHeight="1">
      <c r="D27" s="327" t="s">
        <v>4</v>
      </c>
      <c r="E27" s="327">
        <f>AVERAGE(H29,H31,H33,H35,H41,H47)</f>
        <v>1E-3</v>
      </c>
      <c r="R27" s="341"/>
    </row>
    <row r="28" spans="1:18" s="327" customFormat="1" ht="15" customHeight="1" thickBot="1">
      <c r="A28" s="351" t="s">
        <v>5</v>
      </c>
      <c r="B28" s="329" t="s">
        <v>6</v>
      </c>
      <c r="C28" s="330" t="s">
        <v>7</v>
      </c>
      <c r="D28" s="334" t="s">
        <v>8</v>
      </c>
      <c r="E28" s="334" t="s">
        <v>9</v>
      </c>
      <c r="F28" s="334" t="s">
        <v>10</v>
      </c>
      <c r="G28" s="334" t="s">
        <v>11</v>
      </c>
      <c r="H28" s="334" t="s">
        <v>12</v>
      </c>
      <c r="I28" s="330" t="s">
        <v>13</v>
      </c>
      <c r="J28" s="366" t="s">
        <v>14</v>
      </c>
      <c r="K28" s="330" t="s">
        <v>15</v>
      </c>
      <c r="L28" s="365" t="s">
        <v>16</v>
      </c>
      <c r="M28" s="330" t="s">
        <v>17</v>
      </c>
      <c r="N28" s="330" t="s">
        <v>18</v>
      </c>
      <c r="O28" s="330" t="s">
        <v>19</v>
      </c>
      <c r="P28" s="330" t="s">
        <v>17</v>
      </c>
      <c r="Q28" s="330" t="s">
        <v>18</v>
      </c>
      <c r="R28" s="331" t="s">
        <v>19</v>
      </c>
    </row>
    <row r="29" spans="1:18" s="327" customFormat="1" ht="14.4" customHeight="1">
      <c r="A29" s="352" t="s">
        <v>21</v>
      </c>
      <c r="B29" s="333">
        <v>0</v>
      </c>
      <c r="C29" s="432">
        <f>SetPnt_P_0</f>
        <v>0</v>
      </c>
      <c r="D29" s="415">
        <v>837</v>
      </c>
      <c r="E29" s="416">
        <v>0</v>
      </c>
      <c r="F29" s="416">
        <v>3.5316000000000001</v>
      </c>
      <c r="G29" s="416">
        <v>16.284600000000001</v>
      </c>
      <c r="H29" s="417">
        <v>1E-3</v>
      </c>
      <c r="I29" s="362">
        <f t="shared" ref="I29:I47" si="10">(H29-$E$27)+$H$2</f>
        <v>2.5</v>
      </c>
      <c r="J29" s="366">
        <f t="shared" ref="J29:J47" si="11">(H29-$E$27)*$H$3</f>
        <v>0</v>
      </c>
      <c r="K29" s="334" t="e">
        <f t="shared" ref="K29:K47" si="12">COS(ASIN((E29-D29)/800))</f>
        <v>#NUM!</v>
      </c>
      <c r="L29" s="368" t="e">
        <f t="shared" ref="L29:L47" si="13">F29*K29</f>
        <v>#NUM!</v>
      </c>
      <c r="M29" s="334" t="e">
        <f t="shared" ref="M29:M47" si="14">L29*$M$54+$N$54</f>
        <v>#NUM!</v>
      </c>
      <c r="N29" s="334" t="e">
        <f t="shared" ref="N29:N47" si="15">H29-M29</f>
        <v>#NUM!</v>
      </c>
      <c r="O29" s="335" t="e">
        <f t="shared" ref="O29:O47" si="16">N29/4</f>
        <v>#NUM!</v>
      </c>
      <c r="P29" s="334" t="e">
        <f t="shared" ref="P29:P47" si="17">L29*$J$49+$N$54</f>
        <v>#NUM!</v>
      </c>
      <c r="Q29" s="334" t="e">
        <f t="shared" ref="Q29:Q47" si="18">M29-P29</f>
        <v>#NUM!</v>
      </c>
      <c r="R29" s="336" t="e">
        <f t="shared" ref="R29:R47" si="19">Q29/4</f>
        <v>#NUM!</v>
      </c>
    </row>
    <row r="30" spans="1:18" s="327" customFormat="1" ht="14.4" customHeight="1">
      <c r="A30" s="353" t="s">
        <v>21</v>
      </c>
      <c r="B30" s="338">
        <v>1</v>
      </c>
      <c r="C30" s="327">
        <f>C_Tar_max</f>
        <v>2000</v>
      </c>
      <c r="D30" s="418"/>
      <c r="E30" s="339"/>
      <c r="F30" s="339"/>
      <c r="G30" s="339"/>
      <c r="H30" s="419"/>
      <c r="I30" s="363">
        <f t="shared" si="10"/>
        <v>2.4990000000000001</v>
      </c>
      <c r="J30" s="366">
        <f t="shared" si="11"/>
        <v>-1E-3</v>
      </c>
      <c r="K30" s="340">
        <f t="shared" si="12"/>
        <v>1</v>
      </c>
      <c r="L30" s="368">
        <f t="shared" si="13"/>
        <v>0</v>
      </c>
      <c r="M30" s="327" t="e">
        <f t="shared" si="14"/>
        <v>#NUM!</v>
      </c>
      <c r="N30" s="327" t="e">
        <f t="shared" si="15"/>
        <v>#NUM!</v>
      </c>
      <c r="O30" s="341" t="e">
        <f t="shared" si="16"/>
        <v>#NUM!</v>
      </c>
      <c r="P30" s="327" t="e">
        <f t="shared" si="17"/>
        <v>#DIV/0!</v>
      </c>
      <c r="Q30" s="327" t="e">
        <f t="shared" si="18"/>
        <v>#NUM!</v>
      </c>
      <c r="R30" s="342" t="e">
        <f t="shared" si="19"/>
        <v>#NUM!</v>
      </c>
    </row>
    <row r="31" spans="1:18" s="327" customFormat="1" ht="14.4" customHeight="1">
      <c r="A31" s="353" t="s">
        <v>21</v>
      </c>
      <c r="B31" s="338">
        <v>0</v>
      </c>
      <c r="C31" s="432">
        <f>SetPnt_P_0</f>
        <v>0</v>
      </c>
      <c r="D31" s="418"/>
      <c r="E31" s="339"/>
      <c r="F31" s="339"/>
      <c r="G31" s="339"/>
      <c r="H31" s="419"/>
      <c r="I31" s="363">
        <f t="shared" si="10"/>
        <v>2.4990000000000001</v>
      </c>
      <c r="J31" s="366">
        <f t="shared" si="11"/>
        <v>-1E-3</v>
      </c>
      <c r="K31" s="340">
        <f t="shared" si="12"/>
        <v>1</v>
      </c>
      <c r="L31" s="368">
        <f t="shared" si="13"/>
        <v>0</v>
      </c>
      <c r="M31" s="327" t="e">
        <f t="shared" si="14"/>
        <v>#NUM!</v>
      </c>
      <c r="N31" s="327" t="e">
        <f t="shared" si="15"/>
        <v>#NUM!</v>
      </c>
      <c r="O31" s="341" t="e">
        <f t="shared" si="16"/>
        <v>#NUM!</v>
      </c>
      <c r="P31" s="327" t="e">
        <f t="shared" si="17"/>
        <v>#DIV/0!</v>
      </c>
      <c r="Q31" s="327" t="e">
        <f t="shared" si="18"/>
        <v>#NUM!</v>
      </c>
      <c r="R31" s="342" t="e">
        <f t="shared" si="19"/>
        <v>#NUM!</v>
      </c>
    </row>
    <row r="32" spans="1:18" s="327" customFormat="1" ht="14.4" customHeight="1">
      <c r="A32" s="353" t="s">
        <v>21</v>
      </c>
      <c r="B32" s="338">
        <v>1</v>
      </c>
      <c r="C32" s="327">
        <f>C_Tar_max</f>
        <v>2000</v>
      </c>
      <c r="D32" s="418"/>
      <c r="E32" s="339"/>
      <c r="F32" s="339"/>
      <c r="G32" s="339"/>
      <c r="H32" s="419"/>
      <c r="I32" s="363">
        <f t="shared" si="10"/>
        <v>2.4990000000000001</v>
      </c>
      <c r="J32" s="366">
        <f t="shared" si="11"/>
        <v>-1E-3</v>
      </c>
      <c r="K32" s="340">
        <f t="shared" si="12"/>
        <v>1</v>
      </c>
      <c r="L32" s="368">
        <f t="shared" si="13"/>
        <v>0</v>
      </c>
      <c r="M32" s="327" t="e">
        <f t="shared" si="14"/>
        <v>#NUM!</v>
      </c>
      <c r="N32" s="327" t="e">
        <f t="shared" si="15"/>
        <v>#NUM!</v>
      </c>
      <c r="O32" s="341" t="e">
        <f t="shared" si="16"/>
        <v>#NUM!</v>
      </c>
      <c r="P32" s="327" t="e">
        <f t="shared" si="17"/>
        <v>#DIV/0!</v>
      </c>
      <c r="Q32" s="327" t="e">
        <f t="shared" si="18"/>
        <v>#NUM!</v>
      </c>
      <c r="R32" s="342" t="e">
        <f t="shared" si="19"/>
        <v>#NUM!</v>
      </c>
    </row>
    <row r="33" spans="1:18" s="327" customFormat="1" ht="14.4" customHeight="1">
      <c r="A33" s="353" t="s">
        <v>21</v>
      </c>
      <c r="B33" s="338">
        <v>0</v>
      </c>
      <c r="C33" s="432">
        <f>SetPnt_P_0</f>
        <v>0</v>
      </c>
      <c r="D33" s="418"/>
      <c r="E33" s="339"/>
      <c r="F33" s="339"/>
      <c r="G33" s="339"/>
      <c r="H33" s="419"/>
      <c r="I33" s="363">
        <f t="shared" si="10"/>
        <v>2.4990000000000001</v>
      </c>
      <c r="J33" s="366">
        <f t="shared" si="11"/>
        <v>-1E-3</v>
      </c>
      <c r="K33" s="340">
        <f t="shared" si="12"/>
        <v>1</v>
      </c>
      <c r="L33" s="368">
        <f t="shared" si="13"/>
        <v>0</v>
      </c>
      <c r="M33" s="327" t="e">
        <f t="shared" si="14"/>
        <v>#NUM!</v>
      </c>
      <c r="N33" s="327" t="e">
        <f t="shared" si="15"/>
        <v>#NUM!</v>
      </c>
      <c r="O33" s="341" t="e">
        <f t="shared" si="16"/>
        <v>#NUM!</v>
      </c>
      <c r="P33" s="327" t="e">
        <f t="shared" si="17"/>
        <v>#DIV/0!</v>
      </c>
      <c r="Q33" s="327" t="e">
        <f t="shared" si="18"/>
        <v>#NUM!</v>
      </c>
      <c r="R33" s="342" t="e">
        <f t="shared" si="19"/>
        <v>#NUM!</v>
      </c>
    </row>
    <row r="34" spans="1:18" s="327" customFormat="1" ht="14.4" customHeight="1">
      <c r="A34" s="353" t="s">
        <v>21</v>
      </c>
      <c r="B34" s="338">
        <v>1</v>
      </c>
      <c r="C34" s="327">
        <f>C_Tar_max</f>
        <v>2000</v>
      </c>
      <c r="D34" s="418"/>
      <c r="E34" s="339"/>
      <c r="F34" s="339"/>
      <c r="G34" s="339"/>
      <c r="H34" s="419"/>
      <c r="I34" s="363">
        <f t="shared" si="10"/>
        <v>2.4990000000000001</v>
      </c>
      <c r="J34" s="366">
        <f t="shared" si="11"/>
        <v>-1E-3</v>
      </c>
      <c r="K34" s="340">
        <f t="shared" si="12"/>
        <v>1</v>
      </c>
      <c r="L34" s="368">
        <f t="shared" si="13"/>
        <v>0</v>
      </c>
      <c r="M34" s="327" t="e">
        <f t="shared" si="14"/>
        <v>#NUM!</v>
      </c>
      <c r="N34" s="327" t="e">
        <f t="shared" si="15"/>
        <v>#NUM!</v>
      </c>
      <c r="O34" s="341" t="e">
        <f t="shared" si="16"/>
        <v>#NUM!</v>
      </c>
      <c r="P34" s="327" t="e">
        <f t="shared" si="17"/>
        <v>#DIV/0!</v>
      </c>
      <c r="Q34" s="327" t="e">
        <f t="shared" si="18"/>
        <v>#NUM!</v>
      </c>
      <c r="R34" s="342" t="e">
        <f t="shared" si="19"/>
        <v>#NUM!</v>
      </c>
    </row>
    <row r="35" spans="1:18" s="327" customFormat="1" ht="14.4" customHeight="1">
      <c r="A35" s="352" t="s">
        <v>21</v>
      </c>
      <c r="B35" s="333">
        <v>0</v>
      </c>
      <c r="C35" s="334">
        <f>SetPnt_P_0</f>
        <v>0</v>
      </c>
      <c r="D35" s="420"/>
      <c r="E35" s="343"/>
      <c r="F35" s="343"/>
      <c r="G35" s="343"/>
      <c r="H35" s="421"/>
      <c r="I35" s="362">
        <f t="shared" si="10"/>
        <v>2.4990000000000001</v>
      </c>
      <c r="J35" s="366">
        <f t="shared" si="11"/>
        <v>-1E-3</v>
      </c>
      <c r="K35" s="334">
        <f t="shared" si="12"/>
        <v>1</v>
      </c>
      <c r="L35" s="368">
        <f t="shared" si="13"/>
        <v>0</v>
      </c>
      <c r="M35" s="334" t="e">
        <f t="shared" si="14"/>
        <v>#NUM!</v>
      </c>
      <c r="N35" s="334" t="e">
        <f t="shared" si="15"/>
        <v>#NUM!</v>
      </c>
      <c r="O35" s="335" t="e">
        <f t="shared" si="16"/>
        <v>#NUM!</v>
      </c>
      <c r="P35" s="334" t="e">
        <f t="shared" si="17"/>
        <v>#DIV/0!</v>
      </c>
      <c r="Q35" s="334" t="e">
        <f t="shared" si="18"/>
        <v>#NUM!</v>
      </c>
      <c r="R35" s="336" t="e">
        <f t="shared" si="19"/>
        <v>#NUM!</v>
      </c>
    </row>
    <row r="36" spans="1:18" s="327" customFormat="1" ht="14.4" customHeight="1">
      <c r="A36" s="353" t="s">
        <v>21</v>
      </c>
      <c r="B36" s="338">
        <v>0.2</v>
      </c>
      <c r="C36" s="334">
        <f>SetPnt_P_1</f>
        <v>400</v>
      </c>
      <c r="D36" s="422"/>
      <c r="E36" s="344"/>
      <c r="F36" s="344"/>
      <c r="G36" s="344"/>
      <c r="H36" s="423"/>
      <c r="I36" s="363">
        <f t="shared" si="10"/>
        <v>2.4990000000000001</v>
      </c>
      <c r="J36" s="366">
        <f t="shared" si="11"/>
        <v>-1E-3</v>
      </c>
      <c r="K36" s="340">
        <f t="shared" si="12"/>
        <v>1</v>
      </c>
      <c r="L36" s="368">
        <f t="shared" si="13"/>
        <v>0</v>
      </c>
      <c r="M36" s="327" t="e">
        <f t="shared" si="14"/>
        <v>#NUM!</v>
      </c>
      <c r="N36" s="327" t="e">
        <f t="shared" si="15"/>
        <v>#NUM!</v>
      </c>
      <c r="O36" s="341" t="e">
        <f t="shared" si="16"/>
        <v>#NUM!</v>
      </c>
      <c r="P36" s="327" t="e">
        <f t="shared" si="17"/>
        <v>#DIV/0!</v>
      </c>
      <c r="Q36" s="327" t="e">
        <f t="shared" si="18"/>
        <v>#NUM!</v>
      </c>
      <c r="R36" s="342" t="e">
        <f t="shared" si="19"/>
        <v>#NUM!</v>
      </c>
    </row>
    <row r="37" spans="1:18" s="327" customFormat="1" ht="14.4" customHeight="1">
      <c r="A37" s="353" t="s">
        <v>21</v>
      </c>
      <c r="B37" s="338">
        <v>0.4</v>
      </c>
      <c r="C37" s="334">
        <f>SetPnt_P_2</f>
        <v>800</v>
      </c>
      <c r="D37" s="422"/>
      <c r="E37" s="344"/>
      <c r="F37" s="344"/>
      <c r="G37" s="344"/>
      <c r="H37" s="423"/>
      <c r="I37" s="363">
        <f t="shared" si="10"/>
        <v>2.4990000000000001</v>
      </c>
      <c r="J37" s="366">
        <f t="shared" si="11"/>
        <v>-1E-3</v>
      </c>
      <c r="K37" s="340">
        <f t="shared" si="12"/>
        <v>1</v>
      </c>
      <c r="L37" s="368">
        <f t="shared" si="13"/>
        <v>0</v>
      </c>
      <c r="M37" s="327" t="e">
        <f t="shared" si="14"/>
        <v>#NUM!</v>
      </c>
      <c r="N37" s="327" t="e">
        <f t="shared" si="15"/>
        <v>#NUM!</v>
      </c>
      <c r="O37" s="341" t="e">
        <f t="shared" si="16"/>
        <v>#NUM!</v>
      </c>
      <c r="P37" s="327" t="e">
        <f t="shared" si="17"/>
        <v>#DIV/0!</v>
      </c>
      <c r="Q37" s="327" t="e">
        <f t="shared" si="18"/>
        <v>#NUM!</v>
      </c>
      <c r="R37" s="342" t="e">
        <f t="shared" si="19"/>
        <v>#NUM!</v>
      </c>
    </row>
    <row r="38" spans="1:18" s="327" customFormat="1" ht="14.4" customHeight="1">
      <c r="A38" s="353" t="s">
        <v>21</v>
      </c>
      <c r="B38" s="338">
        <v>0.6</v>
      </c>
      <c r="C38" s="334">
        <f>SetPnt_P_3</f>
        <v>1200</v>
      </c>
      <c r="D38" s="422"/>
      <c r="E38" s="344"/>
      <c r="F38" s="344"/>
      <c r="G38" s="344"/>
      <c r="H38" s="423"/>
      <c r="I38" s="363">
        <f t="shared" si="10"/>
        <v>2.4990000000000001</v>
      </c>
      <c r="J38" s="366">
        <f t="shared" si="11"/>
        <v>-1E-3</v>
      </c>
      <c r="K38" s="340">
        <f t="shared" si="12"/>
        <v>1</v>
      </c>
      <c r="L38" s="368">
        <f t="shared" si="13"/>
        <v>0</v>
      </c>
      <c r="M38" s="327" t="e">
        <f t="shared" si="14"/>
        <v>#NUM!</v>
      </c>
      <c r="N38" s="327" t="e">
        <f t="shared" si="15"/>
        <v>#NUM!</v>
      </c>
      <c r="O38" s="341" t="e">
        <f t="shared" si="16"/>
        <v>#NUM!</v>
      </c>
      <c r="P38" s="327" t="e">
        <f t="shared" si="17"/>
        <v>#DIV/0!</v>
      </c>
      <c r="Q38" s="327" t="e">
        <f t="shared" si="18"/>
        <v>#NUM!</v>
      </c>
      <c r="R38" s="342" t="e">
        <f t="shared" si="19"/>
        <v>#NUM!</v>
      </c>
    </row>
    <row r="39" spans="1:18" s="327" customFormat="1" ht="14.4" customHeight="1">
      <c r="A39" s="353" t="s">
        <v>21</v>
      </c>
      <c r="B39" s="338">
        <v>0.8</v>
      </c>
      <c r="C39" s="334">
        <f>SetPnt_P_4</f>
        <v>1600</v>
      </c>
      <c r="D39" s="422"/>
      <c r="E39" s="344"/>
      <c r="F39" s="344"/>
      <c r="G39" s="344"/>
      <c r="H39" s="423"/>
      <c r="I39" s="363">
        <f t="shared" si="10"/>
        <v>2.4990000000000001</v>
      </c>
      <c r="J39" s="366">
        <f t="shared" si="11"/>
        <v>-1E-3</v>
      </c>
      <c r="K39" s="340">
        <f t="shared" si="12"/>
        <v>1</v>
      </c>
      <c r="L39" s="368">
        <f t="shared" si="13"/>
        <v>0</v>
      </c>
      <c r="M39" s="327" t="e">
        <f t="shared" si="14"/>
        <v>#NUM!</v>
      </c>
      <c r="N39" s="327" t="e">
        <f t="shared" si="15"/>
        <v>#NUM!</v>
      </c>
      <c r="O39" s="341" t="e">
        <f t="shared" si="16"/>
        <v>#NUM!</v>
      </c>
      <c r="P39" s="327" t="e">
        <f t="shared" si="17"/>
        <v>#DIV/0!</v>
      </c>
      <c r="Q39" s="327" t="e">
        <f t="shared" si="18"/>
        <v>#NUM!</v>
      </c>
      <c r="R39" s="342" t="e">
        <f t="shared" si="19"/>
        <v>#NUM!</v>
      </c>
    </row>
    <row r="40" spans="1:18" s="327" customFormat="1" ht="14.4" customHeight="1">
      <c r="A40" s="353" t="s">
        <v>21</v>
      </c>
      <c r="B40" s="338">
        <v>1</v>
      </c>
      <c r="C40" s="334">
        <f>SetPnt_P_5</f>
        <v>2000</v>
      </c>
      <c r="D40" s="422"/>
      <c r="E40" s="344"/>
      <c r="F40" s="344"/>
      <c r="G40" s="344"/>
      <c r="H40" s="423"/>
      <c r="I40" s="363">
        <f t="shared" si="10"/>
        <v>2.4990000000000001</v>
      </c>
      <c r="J40" s="366">
        <f t="shared" si="11"/>
        <v>-1E-3</v>
      </c>
      <c r="K40" s="340">
        <f t="shared" si="12"/>
        <v>1</v>
      </c>
      <c r="L40" s="368">
        <f t="shared" si="13"/>
        <v>0</v>
      </c>
      <c r="M40" s="327" t="e">
        <f t="shared" si="14"/>
        <v>#NUM!</v>
      </c>
      <c r="N40" s="327" t="e">
        <f t="shared" si="15"/>
        <v>#NUM!</v>
      </c>
      <c r="O40" s="341" t="e">
        <f t="shared" si="16"/>
        <v>#NUM!</v>
      </c>
      <c r="P40" s="327" t="e">
        <f t="shared" si="17"/>
        <v>#DIV/0!</v>
      </c>
      <c r="Q40" s="327" t="e">
        <f t="shared" si="18"/>
        <v>#NUM!</v>
      </c>
      <c r="R40" s="342" t="e">
        <f t="shared" si="19"/>
        <v>#NUM!</v>
      </c>
    </row>
    <row r="41" spans="1:18" s="327" customFormat="1" ht="14.4" customHeight="1">
      <c r="A41" s="352" t="s">
        <v>21</v>
      </c>
      <c r="B41" s="333">
        <v>0</v>
      </c>
      <c r="C41" s="334">
        <f>SetPnt_P_0</f>
        <v>0</v>
      </c>
      <c r="D41" s="420"/>
      <c r="E41" s="343"/>
      <c r="F41" s="343"/>
      <c r="G41" s="343"/>
      <c r="H41" s="421"/>
      <c r="I41" s="362">
        <f t="shared" si="10"/>
        <v>2.4990000000000001</v>
      </c>
      <c r="J41" s="366">
        <f t="shared" si="11"/>
        <v>-1E-3</v>
      </c>
      <c r="K41" s="334">
        <f t="shared" si="12"/>
        <v>1</v>
      </c>
      <c r="L41" s="368">
        <f t="shared" si="13"/>
        <v>0</v>
      </c>
      <c r="M41" s="334" t="e">
        <f t="shared" si="14"/>
        <v>#NUM!</v>
      </c>
      <c r="N41" s="334" t="e">
        <f t="shared" si="15"/>
        <v>#NUM!</v>
      </c>
      <c r="O41" s="335" t="e">
        <f t="shared" si="16"/>
        <v>#NUM!</v>
      </c>
      <c r="P41" s="334" t="e">
        <f t="shared" si="17"/>
        <v>#DIV/0!</v>
      </c>
      <c r="Q41" s="334" t="e">
        <f t="shared" si="18"/>
        <v>#NUM!</v>
      </c>
      <c r="R41" s="336" t="e">
        <f t="shared" si="19"/>
        <v>#NUM!</v>
      </c>
    </row>
    <row r="42" spans="1:18" s="327" customFormat="1" ht="14.4" customHeight="1">
      <c r="A42" s="353" t="s">
        <v>21</v>
      </c>
      <c r="B42" s="338">
        <v>0.2</v>
      </c>
      <c r="C42" s="334">
        <f>SetPnt_P_1</f>
        <v>400</v>
      </c>
      <c r="D42" s="422"/>
      <c r="E42" s="344"/>
      <c r="F42" s="344"/>
      <c r="G42" s="344"/>
      <c r="H42" s="423"/>
      <c r="I42" s="363">
        <f t="shared" si="10"/>
        <v>2.4990000000000001</v>
      </c>
      <c r="J42" s="366">
        <f t="shared" si="11"/>
        <v>-1E-3</v>
      </c>
      <c r="K42" s="340">
        <f t="shared" si="12"/>
        <v>1</v>
      </c>
      <c r="L42" s="368">
        <f t="shared" si="13"/>
        <v>0</v>
      </c>
      <c r="M42" s="327" t="e">
        <f t="shared" si="14"/>
        <v>#NUM!</v>
      </c>
      <c r="N42" s="327" t="e">
        <f t="shared" si="15"/>
        <v>#NUM!</v>
      </c>
      <c r="O42" s="341" t="e">
        <f t="shared" si="16"/>
        <v>#NUM!</v>
      </c>
      <c r="P42" s="327" t="e">
        <f t="shared" si="17"/>
        <v>#DIV/0!</v>
      </c>
      <c r="Q42" s="327" t="e">
        <f t="shared" si="18"/>
        <v>#NUM!</v>
      </c>
      <c r="R42" s="342" t="e">
        <f t="shared" si="19"/>
        <v>#NUM!</v>
      </c>
    </row>
    <row r="43" spans="1:18" s="327" customFormat="1" ht="14.4" customHeight="1">
      <c r="A43" s="353" t="s">
        <v>21</v>
      </c>
      <c r="B43" s="338">
        <v>0.4</v>
      </c>
      <c r="C43" s="334">
        <f>SetPnt_P_2</f>
        <v>800</v>
      </c>
      <c r="D43" s="422"/>
      <c r="E43" s="344"/>
      <c r="F43" s="344"/>
      <c r="G43" s="344"/>
      <c r="H43" s="423"/>
      <c r="I43" s="363">
        <f t="shared" si="10"/>
        <v>2.4990000000000001</v>
      </c>
      <c r="J43" s="366">
        <f t="shared" si="11"/>
        <v>-1E-3</v>
      </c>
      <c r="K43" s="340">
        <f t="shared" si="12"/>
        <v>1</v>
      </c>
      <c r="L43" s="368">
        <f t="shared" si="13"/>
        <v>0</v>
      </c>
      <c r="M43" s="327" t="e">
        <f t="shared" si="14"/>
        <v>#NUM!</v>
      </c>
      <c r="N43" s="327" t="e">
        <f t="shared" si="15"/>
        <v>#NUM!</v>
      </c>
      <c r="O43" s="341" t="e">
        <f t="shared" si="16"/>
        <v>#NUM!</v>
      </c>
      <c r="P43" s="327" t="e">
        <f t="shared" si="17"/>
        <v>#DIV/0!</v>
      </c>
      <c r="Q43" s="327" t="e">
        <f t="shared" si="18"/>
        <v>#NUM!</v>
      </c>
      <c r="R43" s="342" t="e">
        <f t="shared" si="19"/>
        <v>#NUM!</v>
      </c>
    </row>
    <row r="44" spans="1:18" s="327" customFormat="1" ht="14.4" customHeight="1">
      <c r="A44" s="353" t="s">
        <v>21</v>
      </c>
      <c r="B44" s="338">
        <v>0.6</v>
      </c>
      <c r="C44" s="334">
        <f>SetPnt_P_3</f>
        <v>1200</v>
      </c>
      <c r="D44" s="422"/>
      <c r="E44" s="344"/>
      <c r="F44" s="344"/>
      <c r="G44" s="344"/>
      <c r="H44" s="423"/>
      <c r="I44" s="363">
        <f t="shared" si="10"/>
        <v>2.4990000000000001</v>
      </c>
      <c r="J44" s="366">
        <f t="shared" si="11"/>
        <v>-1E-3</v>
      </c>
      <c r="K44" s="340">
        <f t="shared" si="12"/>
        <v>1</v>
      </c>
      <c r="L44" s="368">
        <f t="shared" si="13"/>
        <v>0</v>
      </c>
      <c r="M44" s="327" t="e">
        <f t="shared" si="14"/>
        <v>#NUM!</v>
      </c>
      <c r="N44" s="327" t="e">
        <f t="shared" si="15"/>
        <v>#NUM!</v>
      </c>
      <c r="O44" s="341" t="e">
        <f t="shared" si="16"/>
        <v>#NUM!</v>
      </c>
      <c r="P44" s="327" t="e">
        <f t="shared" si="17"/>
        <v>#DIV/0!</v>
      </c>
      <c r="Q44" s="327" t="e">
        <f t="shared" si="18"/>
        <v>#NUM!</v>
      </c>
      <c r="R44" s="342" t="e">
        <f t="shared" si="19"/>
        <v>#NUM!</v>
      </c>
    </row>
    <row r="45" spans="1:18" s="327" customFormat="1" ht="14.4" customHeight="1">
      <c r="A45" s="353" t="s">
        <v>21</v>
      </c>
      <c r="B45" s="338">
        <v>0.8</v>
      </c>
      <c r="C45" s="334">
        <f>SetPnt_P_4</f>
        <v>1600</v>
      </c>
      <c r="D45" s="422"/>
      <c r="E45" s="344"/>
      <c r="F45" s="344"/>
      <c r="G45" s="344"/>
      <c r="H45" s="423"/>
      <c r="I45" s="363">
        <f t="shared" si="10"/>
        <v>2.4990000000000001</v>
      </c>
      <c r="J45" s="366">
        <f t="shared" si="11"/>
        <v>-1E-3</v>
      </c>
      <c r="K45" s="340">
        <f t="shared" si="12"/>
        <v>1</v>
      </c>
      <c r="L45" s="368">
        <f t="shared" si="13"/>
        <v>0</v>
      </c>
      <c r="M45" s="327" t="e">
        <f t="shared" si="14"/>
        <v>#NUM!</v>
      </c>
      <c r="N45" s="327" t="e">
        <f t="shared" si="15"/>
        <v>#NUM!</v>
      </c>
      <c r="O45" s="341" t="e">
        <f t="shared" si="16"/>
        <v>#NUM!</v>
      </c>
      <c r="P45" s="327" t="e">
        <f t="shared" si="17"/>
        <v>#DIV/0!</v>
      </c>
      <c r="Q45" s="327" t="e">
        <f t="shared" si="18"/>
        <v>#NUM!</v>
      </c>
      <c r="R45" s="342" t="e">
        <f t="shared" si="19"/>
        <v>#NUM!</v>
      </c>
    </row>
    <row r="46" spans="1:18" s="327" customFormat="1" ht="14.4" customHeight="1">
      <c r="A46" s="354" t="s">
        <v>21</v>
      </c>
      <c r="B46" s="346">
        <v>1</v>
      </c>
      <c r="C46" s="334">
        <f>SetPnt_P_5</f>
        <v>2000</v>
      </c>
      <c r="D46" s="422"/>
      <c r="E46" s="344"/>
      <c r="F46" s="344"/>
      <c r="G46" s="344"/>
      <c r="H46" s="423"/>
      <c r="I46" s="364">
        <f t="shared" si="10"/>
        <v>2.4990000000000001</v>
      </c>
      <c r="J46" s="366">
        <f t="shared" si="11"/>
        <v>-1E-3</v>
      </c>
      <c r="K46" s="347">
        <f t="shared" si="12"/>
        <v>1</v>
      </c>
      <c r="L46" s="368">
        <f t="shared" si="13"/>
        <v>0</v>
      </c>
      <c r="M46" s="347" t="e">
        <f t="shared" si="14"/>
        <v>#NUM!</v>
      </c>
      <c r="N46" s="347" t="e">
        <f t="shared" si="15"/>
        <v>#NUM!</v>
      </c>
      <c r="O46" s="349" t="e">
        <f t="shared" si="16"/>
        <v>#NUM!</v>
      </c>
      <c r="P46" s="347" t="e">
        <f t="shared" si="17"/>
        <v>#DIV/0!</v>
      </c>
      <c r="Q46" s="347" t="e">
        <f t="shared" si="18"/>
        <v>#NUM!</v>
      </c>
      <c r="R46" s="350" t="e">
        <f t="shared" si="19"/>
        <v>#NUM!</v>
      </c>
    </row>
    <row r="47" spans="1:18" s="327" customFormat="1" ht="15" customHeight="1" thickBot="1">
      <c r="A47" s="354" t="s">
        <v>21</v>
      </c>
      <c r="B47" s="346">
        <v>0</v>
      </c>
      <c r="C47" s="432">
        <f>SetPnt_P_0</f>
        <v>0</v>
      </c>
      <c r="D47" s="426"/>
      <c r="E47" s="427"/>
      <c r="F47" s="427"/>
      <c r="G47" s="427"/>
      <c r="H47" s="428"/>
      <c r="I47" s="364">
        <f t="shared" si="10"/>
        <v>2.4990000000000001</v>
      </c>
      <c r="J47" s="366">
        <f t="shared" si="11"/>
        <v>-1E-3</v>
      </c>
      <c r="K47" s="347">
        <f t="shared" si="12"/>
        <v>1</v>
      </c>
      <c r="L47" s="368">
        <f t="shared" si="13"/>
        <v>0</v>
      </c>
      <c r="M47" s="347" t="e">
        <f t="shared" si="14"/>
        <v>#NUM!</v>
      </c>
      <c r="N47" s="347" t="e">
        <f t="shared" si="15"/>
        <v>#NUM!</v>
      </c>
      <c r="O47" s="349" t="e">
        <f t="shared" si="16"/>
        <v>#NUM!</v>
      </c>
      <c r="P47" s="347" t="e">
        <f t="shared" si="17"/>
        <v>#DIV/0!</v>
      </c>
      <c r="Q47" s="347" t="e">
        <f t="shared" si="18"/>
        <v>#NUM!</v>
      </c>
      <c r="R47" s="350" t="e">
        <f t="shared" si="19"/>
        <v>#NUM!</v>
      </c>
    </row>
    <row r="48" spans="1:18" s="327" customFormat="1"/>
    <row r="49" spans="1:18" s="327" customFormat="1" ht="14.4" customHeight="1">
      <c r="I49" s="429" t="s">
        <v>22</v>
      </c>
      <c r="J49" s="431" t="e">
        <f>AVERAGE(D54,M54)</f>
        <v>#DIV/0!</v>
      </c>
      <c r="K49" s="429" t="s">
        <v>23</v>
      </c>
      <c r="L49" s="358" t="e">
        <f>AVERAGE(D55,M55)</f>
        <v>#DIV/0!</v>
      </c>
    </row>
    <row r="50" spans="1:18" s="327" customFormat="1" ht="24.6" customHeight="1">
      <c r="A50" s="355"/>
      <c r="B50" s="440" t="s">
        <v>20</v>
      </c>
      <c r="C50" s="441"/>
      <c r="D50" s="441"/>
      <c r="E50" s="441"/>
      <c r="F50" s="441"/>
      <c r="G50" s="441"/>
      <c r="H50" s="441"/>
      <c r="I50" s="356"/>
      <c r="J50" s="356"/>
      <c r="K50" s="460" t="s">
        <v>21</v>
      </c>
      <c r="L50" s="441"/>
      <c r="M50" s="441"/>
      <c r="N50" s="441"/>
      <c r="O50" s="441"/>
      <c r="P50" s="441"/>
      <c r="Q50" s="461"/>
      <c r="R50" s="340"/>
    </row>
    <row r="51" spans="1:18" s="327" customFormat="1" ht="24.6" customHeight="1">
      <c r="A51" s="355"/>
      <c r="B51" s="442"/>
      <c r="C51" s="443"/>
      <c r="D51" s="443"/>
      <c r="E51" s="443"/>
      <c r="F51" s="443"/>
      <c r="G51" s="443"/>
      <c r="H51" s="443"/>
      <c r="I51" s="356"/>
      <c r="J51" s="356"/>
      <c r="K51" s="442"/>
      <c r="L51" s="443"/>
      <c r="M51" s="443"/>
      <c r="N51" s="443"/>
      <c r="O51" s="443"/>
      <c r="P51" s="443"/>
      <c r="Q51" s="462"/>
      <c r="R51" s="340"/>
    </row>
    <row r="52" spans="1:18" s="327" customFormat="1" ht="14.4" customHeight="1">
      <c r="A52" s="355"/>
      <c r="B52" s="340"/>
      <c r="H52" s="340"/>
      <c r="I52" s="340"/>
      <c r="J52" s="340"/>
      <c r="K52" s="357"/>
      <c r="Q52" s="355"/>
      <c r="R52" s="340"/>
    </row>
    <row r="53" spans="1:18" s="327" customFormat="1" ht="14.4" customHeight="1">
      <c r="A53" s="355"/>
      <c r="B53" s="340"/>
      <c r="C53" s="340"/>
      <c r="D53" s="340" t="s">
        <v>24</v>
      </c>
      <c r="E53" s="327" t="s">
        <v>25</v>
      </c>
      <c r="F53" s="340"/>
      <c r="G53" s="340"/>
      <c r="H53" s="340"/>
      <c r="I53" s="340"/>
      <c r="J53" s="340"/>
      <c r="K53" s="357"/>
      <c r="L53" s="340"/>
      <c r="M53" s="327" t="s">
        <v>24</v>
      </c>
      <c r="N53" s="327" t="s">
        <v>25</v>
      </c>
      <c r="Q53" s="355"/>
      <c r="R53" s="340"/>
    </row>
    <row r="54" spans="1:18" s="327" customFormat="1" ht="14.4" customHeight="1">
      <c r="A54" s="355"/>
      <c r="B54" s="340"/>
      <c r="C54" s="340" t="s">
        <v>26</v>
      </c>
      <c r="D54" s="430" t="e">
        <f>SLOPE(H7:H24,L7:L24)</f>
        <v>#DIV/0!</v>
      </c>
      <c r="E54" s="340" t="e">
        <f>INTERCEPT(H7:H24,L7:L24)</f>
        <v>#DIV/0!</v>
      </c>
      <c r="F54" s="340"/>
      <c r="G54" s="340"/>
      <c r="H54" s="340"/>
      <c r="I54" s="340"/>
      <c r="J54" s="340"/>
      <c r="K54" s="357"/>
      <c r="L54" s="340" t="s">
        <v>26</v>
      </c>
      <c r="M54" s="327" t="e">
        <f>SLOPE(H29:H46,L29:L46)</f>
        <v>#NUM!</v>
      </c>
      <c r="N54" s="327" t="e">
        <f>INTERCEPT(H29:H46,L29:L46)</f>
        <v>#NUM!</v>
      </c>
      <c r="Q54" s="355"/>
      <c r="R54" s="340"/>
    </row>
    <row r="55" spans="1:18" s="327" customFormat="1" ht="14.4" customHeight="1">
      <c r="A55" s="355"/>
      <c r="B55" s="340"/>
      <c r="C55" s="340" t="s">
        <v>27</v>
      </c>
      <c r="D55" s="358" t="e">
        <f>SLOPE(L7:L25,H7:H25)</f>
        <v>#DIV/0!</v>
      </c>
      <c r="E55" s="340" t="e">
        <f>INTERCEPT(L7:L24,H7:H24)</f>
        <v>#DIV/0!</v>
      </c>
      <c r="F55" s="340"/>
      <c r="G55" s="340"/>
      <c r="H55" s="340"/>
      <c r="I55" s="340"/>
      <c r="J55" s="340"/>
      <c r="K55" s="357"/>
      <c r="L55" s="340" t="s">
        <v>27</v>
      </c>
      <c r="M55" s="358" t="e">
        <f>SLOPE(L29:L47,H29:H47)</f>
        <v>#NUM!</v>
      </c>
      <c r="N55" s="327" t="e">
        <f>INTERCEPT(L29:L46,H29:H46)</f>
        <v>#NUM!</v>
      </c>
      <c r="Q55" s="355"/>
      <c r="R55" s="340"/>
    </row>
    <row r="56" spans="1:18" s="327" customFormat="1" ht="14.4" customHeight="1">
      <c r="A56" s="355"/>
      <c r="B56" s="340"/>
      <c r="C56" s="340"/>
      <c r="D56" s="340"/>
      <c r="E56" s="340"/>
      <c r="F56" s="340"/>
      <c r="G56" s="340"/>
      <c r="H56" s="340"/>
      <c r="I56" s="340"/>
      <c r="J56" s="340"/>
      <c r="K56" s="357"/>
      <c r="L56" s="340"/>
      <c r="Q56" s="355"/>
      <c r="R56" s="340"/>
    </row>
    <row r="57" spans="1:18" s="327" customFormat="1" ht="14.4" customHeight="1">
      <c r="A57" s="355"/>
      <c r="B57" s="347"/>
      <c r="C57" s="347"/>
      <c r="D57" s="347"/>
      <c r="E57" s="347"/>
      <c r="F57" s="347"/>
      <c r="G57" s="347"/>
      <c r="H57" s="347"/>
      <c r="I57" s="347"/>
      <c r="J57" s="347"/>
      <c r="K57" s="359"/>
      <c r="L57" s="347"/>
      <c r="M57" s="347"/>
      <c r="N57" s="347"/>
      <c r="O57" s="347"/>
      <c r="P57" s="347"/>
      <c r="Q57" s="360"/>
      <c r="R57" s="340"/>
    </row>
    <row r="58" spans="1:18" s="327" customFormat="1"/>
    <row r="59" spans="1:18" s="327" customFormat="1" ht="13.8" customHeight="1" thickBot="1"/>
    <row r="60" spans="1:18" s="327" customFormat="1" ht="15" customHeight="1" thickBot="1">
      <c r="A60" s="454" t="s">
        <v>28</v>
      </c>
      <c r="B60" s="444" t="s">
        <v>29</v>
      </c>
      <c r="C60" s="436" t="s">
        <v>30</v>
      </c>
      <c r="D60" s="437"/>
      <c r="E60" s="452" t="s">
        <v>31</v>
      </c>
      <c r="F60" s="453"/>
      <c r="G60" s="450" t="s">
        <v>32</v>
      </c>
      <c r="H60" s="451"/>
    </row>
    <row r="61" spans="1:18" s="327" customFormat="1" ht="15.6" customHeight="1" thickTop="1" thickBot="1">
      <c r="A61" s="455"/>
      <c r="B61" s="445"/>
      <c r="C61" s="26">
        <v>0</v>
      </c>
      <c r="D61" s="27">
        <f>C_Tar_max</f>
        <v>2000</v>
      </c>
      <c r="E61" s="26">
        <v>0</v>
      </c>
      <c r="F61" s="27">
        <f>C_Tar_max</f>
        <v>2000</v>
      </c>
      <c r="G61" s="26">
        <v>0</v>
      </c>
      <c r="H61" s="28">
        <f>C_Tar_max</f>
        <v>2000</v>
      </c>
    </row>
    <row r="62" spans="1:18" s="327" customFormat="1" ht="15" customHeight="1" thickTop="1">
      <c r="A62" s="455"/>
      <c r="B62" s="29" t="str">
        <f>CONCATENATE("Coppia REF [",EUnits,"]")</f>
        <v>Coppia REF [Nm]</v>
      </c>
      <c r="C62" s="371" t="e">
        <f>L29</f>
        <v>#NUM!</v>
      </c>
      <c r="D62" s="371">
        <f>L30</f>
        <v>0</v>
      </c>
      <c r="E62" s="371">
        <f>L31</f>
        <v>0</v>
      </c>
      <c r="F62" s="371">
        <f>L32</f>
        <v>0</v>
      </c>
      <c r="G62" s="371">
        <f>L33</f>
        <v>0</v>
      </c>
      <c r="H62" s="371">
        <f>L34</f>
        <v>0</v>
      </c>
    </row>
    <row r="63" spans="1:18" ht="15" customHeight="1" thickBot="1">
      <c r="A63" s="447"/>
      <c r="B63" s="30" t="str">
        <f>CONCATENATE("Coppia UUT [",UUT_EUnits,"]")</f>
        <v>Coppia UUT [Nm]</v>
      </c>
      <c r="C63" s="369">
        <f>J29</f>
        <v>0</v>
      </c>
      <c r="D63" s="369">
        <f>J30</f>
        <v>-1E-3</v>
      </c>
      <c r="E63" s="370">
        <f>J31</f>
        <v>-1E-3</v>
      </c>
      <c r="F63" s="370">
        <f>J32</f>
        <v>-1E-3</v>
      </c>
      <c r="G63" s="370">
        <f>J33</f>
        <v>-1E-3</v>
      </c>
      <c r="H63" s="370">
        <f>J34</f>
        <v>-1E-3</v>
      </c>
    </row>
    <row r="64" spans="1:18" ht="15" customHeight="1" thickBot="1">
      <c r="A64" s="447"/>
      <c r="B64" s="35"/>
    </row>
    <row r="65" spans="1:9" ht="60" customHeight="1" thickBot="1">
      <c r="A65" s="447"/>
      <c r="B65" s="36" t="s">
        <v>33</v>
      </c>
      <c r="C65" s="37" t="s">
        <v>34</v>
      </c>
      <c r="D65" s="37" t="s">
        <v>35</v>
      </c>
      <c r="E65" s="38" t="s">
        <v>36</v>
      </c>
      <c r="F65" s="37" t="s">
        <v>37</v>
      </c>
      <c r="G65" s="38" t="s">
        <v>38</v>
      </c>
      <c r="H65" s="37" t="s">
        <v>39</v>
      </c>
      <c r="I65" s="39" t="s">
        <v>34</v>
      </c>
    </row>
    <row r="66" spans="1:9" ht="15" customHeight="1" thickTop="1">
      <c r="A66" s="447"/>
      <c r="B66" s="29" t="str">
        <f>CONCATENATE("Coppia REF [",EUnits,"]")</f>
        <v>Coppia REF [Nm]</v>
      </c>
      <c r="C66" s="371">
        <f>L35</f>
        <v>0</v>
      </c>
      <c r="D66" s="371">
        <f>L36</f>
        <v>0</v>
      </c>
      <c r="E66" s="371">
        <f>L37</f>
        <v>0</v>
      </c>
      <c r="F66" s="371">
        <f>L38</f>
        <v>0</v>
      </c>
      <c r="G66" s="371">
        <f>L39</f>
        <v>0</v>
      </c>
      <c r="H66" s="371">
        <f>L40</f>
        <v>0</v>
      </c>
      <c r="I66" s="373">
        <f>L41</f>
        <v>0</v>
      </c>
    </row>
    <row r="67" spans="1:9" ht="15" customHeight="1" thickBot="1">
      <c r="A67" s="447"/>
      <c r="B67" s="30" t="str">
        <f>CONCATENATE("Coppia UUT [",UUT_EUnits,"]")</f>
        <v>Coppia UUT [Nm]</v>
      </c>
      <c r="C67" s="369">
        <f>J35</f>
        <v>-1E-3</v>
      </c>
      <c r="D67" s="369">
        <f>J36</f>
        <v>-1E-3</v>
      </c>
      <c r="E67" s="370">
        <f>J37</f>
        <v>-1E-3</v>
      </c>
      <c r="F67" s="370">
        <f>J38</f>
        <v>-1E-3</v>
      </c>
      <c r="G67" s="370">
        <f>J39</f>
        <v>-1E-3</v>
      </c>
      <c r="H67" s="370">
        <f>J40</f>
        <v>-1E-3</v>
      </c>
      <c r="I67" s="34">
        <f>J41</f>
        <v>-1E-3</v>
      </c>
    </row>
    <row r="68" spans="1:9" ht="15" customHeight="1" thickBot="1">
      <c r="A68" s="447"/>
    </row>
    <row r="69" spans="1:9" ht="60" customHeight="1" thickBot="1">
      <c r="A69" s="447"/>
      <c r="B69" s="40" t="s">
        <v>40</v>
      </c>
      <c r="C69" s="37" t="s">
        <v>34</v>
      </c>
      <c r="D69" s="37" t="s">
        <v>35</v>
      </c>
      <c r="E69" s="38" t="s">
        <v>36</v>
      </c>
      <c r="F69" s="37" t="s">
        <v>37</v>
      </c>
      <c r="G69" s="38" t="s">
        <v>38</v>
      </c>
      <c r="H69" s="37" t="s">
        <v>39</v>
      </c>
      <c r="I69" s="39" t="s">
        <v>34</v>
      </c>
    </row>
    <row r="70" spans="1:9" ht="15" customHeight="1" thickTop="1">
      <c r="A70" s="447"/>
      <c r="B70" s="29" t="str">
        <f>CONCATENATE("Coppia REF [",EUnits,"]")</f>
        <v>Coppia REF [Nm]</v>
      </c>
      <c r="C70" s="371">
        <f>L41</f>
        <v>0</v>
      </c>
      <c r="D70" s="371">
        <f>L42</f>
        <v>0</v>
      </c>
      <c r="E70" s="371">
        <f>L43</f>
        <v>0</v>
      </c>
      <c r="F70" s="374">
        <f>L44</f>
        <v>0</v>
      </c>
      <c r="G70" s="374">
        <f>L45</f>
        <v>0</v>
      </c>
      <c r="H70" s="375">
        <f>L46</f>
        <v>0</v>
      </c>
      <c r="I70" s="373">
        <f>L47</f>
        <v>0</v>
      </c>
    </row>
    <row r="71" spans="1:9" ht="15" customHeight="1" thickBot="1">
      <c r="A71" s="447"/>
      <c r="B71" s="30" t="str">
        <f>CONCATENATE("Coppia UUT [",UUT_EUnits,"]")</f>
        <v>Coppia UUT [Nm]</v>
      </c>
      <c r="C71" s="31">
        <f>J41</f>
        <v>-1E-3</v>
      </c>
      <c r="D71" s="31">
        <f>J42</f>
        <v>-1E-3</v>
      </c>
      <c r="E71" s="31">
        <f>J43</f>
        <v>-1E-3</v>
      </c>
      <c r="F71" s="32">
        <f>J44</f>
        <v>-1E-3</v>
      </c>
      <c r="G71" s="32">
        <f>J45</f>
        <v>-1E-3</v>
      </c>
      <c r="H71" s="33">
        <f>J46</f>
        <v>-1E-3</v>
      </c>
      <c r="I71" s="34">
        <f>J47</f>
        <v>-1E-3</v>
      </c>
    </row>
    <row r="72" spans="1:9" ht="14.4" customHeight="1"/>
    <row r="73" spans="1:9" ht="15" customHeight="1" thickBot="1"/>
    <row r="74" spans="1:9" ht="15" customHeight="1" thickBot="1">
      <c r="A74" s="446" t="s">
        <v>41</v>
      </c>
      <c r="B74" s="438" t="s">
        <v>29</v>
      </c>
      <c r="C74" s="448" t="s">
        <v>30</v>
      </c>
      <c r="D74" s="449"/>
      <c r="E74" s="456" t="s">
        <v>31</v>
      </c>
      <c r="F74" s="457"/>
      <c r="G74" s="458" t="s">
        <v>32</v>
      </c>
      <c r="H74" s="459"/>
    </row>
    <row r="75" spans="1:9" ht="15.6" customHeight="1" thickTop="1" thickBot="1">
      <c r="A75" s="447"/>
      <c r="B75" s="439"/>
      <c r="C75" s="41">
        <v>0</v>
      </c>
      <c r="D75" s="42">
        <f>C_Tar_min</f>
        <v>-2000</v>
      </c>
      <c r="E75" s="41">
        <v>0</v>
      </c>
      <c r="F75" s="43">
        <f>C_Tar_min</f>
        <v>-2000</v>
      </c>
      <c r="G75" s="44">
        <v>0</v>
      </c>
      <c r="H75" s="45">
        <f>C_Tar_min</f>
        <v>-2000</v>
      </c>
    </row>
    <row r="76" spans="1:9" ht="15" customHeight="1" thickTop="1">
      <c r="A76" s="447"/>
      <c r="B76" s="46" t="str">
        <f>CONCATENATE("Coppia REF [",EUnits,"]")</f>
        <v>Coppia REF [Nm]</v>
      </c>
      <c r="C76" s="371">
        <f>L7</f>
        <v>0</v>
      </c>
      <c r="D76" s="371">
        <f>L8</f>
        <v>0</v>
      </c>
      <c r="E76" s="371">
        <f>L9</f>
        <v>0</v>
      </c>
      <c r="F76" s="374">
        <f>L10</f>
        <v>0</v>
      </c>
      <c r="G76" s="375">
        <f>L11</f>
        <v>0</v>
      </c>
      <c r="H76" s="376">
        <f>L12</f>
        <v>0</v>
      </c>
    </row>
    <row r="77" spans="1:9" ht="15" customHeight="1" thickBot="1">
      <c r="A77" s="447"/>
      <c r="B77" s="47" t="str">
        <f>CONCATENATE("Coppia UUT [",UUT_EUnits,"]")</f>
        <v>Coppia UUT [Nm]</v>
      </c>
      <c r="C77" s="372" t="e">
        <f>J7</f>
        <v>#DIV/0!</v>
      </c>
      <c r="D77" s="372" t="e">
        <f>J8</f>
        <v>#DIV/0!</v>
      </c>
      <c r="E77" s="372" t="e">
        <f>J9</f>
        <v>#DIV/0!</v>
      </c>
      <c r="F77" s="377" t="e">
        <f>J10</f>
        <v>#DIV/0!</v>
      </c>
      <c r="G77" s="378" t="e">
        <f>J11</f>
        <v>#DIV/0!</v>
      </c>
      <c r="H77" s="379" t="e">
        <f>J12</f>
        <v>#DIV/0!</v>
      </c>
    </row>
    <row r="78" spans="1:9" ht="15" customHeight="1" thickBot="1">
      <c r="A78" s="447"/>
    </row>
    <row r="79" spans="1:9" ht="60" customHeight="1" thickBot="1">
      <c r="A79" s="447"/>
      <c r="B79" s="48" t="s">
        <v>33</v>
      </c>
      <c r="C79" s="49" t="s">
        <v>34</v>
      </c>
      <c r="D79" s="49" t="s">
        <v>35</v>
      </c>
      <c r="E79" s="50" t="s">
        <v>36</v>
      </c>
      <c r="F79" s="49" t="s">
        <v>37</v>
      </c>
      <c r="G79" s="50" t="s">
        <v>38</v>
      </c>
      <c r="H79" s="49" t="s">
        <v>39</v>
      </c>
      <c r="I79" s="51" t="s">
        <v>34</v>
      </c>
    </row>
    <row r="80" spans="1:9" ht="15" customHeight="1" thickTop="1">
      <c r="A80" s="447"/>
      <c r="B80" s="46" t="str">
        <f>CONCATENATE("Coppia REF [",EUnits,"]")</f>
        <v>Coppia REF [Nm]</v>
      </c>
      <c r="C80" s="371">
        <f>L13</f>
        <v>0</v>
      </c>
      <c r="D80" s="371">
        <f>L14</f>
        <v>0</v>
      </c>
      <c r="E80" s="371">
        <f>L15</f>
        <v>0</v>
      </c>
      <c r="F80" s="374">
        <f>L16</f>
        <v>0</v>
      </c>
      <c r="G80" s="374">
        <f>L17</f>
        <v>0</v>
      </c>
      <c r="H80" s="375">
        <f>L18</f>
        <v>0</v>
      </c>
      <c r="I80" s="376">
        <f>L19</f>
        <v>0</v>
      </c>
    </row>
    <row r="81" spans="1:9" ht="15" customHeight="1" thickBot="1">
      <c r="A81" s="447"/>
      <c r="B81" s="47" t="str">
        <f>CONCATENATE("Coppia UUT [",UUT_EUnits,"]")</f>
        <v>Coppia UUT [Nm]</v>
      </c>
      <c r="C81" s="372" t="e">
        <f>J13</f>
        <v>#DIV/0!</v>
      </c>
      <c r="D81" s="372" t="e">
        <f>J14</f>
        <v>#DIV/0!</v>
      </c>
      <c r="E81" s="372" t="e">
        <f>J15</f>
        <v>#DIV/0!</v>
      </c>
      <c r="F81" s="377" t="e">
        <f>J16</f>
        <v>#DIV/0!</v>
      </c>
      <c r="G81" s="377" t="e">
        <f>J17</f>
        <v>#DIV/0!</v>
      </c>
      <c r="H81" s="378" t="e">
        <f>J18</f>
        <v>#DIV/0!</v>
      </c>
      <c r="I81" s="379" t="e">
        <f>J19</f>
        <v>#DIV/0!</v>
      </c>
    </row>
    <row r="82" spans="1:9" ht="15" customHeight="1" thickBot="1">
      <c r="A82" s="447"/>
    </row>
    <row r="83" spans="1:9" ht="60" customHeight="1" thickBot="1">
      <c r="A83" s="447"/>
      <c r="B83" s="48" t="s">
        <v>40</v>
      </c>
      <c r="C83" s="49" t="s">
        <v>34</v>
      </c>
      <c r="D83" s="49" t="s">
        <v>35</v>
      </c>
      <c r="E83" s="50" t="s">
        <v>36</v>
      </c>
      <c r="F83" s="49" t="s">
        <v>37</v>
      </c>
      <c r="G83" s="50" t="s">
        <v>38</v>
      </c>
      <c r="H83" s="49" t="s">
        <v>39</v>
      </c>
      <c r="I83" s="51" t="s">
        <v>34</v>
      </c>
    </row>
    <row r="84" spans="1:9" ht="15" customHeight="1" thickTop="1">
      <c r="A84" s="447"/>
      <c r="B84" s="46" t="str">
        <f>CONCATENATE("Coppia REF [",EUnits,"]")</f>
        <v>Coppia REF [Nm]</v>
      </c>
      <c r="C84" s="371">
        <f>L19</f>
        <v>0</v>
      </c>
      <c r="D84" s="371">
        <f>L20</f>
        <v>0</v>
      </c>
      <c r="E84" s="371">
        <f>L21</f>
        <v>0</v>
      </c>
      <c r="F84" s="374">
        <f>L22</f>
        <v>0</v>
      </c>
      <c r="G84" s="374">
        <f>L23</f>
        <v>0</v>
      </c>
      <c r="H84" s="375">
        <f>L24</f>
        <v>0</v>
      </c>
      <c r="I84" s="376">
        <f>L25</f>
        <v>0</v>
      </c>
    </row>
    <row r="85" spans="1:9" ht="15" customHeight="1" thickBot="1">
      <c r="A85" s="447"/>
      <c r="B85" s="47" t="str">
        <f>CONCATENATE("Coppia UUT [",UUT_EUnits,"]")</f>
        <v>Coppia UUT [Nm]</v>
      </c>
      <c r="C85" s="372" t="e">
        <f>J19</f>
        <v>#DIV/0!</v>
      </c>
      <c r="D85" s="372" t="e">
        <f>J20</f>
        <v>#DIV/0!</v>
      </c>
      <c r="E85" s="372" t="e">
        <f>J21</f>
        <v>#DIV/0!</v>
      </c>
      <c r="F85" s="377" t="e">
        <f>J22</f>
        <v>#DIV/0!</v>
      </c>
      <c r="G85" s="377" t="e">
        <f>J23</f>
        <v>#DIV/0!</v>
      </c>
      <c r="H85" s="378" t="e">
        <f>J24</f>
        <v>#DIV/0!</v>
      </c>
      <c r="I85" s="379" t="e">
        <f>J25</f>
        <v>#DIV/0!</v>
      </c>
    </row>
  </sheetData>
  <mergeCells count="12">
    <mergeCell ref="K50:Q51"/>
    <mergeCell ref="C60:D60"/>
    <mergeCell ref="B74:B75"/>
    <mergeCell ref="B50:H51"/>
    <mergeCell ref="B60:B61"/>
    <mergeCell ref="A74:A85"/>
    <mergeCell ref="C74:D74"/>
    <mergeCell ref="G60:H60"/>
    <mergeCell ref="E60:F60"/>
    <mergeCell ref="A60:A71"/>
    <mergeCell ref="E74:F74"/>
    <mergeCell ref="G74:H74"/>
  </mergeCells>
  <conditionalFormatting sqref="C62:H63">
    <cfRule type="cellIs" dxfId="23" priority="7" operator="lessThan">
      <formula>0</formula>
    </cfRule>
    <cfRule type="cellIs" dxfId="22" priority="8" operator="greaterThanOrEqual">
      <formula>0</formula>
    </cfRule>
  </conditionalFormatting>
  <conditionalFormatting sqref="C76:H77">
    <cfRule type="cellIs" dxfId="21" priority="13" operator="lessThan">
      <formula>0</formula>
    </cfRule>
    <cfRule type="cellIs" dxfId="20" priority="14" operator="greaterThanOrEqual">
      <formula>0</formula>
    </cfRule>
  </conditionalFormatting>
  <conditionalFormatting sqref="C66:I67">
    <cfRule type="cellIs" dxfId="19" priority="1" operator="lessThan">
      <formula>0</formula>
    </cfRule>
    <cfRule type="cellIs" dxfId="18" priority="2" operator="greaterThanOrEqual">
      <formula>0</formula>
    </cfRule>
  </conditionalFormatting>
  <conditionalFormatting sqref="C70:I71">
    <cfRule type="cellIs" dxfId="17" priority="5" operator="lessThan">
      <formula>0</formula>
    </cfRule>
    <cfRule type="cellIs" dxfId="16" priority="6" operator="greaterThanOrEqual">
      <formula>0</formula>
    </cfRule>
  </conditionalFormatting>
  <conditionalFormatting sqref="C80:I81">
    <cfRule type="cellIs" dxfId="15" priority="11" operator="lessThan">
      <formula>0</formula>
    </cfRule>
    <cfRule type="cellIs" dxfId="14" priority="12" operator="greaterThanOrEqual">
      <formula>0</formula>
    </cfRule>
  </conditionalFormatting>
  <conditionalFormatting sqref="C84:I85">
    <cfRule type="cellIs" dxfId="13" priority="3" operator="lessThan">
      <formula>0</formula>
    </cfRule>
    <cfRule type="cellIs" dxfId="12" priority="4" operator="greaterThanOrEqual">
      <formula>0</formula>
    </cfRule>
  </conditionalFormatting>
  <pageMargins left="0" right="0" top="0.39370000000000011" bottom="0.39370000000000011" header="0" footer="0"/>
  <headerFooter>
    <oddHeader>&amp;C&amp;A</oddHeader>
    <oddFooter>&amp;CPagina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FF"/>
  </sheetPr>
  <dimension ref="A1:S79"/>
  <sheetViews>
    <sheetView topLeftCell="A12" zoomScale="85" zoomScaleNormal="85" workbookViewId="0">
      <selection activeCell="B75" sqref="B75"/>
    </sheetView>
  </sheetViews>
  <sheetFormatPr defaultColWidth="8.5546875" defaultRowHeight="14.4" outlineLevelRow="1"/>
  <cols>
    <col min="1" max="1" width="25.88671875" customWidth="1"/>
    <col min="2" max="2" width="22" customWidth="1"/>
    <col min="3" max="9" width="14.44140625" customWidth="1"/>
    <col min="11" max="11" width="25.6640625" customWidth="1"/>
    <col min="13" max="13" width="61.6640625" customWidth="1"/>
  </cols>
  <sheetData>
    <row r="1" spans="1:19" ht="21" customHeight="1">
      <c r="A1" s="1" t="s">
        <v>42</v>
      </c>
      <c r="B1" s="2"/>
      <c r="C1" s="2"/>
      <c r="D1" s="2"/>
      <c r="E1" s="2"/>
      <c r="F1" s="2"/>
      <c r="G1" s="2"/>
      <c r="H1" s="2"/>
      <c r="I1" s="2"/>
      <c r="J1" s="2"/>
      <c r="K1" s="2"/>
      <c r="L1" s="2"/>
      <c r="M1" s="2"/>
      <c r="N1" s="2"/>
      <c r="O1" s="2"/>
      <c r="P1" s="2"/>
      <c r="Q1" s="2"/>
      <c r="R1" s="2"/>
      <c r="S1" s="2"/>
    </row>
    <row r="2" spans="1:19">
      <c r="A2" s="3" t="s">
        <v>43</v>
      </c>
      <c r="B2" t="s">
        <v>44</v>
      </c>
    </row>
    <row r="3" spans="1:19">
      <c r="A3" t="s">
        <v>45</v>
      </c>
    </row>
    <row r="5" spans="1:19">
      <c r="A5" s="3" t="s">
        <v>46</v>
      </c>
      <c r="B5" s="3" t="s">
        <v>47</v>
      </c>
      <c r="C5" s="3" t="s">
        <v>48</v>
      </c>
      <c r="D5" s="3" t="s">
        <v>49</v>
      </c>
      <c r="E5" s="3" t="s">
        <v>50</v>
      </c>
      <c r="F5" s="4"/>
    </row>
    <row r="6" spans="1:19">
      <c r="A6" s="151" t="s">
        <v>51</v>
      </c>
      <c r="B6" s="434">
        <v>45323</v>
      </c>
      <c r="C6" s="435">
        <v>7</v>
      </c>
      <c r="D6" s="435"/>
      <c r="E6" s="151" t="s">
        <v>52</v>
      </c>
    </row>
    <row r="7" spans="1:19">
      <c r="A7" t="s">
        <v>53</v>
      </c>
      <c r="B7" s="433">
        <v>45482</v>
      </c>
      <c r="C7">
        <v>9</v>
      </c>
      <c r="E7" t="s">
        <v>54</v>
      </c>
    </row>
    <row r="9" spans="1:19">
      <c r="A9" s="6" t="s">
        <v>55</v>
      </c>
    </row>
    <row r="10" spans="1:19" ht="21" customHeight="1">
      <c r="A10" s="1" t="s">
        <v>56</v>
      </c>
      <c r="B10" s="2"/>
      <c r="C10" s="2"/>
      <c r="D10" s="2"/>
      <c r="E10" s="2"/>
      <c r="F10" s="2"/>
      <c r="G10" s="2"/>
      <c r="H10" s="2"/>
      <c r="I10" s="2"/>
      <c r="J10" s="2"/>
      <c r="K10" s="2"/>
      <c r="L10" s="2"/>
      <c r="M10" s="2"/>
      <c r="N10" s="2"/>
      <c r="O10" s="2"/>
      <c r="P10" s="2"/>
      <c r="Q10" s="2"/>
      <c r="R10" s="2"/>
      <c r="S10" s="2"/>
    </row>
    <row r="11" spans="1:19">
      <c r="A11" t="s">
        <v>57</v>
      </c>
      <c r="B11" s="7" t="s">
        <v>58</v>
      </c>
      <c r="E11" s="8" t="s">
        <v>59</v>
      </c>
    </row>
    <row r="12" spans="1:19">
      <c r="A12" t="s">
        <v>60</v>
      </c>
      <c r="B12" s="7" t="s">
        <v>58</v>
      </c>
      <c r="E12" s="9" t="s">
        <v>61</v>
      </c>
    </row>
    <row r="13" spans="1:19">
      <c r="A13" t="str">
        <f>CONCATENATE("Scale [",UUT_EUnits,"/V]")</f>
        <v>Scale [Nm/V]</v>
      </c>
      <c r="B13" s="6">
        <v>1</v>
      </c>
      <c r="E13" s="9" t="s">
        <v>58</v>
      </c>
    </row>
    <row r="14" spans="1:19">
      <c r="A14" t="s">
        <v>62</v>
      </c>
      <c r="B14" s="6">
        <v>2.5</v>
      </c>
      <c r="E14" s="10" t="s">
        <v>63</v>
      </c>
    </row>
    <row r="15" spans="1:19">
      <c r="A15" t="str">
        <f>CONCATENATE("Offset [",UUT_EUnits,"]")</f>
        <v>Offset [Nm]</v>
      </c>
      <c r="B15">
        <f>-B13*B14</f>
        <v>-2.5</v>
      </c>
    </row>
    <row r="17" spans="1:19" ht="21" customHeight="1">
      <c r="A17" s="1" t="s">
        <v>64</v>
      </c>
      <c r="B17" s="2"/>
      <c r="C17" s="2"/>
      <c r="D17" s="2"/>
      <c r="E17" s="2"/>
      <c r="F17" s="2"/>
      <c r="G17" s="2"/>
      <c r="H17" s="2"/>
      <c r="I17" s="2"/>
      <c r="J17" s="2"/>
      <c r="K17" s="2"/>
      <c r="L17" s="2"/>
      <c r="M17" s="2"/>
      <c r="N17" s="2"/>
      <c r="O17" s="2"/>
      <c r="P17" s="2"/>
      <c r="Q17" s="2"/>
      <c r="R17" s="2"/>
      <c r="S17" s="2"/>
    </row>
    <row r="18" spans="1:19" ht="33.75" customHeight="1">
      <c r="A18" t="s">
        <v>65</v>
      </c>
      <c r="D18" s="469" t="s">
        <v>66</v>
      </c>
      <c r="E18" s="470"/>
      <c r="F18" s="11"/>
      <c r="G18" s="471" t="s">
        <v>67</v>
      </c>
      <c r="H18" s="459"/>
    </row>
    <row r="19" spans="1:19">
      <c r="A19" s="12" t="s">
        <v>68</v>
      </c>
      <c r="D19" s="465" t="s">
        <v>69</v>
      </c>
      <c r="E19" s="466"/>
      <c r="G19" s="467" t="s">
        <v>69</v>
      </c>
      <c r="H19" s="468"/>
    </row>
    <row r="20" spans="1:19">
      <c r="A20" t="str">
        <f>CONCATENATE("Coppia Taratura |MAX| [",EUnits,"]")</f>
        <v>Coppia Taratura |MAX| [Nm]</v>
      </c>
      <c r="B20" s="6">
        <v>2000</v>
      </c>
      <c r="D20" s="13" t="s">
        <v>70</v>
      </c>
      <c r="E20" s="14">
        <v>0</v>
      </c>
      <c r="G20" s="15" t="s">
        <v>70</v>
      </c>
      <c r="H20" s="16">
        <v>0</v>
      </c>
    </row>
    <row r="21" spans="1:19">
      <c r="A21" t="s">
        <v>71</v>
      </c>
      <c r="B21" s="17">
        <v>5</v>
      </c>
      <c r="D21" s="13" t="s">
        <v>72</v>
      </c>
      <c r="E21" s="18">
        <f>B22</f>
        <v>400</v>
      </c>
      <c r="G21" s="15" t="s">
        <v>72</v>
      </c>
      <c r="H21" s="19">
        <f>-E21</f>
        <v>-400</v>
      </c>
    </row>
    <row r="22" spans="1:19">
      <c r="A22" t="str">
        <f>CONCATENATE("Step [",EUnits,"]")</f>
        <v>Step [Nm]</v>
      </c>
      <c r="B22" s="17">
        <f>(B20)/B21</f>
        <v>400</v>
      </c>
      <c r="D22" s="13" t="s">
        <v>73</v>
      </c>
      <c r="E22" s="18">
        <f>E21+$B$22</f>
        <v>800</v>
      </c>
      <c r="G22" s="15" t="s">
        <v>73</v>
      </c>
      <c r="H22" s="19">
        <f>-E22</f>
        <v>-800</v>
      </c>
    </row>
    <row r="23" spans="1:19">
      <c r="D23" s="13" t="s">
        <v>74</v>
      </c>
      <c r="E23" s="18">
        <f>E22+$B$22</f>
        <v>1200</v>
      </c>
      <c r="G23" s="15" t="s">
        <v>74</v>
      </c>
      <c r="H23" s="19">
        <f>-E23</f>
        <v>-1200</v>
      </c>
    </row>
    <row r="24" spans="1:19">
      <c r="A24" t="s">
        <v>75</v>
      </c>
      <c r="B24">
        <f>B20</f>
        <v>2000</v>
      </c>
      <c r="D24" s="13" t="s">
        <v>76</v>
      </c>
      <c r="E24" s="18">
        <f>E23+$B$22</f>
        <v>1600</v>
      </c>
      <c r="G24" s="15" t="s">
        <v>76</v>
      </c>
      <c r="H24" s="19">
        <f>-E24</f>
        <v>-1600</v>
      </c>
    </row>
    <row r="25" spans="1:19">
      <c r="A25" t="s">
        <v>77</v>
      </c>
      <c r="B25">
        <f>-B20</f>
        <v>-2000</v>
      </c>
      <c r="D25" s="20" t="s">
        <v>78</v>
      </c>
      <c r="E25" s="21">
        <f>E24+$B$22</f>
        <v>2000</v>
      </c>
      <c r="G25" s="22" t="s">
        <v>78</v>
      </c>
      <c r="H25" s="23">
        <f>-E25</f>
        <v>-2000</v>
      </c>
    </row>
    <row r="27" spans="1:19" ht="21" customHeight="1">
      <c r="A27" s="1" t="s">
        <v>79</v>
      </c>
      <c r="B27" s="2"/>
      <c r="C27" s="2"/>
      <c r="D27" s="2"/>
      <c r="E27" s="2"/>
      <c r="F27" s="2"/>
      <c r="G27" s="2"/>
      <c r="H27" s="2"/>
      <c r="I27" s="2"/>
      <c r="J27" s="2"/>
      <c r="K27" s="2"/>
      <c r="L27" s="2"/>
      <c r="M27" s="2"/>
      <c r="N27" s="2"/>
      <c r="O27" s="2"/>
      <c r="P27" s="2"/>
      <c r="Q27" s="2"/>
      <c r="R27" s="2"/>
      <c r="S27" s="2"/>
    </row>
    <row r="28" spans="1:19" outlineLevel="1">
      <c r="A28" t="s">
        <v>80</v>
      </c>
      <c r="F28" s="24"/>
      <c r="K28" s="24"/>
      <c r="M28" s="25" t="s">
        <v>81</v>
      </c>
      <c r="P28" s="24"/>
    </row>
    <row r="29" spans="1:19" outlineLevel="1">
      <c r="F29" s="24"/>
      <c r="K29" s="24"/>
      <c r="P29" s="24"/>
    </row>
    <row r="30" spans="1:19" ht="18.75" customHeight="1" outlineLevel="1">
      <c r="A30" s="454" t="s">
        <v>28</v>
      </c>
      <c r="B30" s="444" t="s">
        <v>29</v>
      </c>
      <c r="C30" s="436" t="s">
        <v>30</v>
      </c>
      <c r="D30" s="437"/>
      <c r="E30" s="452" t="s">
        <v>31</v>
      </c>
      <c r="F30" s="453"/>
      <c r="G30" s="450" t="s">
        <v>32</v>
      </c>
      <c r="H30" s="451"/>
    </row>
    <row r="31" spans="1:19" ht="18.75" customHeight="1" outlineLevel="1">
      <c r="A31" s="464"/>
      <c r="B31" s="445"/>
      <c r="C31" s="26">
        <v>0</v>
      </c>
      <c r="D31" s="27">
        <f>C_Tar_max</f>
        <v>2000</v>
      </c>
      <c r="E31" s="26">
        <v>0</v>
      </c>
      <c r="F31" s="27">
        <f>C_Tar_max</f>
        <v>2000</v>
      </c>
      <c r="G31" s="26">
        <v>0</v>
      </c>
      <c r="H31" s="28">
        <f>C_Tar_max</f>
        <v>2000</v>
      </c>
    </row>
    <row r="32" spans="1:19" outlineLevel="1">
      <c r="A32" s="464"/>
      <c r="B32" s="29" t="str">
        <f>CONCATENATE("Coppia REF [",EUnits,"]")</f>
        <v>Coppia REF [Nm]</v>
      </c>
      <c r="C32" s="371" t="e">
        <f>Euramet!C62</f>
        <v>#NUM!</v>
      </c>
      <c r="D32" s="371">
        <f>Euramet!D62</f>
        <v>0</v>
      </c>
      <c r="E32" s="371">
        <f>Euramet!E62</f>
        <v>0</v>
      </c>
      <c r="F32" s="371">
        <f>Euramet!F62</f>
        <v>0</v>
      </c>
      <c r="G32" s="371">
        <f>Euramet!G62</f>
        <v>0</v>
      </c>
      <c r="H32" s="371">
        <f>Euramet!H62</f>
        <v>0</v>
      </c>
    </row>
    <row r="33" spans="1:9" outlineLevel="1">
      <c r="A33" s="464"/>
      <c r="B33" s="30" t="str">
        <f>CONCATENATE("Coppia UUT [",UUT_EUnits,"]")</f>
        <v>Coppia UUT [Nm]</v>
      </c>
      <c r="C33" s="371">
        <f>Euramet!C63</f>
        <v>0</v>
      </c>
      <c r="D33" s="371">
        <f>Euramet!D63</f>
        <v>-1E-3</v>
      </c>
      <c r="E33" s="371">
        <f>Euramet!E63</f>
        <v>-1E-3</v>
      </c>
      <c r="F33" s="371">
        <f>Euramet!F63</f>
        <v>-1E-3</v>
      </c>
      <c r="G33" s="371">
        <f>Euramet!G63</f>
        <v>-1E-3</v>
      </c>
      <c r="H33" s="371">
        <f>Euramet!H63</f>
        <v>-1E-3</v>
      </c>
    </row>
    <row r="34" spans="1:9" outlineLevel="1">
      <c r="A34" s="464"/>
      <c r="B34" s="35"/>
    </row>
    <row r="35" spans="1:9" ht="39.75" customHeight="1" outlineLevel="1">
      <c r="A35" s="464"/>
      <c r="B35" s="36" t="s">
        <v>33</v>
      </c>
      <c r="C35" s="37" t="s">
        <v>34</v>
      </c>
      <c r="D35" s="37" t="s">
        <v>35</v>
      </c>
      <c r="E35" s="38" t="s">
        <v>36</v>
      </c>
      <c r="F35" s="37" t="s">
        <v>37</v>
      </c>
      <c r="G35" s="38" t="s">
        <v>38</v>
      </c>
      <c r="H35" s="37" t="s">
        <v>39</v>
      </c>
      <c r="I35" s="39" t="s">
        <v>34</v>
      </c>
    </row>
    <row r="36" spans="1:9" outlineLevel="1">
      <c r="A36" s="464"/>
      <c r="B36" s="29" t="str">
        <f>CONCATENATE("Coppia REF [",EUnits,"]")</f>
        <v>Coppia REF [Nm]</v>
      </c>
      <c r="C36" s="371">
        <f>Euramet!C66</f>
        <v>0</v>
      </c>
      <c r="D36" s="371">
        <f>Euramet!D66</f>
        <v>0</v>
      </c>
      <c r="E36" s="371">
        <f>Euramet!E66</f>
        <v>0</v>
      </c>
      <c r="F36" s="371">
        <f>Euramet!F66</f>
        <v>0</v>
      </c>
      <c r="G36" s="371">
        <f>Euramet!G66</f>
        <v>0</v>
      </c>
      <c r="H36" s="371">
        <f>Euramet!H66</f>
        <v>0</v>
      </c>
      <c r="I36" s="371">
        <f>Euramet!I66</f>
        <v>0</v>
      </c>
    </row>
    <row r="37" spans="1:9" outlineLevel="1">
      <c r="A37" s="464"/>
      <c r="B37" s="30" t="str">
        <f>CONCATENATE("Coppia UUT [",UUT_EUnits,"]")</f>
        <v>Coppia UUT [Nm]</v>
      </c>
      <c r="C37" s="371">
        <f>Euramet!C67</f>
        <v>-1E-3</v>
      </c>
      <c r="D37" s="371">
        <f>Euramet!D67</f>
        <v>-1E-3</v>
      </c>
      <c r="E37" s="371">
        <f>Euramet!E67</f>
        <v>-1E-3</v>
      </c>
      <c r="F37" s="371">
        <f>Euramet!F67</f>
        <v>-1E-3</v>
      </c>
      <c r="G37" s="371">
        <f>Euramet!G67</f>
        <v>-1E-3</v>
      </c>
      <c r="H37" s="371">
        <f>Euramet!H67</f>
        <v>-1E-3</v>
      </c>
      <c r="I37" s="371">
        <f>Euramet!I67</f>
        <v>-1E-3</v>
      </c>
    </row>
    <row r="38" spans="1:9" outlineLevel="1">
      <c r="A38" s="464"/>
    </row>
    <row r="39" spans="1:9" ht="39.75" customHeight="1" outlineLevel="1">
      <c r="A39" s="464"/>
      <c r="B39" s="40" t="s">
        <v>40</v>
      </c>
      <c r="C39" s="37" t="s">
        <v>34</v>
      </c>
      <c r="D39" s="37" t="s">
        <v>35</v>
      </c>
      <c r="E39" s="38" t="s">
        <v>36</v>
      </c>
      <c r="F39" s="37" t="s">
        <v>37</v>
      </c>
      <c r="G39" s="38" t="s">
        <v>38</v>
      </c>
      <c r="H39" s="37" t="s">
        <v>39</v>
      </c>
      <c r="I39" s="39" t="s">
        <v>34</v>
      </c>
    </row>
    <row r="40" spans="1:9" outlineLevel="1">
      <c r="A40" s="464"/>
      <c r="B40" s="29" t="str">
        <f>CONCATENATE("Coppia REF [",EUnits,"]")</f>
        <v>Coppia REF [Nm]</v>
      </c>
      <c r="C40" s="371">
        <f>Euramet!C70</f>
        <v>0</v>
      </c>
      <c r="D40" s="371">
        <f>Euramet!D70</f>
        <v>0</v>
      </c>
      <c r="E40" s="371">
        <f>Euramet!E70</f>
        <v>0</v>
      </c>
      <c r="F40" s="371">
        <f>Euramet!F70</f>
        <v>0</v>
      </c>
      <c r="G40" s="371">
        <f>Euramet!G70</f>
        <v>0</v>
      </c>
      <c r="H40" s="371">
        <f>Euramet!H70</f>
        <v>0</v>
      </c>
      <c r="I40" s="371">
        <f>Euramet!I70</f>
        <v>0</v>
      </c>
    </row>
    <row r="41" spans="1:9" outlineLevel="1">
      <c r="A41" s="464"/>
      <c r="B41" s="30" t="str">
        <f>CONCATENATE("Coppia UUT [",UUT_EUnits,"]")</f>
        <v>Coppia UUT [Nm]</v>
      </c>
      <c r="C41" s="371">
        <f>Euramet!C71</f>
        <v>-1E-3</v>
      </c>
      <c r="D41" s="371">
        <f>Euramet!D71</f>
        <v>-1E-3</v>
      </c>
      <c r="E41" s="371">
        <f>Euramet!E71</f>
        <v>-1E-3</v>
      </c>
      <c r="F41" s="371">
        <f>Euramet!F71</f>
        <v>-1E-3</v>
      </c>
      <c r="G41" s="371">
        <f>Euramet!G71</f>
        <v>-1E-3</v>
      </c>
      <c r="H41" s="371">
        <f>Euramet!H71</f>
        <v>-1E-3</v>
      </c>
      <c r="I41" s="371">
        <f>Euramet!I71</f>
        <v>-1E-3</v>
      </c>
    </row>
    <row r="42" spans="1:9" outlineLevel="1"/>
    <row r="43" spans="1:9" outlineLevel="1"/>
    <row r="44" spans="1:9" ht="21" customHeight="1" outlineLevel="1">
      <c r="A44" s="446" t="s">
        <v>41</v>
      </c>
      <c r="B44" s="438" t="s">
        <v>29</v>
      </c>
      <c r="C44" s="448" t="s">
        <v>30</v>
      </c>
      <c r="D44" s="449"/>
      <c r="E44" s="456" t="s">
        <v>31</v>
      </c>
      <c r="F44" s="457"/>
      <c r="G44" s="458" t="s">
        <v>32</v>
      </c>
      <c r="H44" s="459"/>
    </row>
    <row r="45" spans="1:9" ht="21" customHeight="1" outlineLevel="1">
      <c r="A45" s="464"/>
      <c r="B45" s="439"/>
      <c r="C45" s="41">
        <v>0</v>
      </c>
      <c r="D45" s="42">
        <f>C_Tar_min</f>
        <v>-2000</v>
      </c>
      <c r="E45" s="41">
        <v>0</v>
      </c>
      <c r="F45" s="43">
        <f>C_Tar_min</f>
        <v>-2000</v>
      </c>
      <c r="G45" s="44">
        <v>0</v>
      </c>
      <c r="H45" s="45">
        <f>C_Tar_min</f>
        <v>-2000</v>
      </c>
    </row>
    <row r="46" spans="1:9" outlineLevel="1">
      <c r="A46" s="464"/>
      <c r="B46" s="46" t="str">
        <f>CONCATENATE("Coppia REF [",EUnits,"]")</f>
        <v>Coppia REF [Nm]</v>
      </c>
      <c r="C46" s="371">
        <f>Euramet!C76</f>
        <v>0</v>
      </c>
      <c r="D46" s="371">
        <f>Euramet!D76</f>
        <v>0</v>
      </c>
      <c r="E46" s="371">
        <f>Euramet!E76</f>
        <v>0</v>
      </c>
      <c r="F46" s="371">
        <f>Euramet!F76</f>
        <v>0</v>
      </c>
      <c r="G46" s="371">
        <f>Euramet!G76</f>
        <v>0</v>
      </c>
      <c r="H46" s="371">
        <f>Euramet!H76</f>
        <v>0</v>
      </c>
    </row>
    <row r="47" spans="1:9" outlineLevel="1">
      <c r="A47" s="464"/>
      <c r="B47" s="47" t="str">
        <f>CONCATENATE("Coppia UUT [",UUT_EUnits,"]")</f>
        <v>Coppia UUT [Nm]</v>
      </c>
      <c r="C47" s="371" t="e">
        <f>Euramet!C77</f>
        <v>#DIV/0!</v>
      </c>
      <c r="D47" s="371" t="e">
        <f>Euramet!D77</f>
        <v>#DIV/0!</v>
      </c>
      <c r="E47" s="371" t="e">
        <f>Euramet!E77</f>
        <v>#DIV/0!</v>
      </c>
      <c r="F47" s="371" t="e">
        <f>Euramet!F77</f>
        <v>#DIV/0!</v>
      </c>
      <c r="G47" s="371" t="e">
        <f>Euramet!G77</f>
        <v>#DIV/0!</v>
      </c>
      <c r="H47" s="371" t="e">
        <f>Euramet!H77</f>
        <v>#DIV/0!</v>
      </c>
    </row>
    <row r="48" spans="1:9" outlineLevel="1">
      <c r="A48" s="464"/>
    </row>
    <row r="49" spans="1:19" ht="41.4" customHeight="1" outlineLevel="1">
      <c r="A49" s="464"/>
      <c r="B49" s="48" t="s">
        <v>33</v>
      </c>
      <c r="C49" s="49" t="s">
        <v>34</v>
      </c>
      <c r="D49" s="49" t="s">
        <v>35</v>
      </c>
      <c r="E49" s="50" t="s">
        <v>36</v>
      </c>
      <c r="F49" s="49" t="s">
        <v>37</v>
      </c>
      <c r="G49" s="50" t="s">
        <v>38</v>
      </c>
      <c r="H49" s="49" t="s">
        <v>39</v>
      </c>
      <c r="I49" s="51" t="s">
        <v>34</v>
      </c>
    </row>
    <row r="50" spans="1:19" outlineLevel="1">
      <c r="A50" s="464"/>
      <c r="B50" s="46" t="str">
        <f>CONCATENATE("Coppia REF [",EUnits,"]")</f>
        <v>Coppia REF [Nm]</v>
      </c>
      <c r="C50" s="371">
        <f>Euramet!C80</f>
        <v>0</v>
      </c>
      <c r="D50" s="371">
        <f>Euramet!D80</f>
        <v>0</v>
      </c>
      <c r="E50" s="371">
        <f>Euramet!E80</f>
        <v>0</v>
      </c>
      <c r="F50" s="371">
        <f>Euramet!F80</f>
        <v>0</v>
      </c>
      <c r="G50" s="371">
        <f>Euramet!G80</f>
        <v>0</v>
      </c>
      <c r="H50" s="371">
        <f>Euramet!H80</f>
        <v>0</v>
      </c>
      <c r="I50" s="371">
        <f>Euramet!I80</f>
        <v>0</v>
      </c>
    </row>
    <row r="51" spans="1:19" outlineLevel="1">
      <c r="A51" s="464"/>
      <c r="B51" s="47" t="str">
        <f>CONCATENATE("Coppia UUT [",UUT_EUnits,"]")</f>
        <v>Coppia UUT [Nm]</v>
      </c>
      <c r="C51" s="371" t="e">
        <f>Euramet!C81</f>
        <v>#DIV/0!</v>
      </c>
      <c r="D51" s="371" t="e">
        <f>Euramet!D81</f>
        <v>#DIV/0!</v>
      </c>
      <c r="E51" s="371" t="e">
        <f>Euramet!E81</f>
        <v>#DIV/0!</v>
      </c>
      <c r="F51" s="371" t="e">
        <f>Euramet!F81</f>
        <v>#DIV/0!</v>
      </c>
      <c r="G51" s="371" t="e">
        <f>Euramet!G81</f>
        <v>#DIV/0!</v>
      </c>
      <c r="H51" s="371" t="e">
        <f>Euramet!H81</f>
        <v>#DIV/0!</v>
      </c>
      <c r="I51" s="371" t="e">
        <f>Euramet!I81</f>
        <v>#DIV/0!</v>
      </c>
    </row>
    <row r="52" spans="1:19" outlineLevel="1">
      <c r="A52" s="464"/>
    </row>
    <row r="53" spans="1:19" ht="41.4" customHeight="1" outlineLevel="1">
      <c r="A53" s="464"/>
      <c r="B53" s="48" t="s">
        <v>40</v>
      </c>
      <c r="C53" s="49" t="s">
        <v>34</v>
      </c>
      <c r="D53" s="49" t="s">
        <v>35</v>
      </c>
      <c r="E53" s="50" t="s">
        <v>36</v>
      </c>
      <c r="F53" s="49" t="s">
        <v>37</v>
      </c>
      <c r="G53" s="50" t="s">
        <v>38</v>
      </c>
      <c r="H53" s="49" t="s">
        <v>39</v>
      </c>
      <c r="I53" s="51" t="s">
        <v>34</v>
      </c>
    </row>
    <row r="54" spans="1:19" outlineLevel="1">
      <c r="A54" s="464"/>
      <c r="B54" s="46" t="str">
        <f>CONCATENATE("Coppia REF [",EUnits,"]")</f>
        <v>Coppia REF [Nm]</v>
      </c>
      <c r="C54" s="371">
        <f>Euramet!C84</f>
        <v>0</v>
      </c>
      <c r="D54" s="371">
        <f>Euramet!D84</f>
        <v>0</v>
      </c>
      <c r="E54" s="371">
        <f>Euramet!E84</f>
        <v>0</v>
      </c>
      <c r="F54" s="371">
        <f>Euramet!F84</f>
        <v>0</v>
      </c>
      <c r="G54" s="371">
        <f>Euramet!G84</f>
        <v>0</v>
      </c>
      <c r="H54" s="371">
        <f>Euramet!H84</f>
        <v>0</v>
      </c>
      <c r="I54" s="371">
        <f>Euramet!I84</f>
        <v>0</v>
      </c>
    </row>
    <row r="55" spans="1:19" outlineLevel="1">
      <c r="A55" s="464"/>
      <c r="B55" s="47" t="str">
        <f>CONCATENATE("Coppia UUT [",UUT_EUnits,"]")</f>
        <v>Coppia UUT [Nm]</v>
      </c>
      <c r="C55" s="371" t="e">
        <f>Euramet!C85</f>
        <v>#DIV/0!</v>
      </c>
      <c r="D55" s="371" t="e">
        <f>Euramet!D85</f>
        <v>#DIV/0!</v>
      </c>
      <c r="E55" s="371" t="e">
        <f>Euramet!E85</f>
        <v>#DIV/0!</v>
      </c>
      <c r="F55" s="371" t="e">
        <f>Euramet!F85</f>
        <v>#DIV/0!</v>
      </c>
      <c r="G55" s="371" t="e">
        <f>Euramet!G85</f>
        <v>#DIV/0!</v>
      </c>
      <c r="H55" s="371" t="e">
        <f>Euramet!H85</f>
        <v>#DIV/0!</v>
      </c>
      <c r="I55" s="371" t="e">
        <f>Euramet!I85</f>
        <v>#DIV/0!</v>
      </c>
    </row>
    <row r="56" spans="1:19" outlineLevel="1"/>
    <row r="57" spans="1:19" outlineLevel="1">
      <c r="A57" s="463" t="s">
        <v>82</v>
      </c>
      <c r="B57" s="400" t="s">
        <v>83</v>
      </c>
      <c r="C57" s="400">
        <v>5</v>
      </c>
    </row>
    <row r="58" spans="1:19" ht="15.6" customHeight="1" outlineLevel="1">
      <c r="A58" s="464"/>
      <c r="B58" s="400" t="s">
        <v>84</v>
      </c>
      <c r="C58" s="401">
        <f>C57/4000</f>
        <v>1.25E-3</v>
      </c>
    </row>
    <row r="59" spans="1:19" outlineLevel="1">
      <c r="A59" s="464"/>
      <c r="B59" s="400"/>
      <c r="C59" s="400"/>
    </row>
    <row r="60" spans="1:19" outlineLevel="1"/>
    <row r="62" spans="1:19" ht="21" customHeight="1">
      <c r="A62" s="1" t="s">
        <v>85</v>
      </c>
      <c r="B62" s="2"/>
      <c r="C62" s="2"/>
      <c r="D62" s="2"/>
      <c r="E62" s="2"/>
      <c r="F62" s="2"/>
      <c r="G62" s="2"/>
      <c r="H62" s="2"/>
      <c r="I62" s="2"/>
      <c r="J62" s="2"/>
      <c r="K62" s="2"/>
      <c r="L62" s="2"/>
      <c r="M62" s="2"/>
      <c r="N62" s="2"/>
      <c r="O62" s="2"/>
      <c r="P62" s="2"/>
      <c r="Q62" s="2"/>
      <c r="R62" s="2"/>
      <c r="S62" s="2"/>
    </row>
    <row r="63" spans="1:19">
      <c r="A63" s="52" t="s">
        <v>86</v>
      </c>
      <c r="B63" s="53" t="s">
        <v>87</v>
      </c>
      <c r="C63" s="52"/>
    </row>
    <row r="64" spans="1:19">
      <c r="A64" s="52" t="s">
        <v>88</v>
      </c>
      <c r="B64" s="54" t="s">
        <v>87</v>
      </c>
      <c r="C64" s="52"/>
    </row>
    <row r="65" spans="1:10">
      <c r="A65" s="52" t="s">
        <v>89</v>
      </c>
      <c r="B65" s="54" t="s">
        <v>87</v>
      </c>
      <c r="C65" s="52" t="s">
        <v>90</v>
      </c>
    </row>
    <row r="66" spans="1:10">
      <c r="A66" s="52" t="s">
        <v>91</v>
      </c>
      <c r="B66" s="54" t="s">
        <v>87</v>
      </c>
      <c r="C66" s="52" t="s">
        <v>92</v>
      </c>
    </row>
    <row r="67" spans="1:10">
      <c r="A67" s="52" t="s">
        <v>93</v>
      </c>
      <c r="B67" s="54" t="s">
        <v>87</v>
      </c>
      <c r="C67" t="s">
        <v>94</v>
      </c>
      <c r="F67" s="52" t="s">
        <v>95</v>
      </c>
    </row>
    <row r="68" spans="1:10">
      <c r="A68" s="52" t="s">
        <v>96</v>
      </c>
      <c r="B68" s="54" t="s">
        <v>87</v>
      </c>
      <c r="C68" s="52" t="s">
        <v>97</v>
      </c>
    </row>
    <row r="69" spans="1:10">
      <c r="A69" s="52" t="s">
        <v>98</v>
      </c>
      <c r="B69" s="54" t="s">
        <v>87</v>
      </c>
      <c r="C69" s="52" t="s">
        <v>99</v>
      </c>
      <c r="E69" s="389"/>
    </row>
    <row r="70" spans="1:10">
      <c r="A70" s="52" t="s">
        <v>100</v>
      </c>
      <c r="B70" s="54" t="s">
        <v>87</v>
      </c>
      <c r="C70" s="52" t="s">
        <v>101</v>
      </c>
    </row>
    <row r="72" spans="1:10" ht="15.6" customHeight="1">
      <c r="A72" s="55" t="s">
        <v>102</v>
      </c>
      <c r="B72" s="7" t="str">
        <f>CONCATENATE("± ",B14*0.8*B13," Nm")</f>
        <v>± 2 Nm</v>
      </c>
      <c r="C72" t="s">
        <v>103</v>
      </c>
    </row>
    <row r="73" spans="1:10" ht="15.6" customHeight="1">
      <c r="A73" s="56" t="s">
        <v>104</v>
      </c>
      <c r="B73" s="57" t="s">
        <v>105</v>
      </c>
      <c r="C73" t="s">
        <v>106</v>
      </c>
      <c r="J73" s="58"/>
    </row>
    <row r="74" spans="1:10" ht="15.6" customHeight="1">
      <c r="A74" s="56" t="s">
        <v>107</v>
      </c>
      <c r="B74" s="57" t="s">
        <v>105</v>
      </c>
      <c r="C74" t="s">
        <v>108</v>
      </c>
      <c r="J74" s="58"/>
    </row>
    <row r="75" spans="1:10" ht="15.6" customHeight="1">
      <c r="A75" s="55" t="s">
        <v>109</v>
      </c>
      <c r="B75" s="7" t="str">
        <f>CONCATENATE("± ",B14*0.2*B13," Nm")</f>
        <v>± 0.5 Nm</v>
      </c>
      <c r="J75" s="58"/>
    </row>
    <row r="76" spans="1:10">
      <c r="B76" s="58"/>
      <c r="J76" s="58"/>
    </row>
    <row r="77" spans="1:10" ht="15.6" customHeight="1">
      <c r="A77" s="59" t="s">
        <v>110</v>
      </c>
      <c r="J77" s="58"/>
    </row>
    <row r="78" spans="1:10">
      <c r="A78" s="58" t="s">
        <v>111</v>
      </c>
      <c r="B78" s="60" t="str">
        <f>CONCATENATE(TRUNC(B14,3)," V")</f>
        <v>2.5 V</v>
      </c>
      <c r="J78" s="58"/>
    </row>
    <row r="79" spans="1:10">
      <c r="A79" s="58" t="s">
        <v>112</v>
      </c>
      <c r="B79" s="60" t="str">
        <f>CONCATENATE(TRUNC(B13,3)," ",EUnits,"/V")</f>
        <v>1 Nm/V</v>
      </c>
      <c r="J79" s="58"/>
    </row>
  </sheetData>
  <mergeCells count="15">
    <mergeCell ref="D18:E18"/>
    <mergeCell ref="G18:H18"/>
    <mergeCell ref="A30:A41"/>
    <mergeCell ref="A44:A55"/>
    <mergeCell ref="B30:B31"/>
    <mergeCell ref="B44:B45"/>
    <mergeCell ref="E30:F30"/>
    <mergeCell ref="C30:D30"/>
    <mergeCell ref="A57:A59"/>
    <mergeCell ref="G30:H30"/>
    <mergeCell ref="D19:E19"/>
    <mergeCell ref="E44:F44"/>
    <mergeCell ref="G19:H19"/>
    <mergeCell ref="C44:D44"/>
    <mergeCell ref="G44:H44"/>
  </mergeCells>
  <conditionalFormatting sqref="C32:H33">
    <cfRule type="cellIs" dxfId="11" priority="26" operator="lessThan">
      <formula>0</formula>
    </cfRule>
    <cfRule type="cellIs" dxfId="10" priority="27" operator="greaterThanOrEqual">
      <formula>0</formula>
    </cfRule>
  </conditionalFormatting>
  <conditionalFormatting sqref="C46:H47">
    <cfRule type="cellIs" dxfId="9" priority="1" operator="lessThan">
      <formula>0</formula>
    </cfRule>
    <cfRule type="cellIs" dxfId="8" priority="2" operator="greaterThanOrEqual">
      <formula>0</formula>
    </cfRule>
  </conditionalFormatting>
  <conditionalFormatting sqref="C36:I37">
    <cfRule type="cellIs" dxfId="7" priority="9" operator="lessThan">
      <formula>0</formula>
    </cfRule>
    <cfRule type="cellIs" dxfId="6" priority="10" operator="greaterThanOrEqual">
      <formula>0</formula>
    </cfRule>
  </conditionalFormatting>
  <conditionalFormatting sqref="C40:I41">
    <cfRule type="cellIs" dxfId="5" priority="7" operator="lessThan">
      <formula>0</formula>
    </cfRule>
    <cfRule type="cellIs" dxfId="4" priority="8" operator="greaterThanOrEqual">
      <formula>0</formula>
    </cfRule>
  </conditionalFormatting>
  <conditionalFormatting sqref="C50:I51">
    <cfRule type="cellIs" dxfId="3" priority="5" operator="lessThan">
      <formula>0</formula>
    </cfRule>
    <cfRule type="cellIs" dxfId="2" priority="6" operator="greaterThanOrEqual">
      <formula>0</formula>
    </cfRule>
  </conditionalFormatting>
  <conditionalFormatting sqref="C54:I55">
    <cfRule type="cellIs" dxfId="1" priority="3" operator="lessThan">
      <formula>0</formula>
    </cfRule>
    <cfRule type="cellIs" dxfId="0" priority="4" operator="greaterThanOrEqual">
      <formula>0</formula>
    </cfRule>
  </conditionalFormatting>
  <dataValidations count="2">
    <dataValidation type="list" allowBlank="1" showInputMessage="1" showErrorMessage="1" sqref="B11" xr:uid="{00000000-0002-0000-0100-000000000000}">
      <formula1>$E$12:$E$13</formula1>
      <formula2>0</formula2>
    </dataValidation>
    <dataValidation type="list" allowBlank="1" showInputMessage="1" showErrorMessage="1" sqref="B12" xr:uid="{00000000-0002-0000-0100-000001000000}">
      <formula1>$E$13:$E$14</formula1>
      <formula2>0</formula2>
    </dataValidation>
  </dataValidations>
  <pageMargins left="0.7" right="0.7" top="0.75" bottom="0.75" header="0.511811023622047" footer="0.511811023622047"/>
  <pageSetup orientation="portrait" horizontalDpi="300" verticalDpi="300"/>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F0"/>
  </sheetPr>
  <dimension ref="A1:X196"/>
  <sheetViews>
    <sheetView topLeftCell="A8" zoomScale="85" zoomScaleNormal="85" workbookViewId="0">
      <selection activeCell="E34" sqref="E34"/>
    </sheetView>
  </sheetViews>
  <sheetFormatPr defaultColWidth="8.5546875" defaultRowHeight="14.4" outlineLevelRow="1"/>
  <cols>
    <col min="1" max="1" width="15.5546875" customWidth="1"/>
    <col min="2" max="2" width="19.6640625" customWidth="1"/>
    <col min="3" max="5" width="13.44140625" customWidth="1"/>
    <col min="6" max="6" width="15.109375" customWidth="1"/>
    <col min="7" max="9" width="14.109375" customWidth="1"/>
    <col min="10" max="10" width="10.109375" customWidth="1"/>
    <col min="11" max="11" width="9.109375" customWidth="1"/>
    <col min="12" max="12" width="12.88671875" customWidth="1"/>
    <col min="13" max="13" width="13.5546875" customWidth="1"/>
    <col min="14" max="14" width="12.5546875" customWidth="1"/>
    <col min="15" max="16" width="10.6640625" customWidth="1"/>
    <col min="17" max="19" width="11.5546875" customWidth="1"/>
    <col min="20" max="20" width="10.5546875" customWidth="1"/>
    <col min="21" max="21" width="7.88671875" customWidth="1"/>
    <col min="22" max="22" width="12.5546875" customWidth="1"/>
    <col min="23" max="23" width="13.33203125" customWidth="1"/>
    <col min="24" max="24" width="12.5546875" customWidth="1"/>
  </cols>
  <sheetData>
    <row r="1" spans="1:24" ht="25.8" customHeight="1">
      <c r="A1" s="61" t="s">
        <v>56</v>
      </c>
      <c r="B1" s="62"/>
      <c r="C1" s="62"/>
      <c r="D1" s="62"/>
      <c r="E1" s="62"/>
      <c r="F1" s="62"/>
      <c r="G1" s="62"/>
      <c r="H1" s="62"/>
      <c r="I1" s="62"/>
      <c r="J1" s="62"/>
      <c r="K1" s="62"/>
      <c r="L1" s="62"/>
      <c r="M1" s="62"/>
      <c r="N1" s="62"/>
      <c r="O1" s="62"/>
      <c r="P1" s="62"/>
      <c r="Q1" s="62"/>
      <c r="R1" s="62"/>
      <c r="S1" s="62"/>
      <c r="T1" s="62"/>
      <c r="U1" s="62"/>
      <c r="V1" s="62"/>
      <c r="W1" s="62"/>
      <c r="X1" s="62"/>
    </row>
    <row r="2" spans="1:24" outlineLevel="1">
      <c r="A2" t="s">
        <v>113</v>
      </c>
    </row>
    <row r="3" spans="1:24" outlineLevel="1">
      <c r="A3" s="63" t="s">
        <v>114</v>
      </c>
      <c r="B3" s="64" t="str">
        <f>CONCATENATE(EUnits,"/V")</f>
        <v>Nm/V</v>
      </c>
      <c r="C3" s="65">
        <f>'Istruzioni Uso'!B13</f>
        <v>1</v>
      </c>
      <c r="F3" s="24"/>
      <c r="K3" s="24"/>
      <c r="P3" s="24"/>
    </row>
    <row r="4" spans="1:24" outlineLevel="1">
      <c r="A4" s="66" t="s">
        <v>111</v>
      </c>
      <c r="B4" s="67" t="s">
        <v>58</v>
      </c>
      <c r="C4" s="68">
        <f>'Istruzioni Uso'!B15</f>
        <v>-2.5</v>
      </c>
      <c r="F4" s="24"/>
      <c r="K4" s="24"/>
      <c r="P4" s="24"/>
    </row>
    <row r="5" spans="1:24" outlineLevel="1">
      <c r="A5" t="s">
        <v>115</v>
      </c>
      <c r="B5" t="str">
        <f>CONCATENATE("UUT [V/",EUnits,"]")</f>
        <v>UUT [V/Nm]</v>
      </c>
      <c r="C5">
        <f>1/C3</f>
        <v>1</v>
      </c>
      <c r="F5" s="24"/>
      <c r="K5" s="24"/>
      <c r="P5" s="24"/>
    </row>
    <row r="6" spans="1:24" outlineLevel="1">
      <c r="C6">
        <f>-C4/C3</f>
        <v>2.5</v>
      </c>
      <c r="F6" s="24"/>
      <c r="K6" s="24"/>
      <c r="P6" s="24"/>
    </row>
    <row r="7" spans="1:24">
      <c r="F7" s="24"/>
      <c r="K7" s="24"/>
      <c r="P7" s="24"/>
    </row>
    <row r="8" spans="1:24" ht="25.8" customHeight="1">
      <c r="A8" s="61" t="s">
        <v>64</v>
      </c>
      <c r="B8" s="62"/>
      <c r="C8" s="62"/>
      <c r="D8" s="62"/>
      <c r="E8" s="62"/>
      <c r="F8" s="62"/>
      <c r="G8" s="62"/>
      <c r="H8" s="62"/>
      <c r="I8" s="62"/>
      <c r="J8" s="62"/>
      <c r="K8" s="62"/>
      <c r="L8" s="62"/>
      <c r="M8" s="62"/>
      <c r="N8" s="62"/>
      <c r="O8" s="62"/>
      <c r="P8" s="62"/>
      <c r="Q8" s="62"/>
      <c r="R8" s="62"/>
      <c r="S8" s="62"/>
      <c r="T8" s="62"/>
      <c r="U8" s="62"/>
      <c r="V8" s="62"/>
      <c r="W8" s="62"/>
      <c r="X8" s="62"/>
    </row>
    <row r="9" spans="1:24" outlineLevel="1">
      <c r="F9" s="24"/>
      <c r="K9" s="24"/>
      <c r="P9" s="24"/>
    </row>
    <row r="10" spans="1:24" outlineLevel="1">
      <c r="A10" s="12" t="s">
        <v>68</v>
      </c>
      <c r="D10" s="12" t="s">
        <v>69</v>
      </c>
      <c r="F10" s="24"/>
      <c r="K10" s="24"/>
      <c r="P10" s="24"/>
    </row>
    <row r="11" spans="1:24" outlineLevel="1">
      <c r="A11" t="str">
        <f>CONCATENATE("Min [",EUnits,"]")</f>
        <v>Min [Nm]</v>
      </c>
      <c r="B11">
        <v>0</v>
      </c>
      <c r="D11" t="s">
        <v>70</v>
      </c>
      <c r="E11">
        <f>SetPnt_P_0</f>
        <v>0</v>
      </c>
      <c r="F11" s="24"/>
      <c r="K11" s="24"/>
      <c r="P11" s="24"/>
    </row>
    <row r="12" spans="1:24" outlineLevel="1">
      <c r="A12" t="str">
        <f>CONCATENATE("Max [",EUnits,"]")</f>
        <v>Max [Nm]</v>
      </c>
      <c r="B12">
        <f>C_Tar_max</f>
        <v>2000</v>
      </c>
      <c r="D12" t="s">
        <v>72</v>
      </c>
      <c r="E12" s="17">
        <f>SetPnt_P_1</f>
        <v>400</v>
      </c>
      <c r="F12" s="24"/>
      <c r="K12" s="24"/>
      <c r="P12" s="24"/>
    </row>
    <row r="13" spans="1:24" outlineLevel="1">
      <c r="A13" t="s">
        <v>71</v>
      </c>
      <c r="B13">
        <v>5</v>
      </c>
      <c r="D13" t="s">
        <v>73</v>
      </c>
      <c r="E13" s="17">
        <f>SetPnt_P_2</f>
        <v>800</v>
      </c>
      <c r="F13" s="24"/>
      <c r="K13" s="24"/>
      <c r="P13" s="24"/>
    </row>
    <row r="14" spans="1:24" outlineLevel="1">
      <c r="A14" t="str">
        <f>CONCATENATE("Step [",EUnits,"]")</f>
        <v>Step [Nm]</v>
      </c>
      <c r="B14" s="17">
        <f>(B12-B11)/B13</f>
        <v>400</v>
      </c>
      <c r="D14" t="s">
        <v>74</v>
      </c>
      <c r="E14" s="17">
        <f>SetPnt_P_3</f>
        <v>1200</v>
      </c>
      <c r="F14" s="24"/>
      <c r="K14" s="24"/>
      <c r="P14" s="24"/>
    </row>
    <row r="15" spans="1:24" outlineLevel="1">
      <c r="D15" t="s">
        <v>76</v>
      </c>
      <c r="E15" s="17">
        <f>SetPnt_P_4</f>
        <v>1600</v>
      </c>
      <c r="F15" s="24"/>
      <c r="K15" s="24"/>
      <c r="P15" s="24"/>
    </row>
    <row r="16" spans="1:24" outlineLevel="1">
      <c r="D16" t="s">
        <v>78</v>
      </c>
      <c r="E16" s="17">
        <f>SetPnt_P_5</f>
        <v>2000</v>
      </c>
      <c r="F16" s="24"/>
      <c r="K16" s="24"/>
      <c r="P16" s="24"/>
    </row>
    <row r="17" spans="1:24">
      <c r="F17" s="24"/>
      <c r="K17" s="24"/>
      <c r="P17" s="24"/>
    </row>
    <row r="18" spans="1:24" ht="25.8" customHeight="1">
      <c r="A18" s="61" t="s">
        <v>79</v>
      </c>
      <c r="B18" s="62"/>
      <c r="C18" s="62"/>
      <c r="D18" s="62"/>
      <c r="E18" s="62"/>
      <c r="F18" s="62"/>
      <c r="G18" s="62"/>
      <c r="H18" s="62"/>
      <c r="I18" s="62"/>
      <c r="J18" s="62"/>
      <c r="K18" s="62"/>
      <c r="L18" s="62"/>
      <c r="M18" s="62"/>
      <c r="N18" s="62"/>
      <c r="O18" s="62"/>
      <c r="P18" s="62"/>
      <c r="Q18" s="62"/>
      <c r="R18" s="62"/>
      <c r="S18" s="62"/>
      <c r="T18" s="62"/>
      <c r="U18" s="62"/>
      <c r="V18" s="62"/>
      <c r="W18" s="62"/>
      <c r="X18" s="62"/>
    </row>
    <row r="19" spans="1:24" outlineLevel="1">
      <c r="A19" t="s">
        <v>80</v>
      </c>
      <c r="F19" s="24"/>
      <c r="K19" s="24"/>
      <c r="M19" s="25" t="s">
        <v>81</v>
      </c>
      <c r="P19" s="24"/>
    </row>
    <row r="20" spans="1:24" outlineLevel="1">
      <c r="F20" s="24"/>
      <c r="K20" s="24"/>
      <c r="P20" s="24"/>
    </row>
    <row r="21" spans="1:24" ht="18.75" customHeight="1" outlineLevel="1">
      <c r="B21" s="494" t="s">
        <v>29</v>
      </c>
      <c r="C21" s="489" t="s">
        <v>30</v>
      </c>
      <c r="D21" s="490"/>
      <c r="E21" s="496" t="s">
        <v>31</v>
      </c>
      <c r="F21" s="497"/>
      <c r="G21" s="474" t="s">
        <v>32</v>
      </c>
      <c r="H21" s="475"/>
      <c r="K21" s="24"/>
      <c r="P21" s="24"/>
    </row>
    <row r="22" spans="1:24" ht="18.75" customHeight="1" outlineLevel="1">
      <c r="B22" s="495"/>
      <c r="C22" s="69">
        <f>SetPnt_P_0</f>
        <v>0</v>
      </c>
      <c r="D22" s="70">
        <f>C_Tar_max</f>
        <v>2000</v>
      </c>
      <c r="E22" s="69">
        <f>SetPnt_P_0</f>
        <v>0</v>
      </c>
      <c r="F22" s="71">
        <f>C_Tar_max</f>
        <v>2000</v>
      </c>
      <c r="G22" s="72">
        <f>SetPnt_P_0</f>
        <v>0</v>
      </c>
      <c r="H22" s="73">
        <f>C_Tar_max</f>
        <v>2000</v>
      </c>
    </row>
    <row r="23" spans="1:24" outlineLevel="1">
      <c r="B23" s="74" t="str">
        <f>CONCATENATE("Coppia REF [",EUnits,"]")</f>
        <v>Coppia REF [Nm]</v>
      </c>
      <c r="C23" s="75" t="e">
        <f>'Istruzioni Uso'!C32</f>
        <v>#NUM!</v>
      </c>
      <c r="D23" s="75">
        <f>'Istruzioni Uso'!D32</f>
        <v>0</v>
      </c>
      <c r="E23" s="75">
        <f>'Istruzioni Uso'!E32</f>
        <v>0</v>
      </c>
      <c r="F23" s="76">
        <f>'Istruzioni Uso'!F32</f>
        <v>0</v>
      </c>
      <c r="G23" s="77">
        <f>'Istruzioni Uso'!G32</f>
        <v>0</v>
      </c>
      <c r="H23" s="78">
        <f>'Istruzioni Uso'!H32</f>
        <v>0</v>
      </c>
    </row>
    <row r="24" spans="1:24" outlineLevel="1">
      <c r="B24" s="66" t="str">
        <f>CONCATENATE("Coppia UUT [",UUT_EUnits,"]")</f>
        <v>Coppia UUT [Nm]</v>
      </c>
      <c r="C24" s="79">
        <f>'Istruzioni Uso'!C33</f>
        <v>0</v>
      </c>
      <c r="D24" s="79">
        <f>'Istruzioni Uso'!D33</f>
        <v>-1E-3</v>
      </c>
      <c r="E24" s="79">
        <f>'Istruzioni Uso'!E33</f>
        <v>-1E-3</v>
      </c>
      <c r="F24" s="80">
        <f>'Istruzioni Uso'!F33</f>
        <v>-1E-3</v>
      </c>
      <c r="G24" s="81">
        <f>'Istruzioni Uso'!G33</f>
        <v>-1E-3</v>
      </c>
      <c r="H24" s="82">
        <f>'Istruzioni Uso'!H33</f>
        <v>-1E-3</v>
      </c>
    </row>
    <row r="25" spans="1:24" outlineLevel="1"/>
    <row r="26" spans="1:24" ht="39.75" customHeight="1" outlineLevel="1">
      <c r="B26" s="83" t="s">
        <v>33</v>
      </c>
      <c r="C26" s="84" t="s">
        <v>34</v>
      </c>
      <c r="D26" s="84" t="s">
        <v>35</v>
      </c>
      <c r="E26" s="85" t="s">
        <v>36</v>
      </c>
      <c r="F26" s="84" t="s">
        <v>37</v>
      </c>
      <c r="G26" s="85" t="s">
        <v>38</v>
      </c>
      <c r="H26" s="84" t="s">
        <v>39</v>
      </c>
      <c r="I26" s="86" t="s">
        <v>34</v>
      </c>
    </row>
    <row r="27" spans="1:24" outlineLevel="1">
      <c r="B27" s="74" t="str">
        <f>CONCATENATE("Coppia REF [",EUnits,"]")</f>
        <v>Coppia REF [Nm]</v>
      </c>
      <c r="C27" s="76">
        <f>'Istruzioni Uso'!C36</f>
        <v>0</v>
      </c>
      <c r="D27" s="77">
        <f>'Istruzioni Uso'!D36</f>
        <v>0</v>
      </c>
      <c r="E27" s="76">
        <f>'Istruzioni Uso'!E36</f>
        <v>0</v>
      </c>
      <c r="F27" s="77">
        <f>'Istruzioni Uso'!F36</f>
        <v>0</v>
      </c>
      <c r="G27" s="76">
        <f>'Istruzioni Uso'!G36</f>
        <v>0</v>
      </c>
      <c r="H27" s="77">
        <f>'Istruzioni Uso'!H36</f>
        <v>0</v>
      </c>
      <c r="I27" s="78">
        <f>'Istruzioni Uso'!I36</f>
        <v>0</v>
      </c>
    </row>
    <row r="28" spans="1:24" outlineLevel="1">
      <c r="B28" s="66" t="str">
        <f>CONCATENATE("Coppia UUT [",UUT_EUnits,"]")</f>
        <v>Coppia UUT [Nm]</v>
      </c>
      <c r="C28" s="80">
        <f>'Istruzioni Uso'!C37</f>
        <v>-1E-3</v>
      </c>
      <c r="D28" s="81">
        <f>'Istruzioni Uso'!D37</f>
        <v>-1E-3</v>
      </c>
      <c r="E28" s="80">
        <f>'Istruzioni Uso'!E37</f>
        <v>-1E-3</v>
      </c>
      <c r="F28" s="81">
        <f>'Istruzioni Uso'!F37</f>
        <v>-1E-3</v>
      </c>
      <c r="G28" s="80">
        <f>'Istruzioni Uso'!G37</f>
        <v>-1E-3</v>
      </c>
      <c r="H28" s="81">
        <f>'Istruzioni Uso'!H37</f>
        <v>-1E-3</v>
      </c>
      <c r="I28" s="82">
        <f>'Istruzioni Uso'!I37</f>
        <v>-1E-3</v>
      </c>
    </row>
    <row r="29" spans="1:24" outlineLevel="1"/>
    <row r="30" spans="1:24" ht="39.75" customHeight="1" outlineLevel="1">
      <c r="B30" s="83" t="s">
        <v>40</v>
      </c>
      <c r="C30" s="84" t="s">
        <v>34</v>
      </c>
      <c r="D30" s="84" t="s">
        <v>35</v>
      </c>
      <c r="E30" s="85" t="s">
        <v>36</v>
      </c>
      <c r="F30" s="84" t="s">
        <v>37</v>
      </c>
      <c r="G30" s="85" t="s">
        <v>38</v>
      </c>
      <c r="H30" s="84" t="s">
        <v>39</v>
      </c>
      <c r="I30" s="86" t="s">
        <v>34</v>
      </c>
    </row>
    <row r="31" spans="1:24" outlineLevel="1">
      <c r="B31" s="74" t="str">
        <f>CONCATENATE("Coppia REF [",EUnits,"]")</f>
        <v>Coppia REF [Nm]</v>
      </c>
      <c r="C31" s="76">
        <f>'Istruzioni Uso'!C40</f>
        <v>0</v>
      </c>
      <c r="D31" s="77">
        <f>'Istruzioni Uso'!D40</f>
        <v>0</v>
      </c>
      <c r="E31" s="76">
        <f>'Istruzioni Uso'!E40</f>
        <v>0</v>
      </c>
      <c r="F31" s="77">
        <f>'Istruzioni Uso'!F40</f>
        <v>0</v>
      </c>
      <c r="G31" s="76">
        <f>'Istruzioni Uso'!G40</f>
        <v>0</v>
      </c>
      <c r="H31" s="77">
        <f>'Istruzioni Uso'!H40</f>
        <v>0</v>
      </c>
      <c r="I31" s="78">
        <f>'Istruzioni Uso'!I40</f>
        <v>0</v>
      </c>
    </row>
    <row r="32" spans="1:24" outlineLevel="1">
      <c r="B32" s="66" t="str">
        <f>CONCATENATE("Coppia UUT [",UUT_EUnits,"]")</f>
        <v>Coppia UUT [Nm]</v>
      </c>
      <c r="C32" s="80">
        <f>'Istruzioni Uso'!C41</f>
        <v>-1E-3</v>
      </c>
      <c r="D32" s="81">
        <f>'Istruzioni Uso'!D41</f>
        <v>-1E-3</v>
      </c>
      <c r="E32" s="80">
        <f>'Istruzioni Uso'!E41</f>
        <v>-1E-3</v>
      </c>
      <c r="F32" s="81">
        <f>'Istruzioni Uso'!F41</f>
        <v>-1E-3</v>
      </c>
      <c r="G32" s="80">
        <f>'Istruzioni Uso'!G41</f>
        <v>-1E-3</v>
      </c>
      <c r="H32" s="81">
        <f>'Istruzioni Uso'!H41</f>
        <v>-1E-3</v>
      </c>
      <c r="I32" s="82">
        <f>'Istruzioni Uso'!I41</f>
        <v>-1E-3</v>
      </c>
    </row>
    <row r="33" spans="1:24">
      <c r="F33" s="24"/>
      <c r="K33" s="24"/>
      <c r="P33" s="24"/>
    </row>
    <row r="34" spans="1:24" ht="25.8" customHeight="1">
      <c r="A34" s="61" t="s">
        <v>116</v>
      </c>
      <c r="B34" s="62"/>
      <c r="C34" s="62"/>
      <c r="D34" s="62"/>
      <c r="E34" s="62"/>
      <c r="F34" s="62"/>
      <c r="G34" s="62"/>
      <c r="H34" s="62"/>
      <c r="I34" s="62"/>
      <c r="J34" s="62"/>
      <c r="K34" s="62"/>
      <c r="L34" s="62"/>
      <c r="M34" s="62"/>
      <c r="N34" s="62"/>
      <c r="O34" s="62"/>
      <c r="P34" s="62"/>
      <c r="Q34" s="62"/>
      <c r="R34" s="62"/>
      <c r="S34" s="62"/>
      <c r="T34" s="62"/>
      <c r="U34" s="62"/>
      <c r="V34" s="62"/>
      <c r="W34" s="62"/>
      <c r="X34" s="62"/>
    </row>
    <row r="35" spans="1:24" outlineLevel="1">
      <c r="F35" s="24"/>
      <c r="K35" s="24"/>
      <c r="P35" s="24"/>
    </row>
    <row r="36" spans="1:24" outlineLevel="1">
      <c r="F36" s="24"/>
      <c r="K36" s="24"/>
      <c r="P36" s="24"/>
    </row>
    <row r="37" spans="1:24" ht="18" customHeight="1" outlineLevel="1">
      <c r="A37" s="87" t="s">
        <v>117</v>
      </c>
      <c r="K37" s="24"/>
      <c r="P37" s="24"/>
    </row>
    <row r="38" spans="1:24" ht="26.4" customHeight="1" outlineLevel="1">
      <c r="B38" s="493" t="s">
        <v>118</v>
      </c>
      <c r="C38" s="477"/>
      <c r="D38" s="477"/>
      <c r="E38" s="477"/>
      <c r="G38" s="493" t="s">
        <v>119</v>
      </c>
      <c r="H38" s="477"/>
      <c r="I38" s="477"/>
      <c r="J38" s="477"/>
      <c r="L38" s="493" t="s">
        <v>120</v>
      </c>
      <c r="M38" s="477"/>
      <c r="N38" s="477"/>
      <c r="O38" s="477"/>
      <c r="Q38" s="476" t="s">
        <v>121</v>
      </c>
      <c r="R38" s="477"/>
      <c r="S38" s="477"/>
    </row>
    <row r="39" spans="1:24" ht="28.8" customHeight="1" outlineLevel="1">
      <c r="B39" s="88" t="s">
        <v>122</v>
      </c>
      <c r="C39" s="88" t="str">
        <f>CONCATENATE("UUT
[",UUT_EUnits,"]")</f>
        <v>UUT
[Nm]</v>
      </c>
      <c r="D39" s="88" t="str">
        <f>CONCATENATE("Coppia REF
[",EUnits,"]")</f>
        <v>Coppia REF
[Nm]</v>
      </c>
      <c r="E39" s="89" t="s">
        <v>123</v>
      </c>
      <c r="G39" s="88" t="s">
        <v>122</v>
      </c>
      <c r="H39" s="89" t="str">
        <f>CONCATENATE("UUT
[",UUT_EUnits,"]")</f>
        <v>UUT
[Nm]</v>
      </c>
      <c r="I39" s="89" t="str">
        <f>CONCATENATE("Coppia REF
[",EUnits,"]")</f>
        <v>Coppia REF
[Nm]</v>
      </c>
      <c r="J39" s="89" t="s">
        <v>123</v>
      </c>
      <c r="L39" s="88" t="s">
        <v>122</v>
      </c>
      <c r="M39" s="89" t="str">
        <f>CONCATENATE("UUT
[",UUT_EUnits,"]")</f>
        <v>UUT
[Nm]</v>
      </c>
      <c r="N39" s="89" t="str">
        <f>CONCATENATE("Coppia REF
[",EUnits,"]")</f>
        <v>Coppia REF
[Nm]</v>
      </c>
      <c r="O39" s="89" t="s">
        <v>123</v>
      </c>
      <c r="Q39" s="88" t="s">
        <v>122</v>
      </c>
      <c r="R39" s="89" t="str">
        <f>CONCATENATE("Coppia REF
[",EUnits,"]")</f>
        <v>Coppia REF
[Nm]</v>
      </c>
      <c r="S39" s="89" t="s">
        <v>123</v>
      </c>
    </row>
    <row r="40" spans="1:24" outlineLevel="1">
      <c r="B40">
        <f>SetPnt_P_0</f>
        <v>0</v>
      </c>
      <c r="C40">
        <f>C24</f>
        <v>0</v>
      </c>
      <c r="D40" t="e">
        <f>C23</f>
        <v>#NUM!</v>
      </c>
      <c r="E40" s="90">
        <f t="shared" ref="E40:E45" si="0">C40*$C$5+$C$6</f>
        <v>2.5</v>
      </c>
      <c r="G40">
        <f>SetPnt_P_0</f>
        <v>0</v>
      </c>
      <c r="H40">
        <f>C28</f>
        <v>-1E-3</v>
      </c>
      <c r="I40">
        <f>C27</f>
        <v>0</v>
      </c>
      <c r="J40" s="90">
        <f t="shared" ref="J40:J46" si="1">H40*$C$5+$C$6</f>
        <v>2.4990000000000001</v>
      </c>
      <c r="L40">
        <f>SetPnt_P_0</f>
        <v>0</v>
      </c>
      <c r="M40">
        <f>C32</f>
        <v>-1E-3</v>
      </c>
      <c r="N40">
        <f>C31</f>
        <v>0</v>
      </c>
      <c r="O40" s="90">
        <f t="shared" ref="O40:O46" si="2">M40*$C$5+$C$6</f>
        <v>2.4990000000000001</v>
      </c>
      <c r="Q40">
        <f>SetPnt_P_0</f>
        <v>0</v>
      </c>
      <c r="R40">
        <f t="shared" ref="R40:S45" si="3">I40</f>
        <v>0</v>
      </c>
      <c r="S40" s="91">
        <f t="shared" si="3"/>
        <v>2.4990000000000001</v>
      </c>
    </row>
    <row r="41" spans="1:24" outlineLevel="1">
      <c r="B41">
        <f>C_Tar_max</f>
        <v>2000</v>
      </c>
      <c r="C41">
        <f>D24</f>
        <v>-1E-3</v>
      </c>
      <c r="D41">
        <f>D23</f>
        <v>0</v>
      </c>
      <c r="E41" s="90">
        <f t="shared" si="0"/>
        <v>2.4990000000000001</v>
      </c>
      <c r="G41" s="17">
        <f>SetPnt_P_1</f>
        <v>400</v>
      </c>
      <c r="H41">
        <f>D28</f>
        <v>-1E-3</v>
      </c>
      <c r="I41">
        <f>D27</f>
        <v>0</v>
      </c>
      <c r="J41" s="90">
        <f t="shared" si="1"/>
        <v>2.4990000000000001</v>
      </c>
      <c r="L41" s="17">
        <f>SetPnt_P_1</f>
        <v>400</v>
      </c>
      <c r="M41">
        <f>D32</f>
        <v>-1E-3</v>
      </c>
      <c r="N41">
        <f>D31</f>
        <v>0</v>
      </c>
      <c r="O41" s="90">
        <f t="shared" si="2"/>
        <v>2.4990000000000001</v>
      </c>
      <c r="Q41" s="17">
        <f>SetPnt_P_1</f>
        <v>400</v>
      </c>
      <c r="R41">
        <f t="shared" si="3"/>
        <v>0</v>
      </c>
      <c r="S41" s="91">
        <f t="shared" si="3"/>
        <v>2.4990000000000001</v>
      </c>
    </row>
    <row r="42" spans="1:24" outlineLevel="1">
      <c r="B42">
        <f>B40</f>
        <v>0</v>
      </c>
      <c r="C42">
        <f>E24</f>
        <v>-1E-3</v>
      </c>
      <c r="D42">
        <f>E23</f>
        <v>0</v>
      </c>
      <c r="E42" s="90">
        <f t="shared" si="0"/>
        <v>2.4990000000000001</v>
      </c>
      <c r="G42" s="17">
        <f>SetPnt_P_2</f>
        <v>800</v>
      </c>
      <c r="H42">
        <f>E28</f>
        <v>-1E-3</v>
      </c>
      <c r="I42">
        <f>E27</f>
        <v>0</v>
      </c>
      <c r="J42" s="90">
        <f t="shared" si="1"/>
        <v>2.4990000000000001</v>
      </c>
      <c r="L42" s="17">
        <f>SetPnt_P_2</f>
        <v>800</v>
      </c>
      <c r="M42">
        <f>E32</f>
        <v>-1E-3</v>
      </c>
      <c r="N42">
        <f>E31</f>
        <v>0</v>
      </c>
      <c r="O42" s="90">
        <f t="shared" si="2"/>
        <v>2.4990000000000001</v>
      </c>
      <c r="Q42" s="17">
        <f>SetPnt_P_2</f>
        <v>800</v>
      </c>
      <c r="R42">
        <f t="shared" si="3"/>
        <v>0</v>
      </c>
      <c r="S42" s="91">
        <f t="shared" si="3"/>
        <v>2.4990000000000001</v>
      </c>
    </row>
    <row r="43" spans="1:24" outlineLevel="1">
      <c r="B43">
        <f>B41</f>
        <v>2000</v>
      </c>
      <c r="C43">
        <f>F24</f>
        <v>-1E-3</v>
      </c>
      <c r="D43">
        <f>F23</f>
        <v>0</v>
      </c>
      <c r="E43" s="90">
        <f t="shared" si="0"/>
        <v>2.4990000000000001</v>
      </c>
      <c r="G43" s="17">
        <f>SetPnt_P_3</f>
        <v>1200</v>
      </c>
      <c r="H43">
        <f>F28</f>
        <v>-1E-3</v>
      </c>
      <c r="I43">
        <f>F27</f>
        <v>0</v>
      </c>
      <c r="J43" s="90">
        <f t="shared" si="1"/>
        <v>2.4990000000000001</v>
      </c>
      <c r="L43" s="17">
        <f>SetPnt_P_3</f>
        <v>1200</v>
      </c>
      <c r="M43">
        <f>F32</f>
        <v>-1E-3</v>
      </c>
      <c r="N43">
        <f>F31</f>
        <v>0</v>
      </c>
      <c r="O43" s="90">
        <f t="shared" si="2"/>
        <v>2.4990000000000001</v>
      </c>
      <c r="Q43" s="17">
        <f>SetPnt_P_3</f>
        <v>1200</v>
      </c>
      <c r="R43">
        <f t="shared" si="3"/>
        <v>0</v>
      </c>
      <c r="S43" s="91">
        <f t="shared" si="3"/>
        <v>2.4990000000000001</v>
      </c>
    </row>
    <row r="44" spans="1:24" outlineLevel="1">
      <c r="B44">
        <f>B42</f>
        <v>0</v>
      </c>
      <c r="C44">
        <f>G24</f>
        <v>-1E-3</v>
      </c>
      <c r="D44">
        <f>G23</f>
        <v>0</v>
      </c>
      <c r="E44" s="90">
        <f t="shared" si="0"/>
        <v>2.4990000000000001</v>
      </c>
      <c r="G44" s="17">
        <f>SetPnt_P_4</f>
        <v>1600</v>
      </c>
      <c r="H44">
        <f>G28</f>
        <v>-1E-3</v>
      </c>
      <c r="I44">
        <f>G27</f>
        <v>0</v>
      </c>
      <c r="J44" s="90">
        <f t="shared" si="1"/>
        <v>2.4990000000000001</v>
      </c>
      <c r="L44" s="17">
        <f>SetPnt_P_4</f>
        <v>1600</v>
      </c>
      <c r="M44">
        <f>G32</f>
        <v>-1E-3</v>
      </c>
      <c r="N44">
        <f>G31</f>
        <v>0</v>
      </c>
      <c r="O44" s="90">
        <f t="shared" si="2"/>
        <v>2.4990000000000001</v>
      </c>
      <c r="Q44" s="17">
        <f>SetPnt_P_4</f>
        <v>1600</v>
      </c>
      <c r="R44">
        <f t="shared" si="3"/>
        <v>0</v>
      </c>
      <c r="S44" s="91">
        <f t="shared" si="3"/>
        <v>2.4990000000000001</v>
      </c>
    </row>
    <row r="45" spans="1:24" outlineLevel="1">
      <c r="B45">
        <f>B43</f>
        <v>2000</v>
      </c>
      <c r="C45">
        <f>H24</f>
        <v>-1E-3</v>
      </c>
      <c r="D45">
        <f>H23</f>
        <v>0</v>
      </c>
      <c r="E45" s="90">
        <f t="shared" si="0"/>
        <v>2.4990000000000001</v>
      </c>
      <c r="G45" s="17">
        <f>SetPnt_P_5</f>
        <v>2000</v>
      </c>
      <c r="H45">
        <f>H28</f>
        <v>-1E-3</v>
      </c>
      <c r="I45">
        <f>H27</f>
        <v>0</v>
      </c>
      <c r="J45" s="90">
        <f t="shared" si="1"/>
        <v>2.4990000000000001</v>
      </c>
      <c r="L45" s="17">
        <f>SetPnt_P_5</f>
        <v>2000</v>
      </c>
      <c r="M45">
        <f>H32</f>
        <v>-1E-3</v>
      </c>
      <c r="N45">
        <f>H31</f>
        <v>0</v>
      </c>
      <c r="O45" s="90">
        <f t="shared" si="2"/>
        <v>2.4990000000000001</v>
      </c>
      <c r="Q45" s="17">
        <f>SetPnt_P_5</f>
        <v>2000</v>
      </c>
      <c r="R45">
        <f t="shared" si="3"/>
        <v>0</v>
      </c>
      <c r="S45" s="91">
        <f t="shared" si="3"/>
        <v>2.4990000000000001</v>
      </c>
    </row>
    <row r="46" spans="1:24" outlineLevel="1">
      <c r="G46">
        <f>SetPnt_P_0</f>
        <v>0</v>
      </c>
      <c r="H46">
        <f>I28</f>
        <v>-1E-3</v>
      </c>
      <c r="I46">
        <f>I27</f>
        <v>0</v>
      </c>
      <c r="J46" s="90">
        <f t="shared" si="1"/>
        <v>2.4990000000000001</v>
      </c>
      <c r="L46">
        <f>SetPnt_P_0</f>
        <v>0</v>
      </c>
      <c r="M46">
        <f>I32</f>
        <v>-1E-3</v>
      </c>
      <c r="N46">
        <f>I31</f>
        <v>0</v>
      </c>
      <c r="O46" s="90">
        <f t="shared" si="2"/>
        <v>2.4990000000000001</v>
      </c>
      <c r="Q46">
        <f>+SetPnt_P_0</f>
        <v>0</v>
      </c>
      <c r="R46">
        <f t="shared" ref="R46:S51" si="4">N40</f>
        <v>0</v>
      </c>
      <c r="S46" s="91">
        <f t="shared" si="4"/>
        <v>2.4990000000000001</v>
      </c>
    </row>
    <row r="47" spans="1:24" outlineLevel="1">
      <c r="Q47" s="17">
        <f>+SetPnt_P_1</f>
        <v>400</v>
      </c>
      <c r="R47">
        <f t="shared" si="4"/>
        <v>0</v>
      </c>
      <c r="S47" s="91">
        <f t="shared" si="4"/>
        <v>2.4990000000000001</v>
      </c>
    </row>
    <row r="48" spans="1:24" ht="18" customHeight="1" outlineLevel="1">
      <c r="G48" s="63"/>
      <c r="H48" s="92" t="s">
        <v>124</v>
      </c>
      <c r="I48" s="64"/>
      <c r="J48" s="64"/>
      <c r="K48" s="64"/>
      <c r="L48" s="64"/>
      <c r="M48" s="64"/>
      <c r="N48" s="64"/>
      <c r="O48" s="65"/>
      <c r="Q48" s="17">
        <f>+SetPnt_P_2</f>
        <v>800</v>
      </c>
      <c r="R48">
        <f t="shared" si="4"/>
        <v>0</v>
      </c>
      <c r="S48" s="91">
        <f t="shared" si="4"/>
        <v>2.4990000000000001</v>
      </c>
    </row>
    <row r="49" spans="1:19" outlineLevel="1">
      <c r="G49" s="74"/>
      <c r="H49" t="s">
        <v>125</v>
      </c>
      <c r="O49" s="93"/>
      <c r="Q49" s="17">
        <f>+SetPnt_P_3</f>
        <v>1200</v>
      </c>
      <c r="R49">
        <f t="shared" si="4"/>
        <v>0</v>
      </c>
      <c r="S49" s="91">
        <f t="shared" si="4"/>
        <v>2.4990000000000001</v>
      </c>
    </row>
    <row r="50" spans="1:19" ht="17.399999999999999" customHeight="1" outlineLevel="1">
      <c r="G50" s="483" t="s">
        <v>119</v>
      </c>
      <c r="H50" s="477"/>
      <c r="I50" s="477"/>
      <c r="J50" s="477"/>
      <c r="K50" s="59"/>
      <c r="L50" s="478" t="s">
        <v>120</v>
      </c>
      <c r="M50" s="477"/>
      <c r="N50" s="477"/>
      <c r="O50" s="479"/>
      <c r="Q50" s="17">
        <f>+SetPnt_P_4</f>
        <v>1600</v>
      </c>
      <c r="R50">
        <f t="shared" si="4"/>
        <v>0</v>
      </c>
      <c r="S50" s="91">
        <f t="shared" si="4"/>
        <v>2.4990000000000001</v>
      </c>
    </row>
    <row r="51" spans="1:19" ht="15.6" customHeight="1" outlineLevel="1">
      <c r="G51" s="94" t="s">
        <v>126</v>
      </c>
      <c r="H51" s="95" t="s">
        <v>24</v>
      </c>
      <c r="I51" s="96" t="s">
        <v>25</v>
      </c>
      <c r="J51" s="97" t="s">
        <v>127</v>
      </c>
      <c r="L51" s="94" t="s">
        <v>128</v>
      </c>
      <c r="M51" s="95" t="s">
        <v>24</v>
      </c>
      <c r="N51" s="96" t="s">
        <v>25</v>
      </c>
      <c r="O51" s="97" t="s">
        <v>127</v>
      </c>
      <c r="Q51" s="17">
        <f>+SetPnt_P_5</f>
        <v>2000</v>
      </c>
      <c r="R51">
        <f t="shared" si="4"/>
        <v>0</v>
      </c>
      <c r="S51" s="91">
        <f t="shared" si="4"/>
        <v>2.4990000000000001</v>
      </c>
    </row>
    <row r="52" spans="1:19" outlineLevel="1">
      <c r="G52" s="98" t="s">
        <v>129</v>
      </c>
      <c r="H52" s="99" t="e">
        <f>SLOPE(I40:I45,J40:J45)</f>
        <v>#DIV/0!</v>
      </c>
      <c r="I52" s="100" t="e">
        <f>INTERCEPT(I40:I45,J40:J45)</f>
        <v>#DIV/0!</v>
      </c>
      <c r="J52" s="101" t="e">
        <f>(H$55-H52)/H$55</f>
        <v>#DIV/0!</v>
      </c>
      <c r="L52" s="98" t="s">
        <v>129</v>
      </c>
      <c r="M52" s="99" t="e">
        <f>SLOPE(N40:N45,O40:O45)</f>
        <v>#DIV/0!</v>
      </c>
      <c r="N52" s="100" t="e">
        <f>INTERCEPT(N40:N45,O40:O45)</f>
        <v>#DIV/0!</v>
      </c>
      <c r="O52" s="101" t="e">
        <f>(M$55-M52)/M$55</f>
        <v>#DIV/0!</v>
      </c>
    </row>
    <row r="53" spans="1:19" outlineLevel="1">
      <c r="G53" s="102" t="s">
        <v>130</v>
      </c>
      <c r="H53" s="99" t="e">
        <f>SLOPE(I41:I45,J41:J45)</f>
        <v>#DIV/0!</v>
      </c>
      <c r="I53" s="100" t="e">
        <f>INTERCEPT(I41:I45,J41:J45)</f>
        <v>#DIV/0!</v>
      </c>
      <c r="J53" s="103" t="e">
        <f>(H$55-H53)/H$55</f>
        <v>#DIV/0!</v>
      </c>
      <c r="L53" s="102" t="s">
        <v>130</v>
      </c>
      <c r="M53" s="99" t="e">
        <f>SLOPE(N41:N45,O41:O45)</f>
        <v>#DIV/0!</v>
      </c>
      <c r="N53" s="100" t="e">
        <f>INTERCEPT(N41:N45,O41:O45)</f>
        <v>#DIV/0!</v>
      </c>
      <c r="O53" s="103" t="e">
        <f>(M$55-M53)/M$55</f>
        <v>#DIV/0!</v>
      </c>
    </row>
    <row r="54" spans="1:19" outlineLevel="1">
      <c r="G54" s="98" t="s">
        <v>131</v>
      </c>
      <c r="H54" s="99" t="e">
        <f>SLOPE(I42:I45,J42:J45)</f>
        <v>#DIV/0!</v>
      </c>
      <c r="I54" s="100" t="e">
        <f>INTERCEPT(I42:I45,J42:J45)</f>
        <v>#DIV/0!</v>
      </c>
      <c r="J54" s="101" t="e">
        <f>(H$55-H54)/H$55</f>
        <v>#DIV/0!</v>
      </c>
      <c r="L54" s="98" t="s">
        <v>131</v>
      </c>
      <c r="M54" s="99" t="e">
        <f>SLOPE(N42:N45,O42:O45)</f>
        <v>#DIV/0!</v>
      </c>
      <c r="N54" s="100" t="e">
        <f>INTERCEPT(N42:N45,O42:O45)</f>
        <v>#DIV/0!</v>
      </c>
      <c r="O54" s="101" t="e">
        <f>(M$55-M54)/M$55</f>
        <v>#DIV/0!</v>
      </c>
    </row>
    <row r="55" spans="1:19" ht="18" customHeight="1" outlineLevel="1">
      <c r="A55" s="87" t="s">
        <v>132</v>
      </c>
      <c r="G55" s="104" t="s">
        <v>133</v>
      </c>
      <c r="H55" s="105" t="e">
        <f>SLOPE(I43:I45,J43:J45)</f>
        <v>#DIV/0!</v>
      </c>
      <c r="I55" s="106" t="e">
        <f>INTERCEPT(I43:I45,J43:J45)</f>
        <v>#DIV/0!</v>
      </c>
      <c r="J55" s="107" t="s">
        <v>87</v>
      </c>
      <c r="K55" s="67"/>
      <c r="L55" s="104" t="s">
        <v>133</v>
      </c>
      <c r="M55" s="105" t="e">
        <f>SLOPE(N43:N45,O43:O45)</f>
        <v>#DIV/0!</v>
      </c>
      <c r="N55" s="106" t="e">
        <f>INTERCEPT(N43:N45,O43:O45)</f>
        <v>#DIV/0!</v>
      </c>
      <c r="O55" s="107" t="s">
        <v>87</v>
      </c>
    </row>
    <row r="56" spans="1:19" ht="18" customHeight="1" outlineLevel="1">
      <c r="A56" s="87"/>
    </row>
    <row r="57" spans="1:19" outlineLevel="1">
      <c r="B57" t="s">
        <v>134</v>
      </c>
    </row>
    <row r="58" spans="1:19" ht="18" customHeight="1" outlineLevel="1">
      <c r="A58" t="s">
        <v>135</v>
      </c>
      <c r="B58" s="108" t="s">
        <v>21</v>
      </c>
      <c r="C58" s="109" t="s">
        <v>24</v>
      </c>
      <c r="D58" s="96" t="s">
        <v>25</v>
      </c>
      <c r="E58" s="110"/>
    </row>
    <row r="59" spans="1:19" outlineLevel="1">
      <c r="A59" t="s">
        <v>136</v>
      </c>
      <c r="B59" s="111" t="str">
        <f>CONCATENATE($B$4,"/V")</f>
        <v>Nm/V</v>
      </c>
      <c r="C59" s="112">
        <f>SLOPE(R40:R51,S40:S51)</f>
        <v>0</v>
      </c>
      <c r="D59" s="106">
        <f>INTERCEPT(R40:R51,S40:S51)</f>
        <v>0</v>
      </c>
      <c r="E59" s="110" t="e">
        <f>CORREL(AB5:AB55,AA5:AA55)</f>
        <v>#DIV/0!</v>
      </c>
    </row>
    <row r="60" spans="1:19" outlineLevel="1">
      <c r="B60" s="113" t="str">
        <f>CONCATENATE("V/",$B$4)</f>
        <v>V/Nm</v>
      </c>
      <c r="C60" s="114" t="e">
        <f>SLOPE(S40:S51,R40:R51)</f>
        <v>#DIV/0!</v>
      </c>
      <c r="D60" s="115" t="e">
        <f>INTERCEPT(S40:S51,R40:R51)</f>
        <v>#DIV/0!</v>
      </c>
    </row>
    <row r="61" spans="1:19" outlineLevel="1">
      <c r="B61" s="110"/>
    </row>
    <row r="62" spans="1:19" ht="18" customHeight="1" outlineLevel="1">
      <c r="A62" t="s">
        <v>137</v>
      </c>
      <c r="B62" s="108" t="s">
        <v>21</v>
      </c>
      <c r="C62" s="109" t="s">
        <v>138</v>
      </c>
      <c r="D62" s="109" t="s">
        <v>139</v>
      </c>
      <c r="E62" s="96" t="s">
        <v>140</v>
      </c>
    </row>
    <row r="63" spans="1:19" outlineLevel="1">
      <c r="A63" t="s">
        <v>141</v>
      </c>
      <c r="B63" s="111" t="str">
        <f>CONCATENATE($B$4,"/V")</f>
        <v>Nm/V</v>
      </c>
      <c r="C63" s="116">
        <f>INDEX(LINEST(R40:R51,(S40:S51)^{1,2}),1)</f>
        <v>0</v>
      </c>
      <c r="D63" s="116">
        <f>INDEX(LINEST(R40:R51,(S40:S51)^{1,2}),1,2)</f>
        <v>0</v>
      </c>
      <c r="E63" s="117">
        <f>INDEX(LINEST(R40:R51,(S40:S51)^{1,2}),1,3)</f>
        <v>0</v>
      </c>
    </row>
    <row r="64" spans="1:19" outlineLevel="1">
      <c r="B64" s="113" t="str">
        <f>CONCATENATE("V/",$B$4)</f>
        <v>V/Nm</v>
      </c>
      <c r="C64" s="118">
        <f>INDEX(LINEST(S40:S51,(R40:R51)^{1,2}),1)</f>
        <v>0</v>
      </c>
      <c r="D64" s="118">
        <f>INDEX(LINEST(S40:S51,(R40:R51)^{1,2}),1,2)</f>
        <v>0</v>
      </c>
      <c r="E64" s="119">
        <f>INDEX(LINEST(S40:S51,(R40:R51)^{1,2}),1,3)</f>
        <v>2.4989999999999997</v>
      </c>
    </row>
    <row r="66" spans="1:24" ht="25.8" customHeight="1">
      <c r="A66" s="61" t="s">
        <v>142</v>
      </c>
      <c r="B66" s="62"/>
      <c r="C66" s="62"/>
      <c r="D66" s="62"/>
      <c r="E66" s="62"/>
      <c r="F66" s="62"/>
      <c r="G66" s="62"/>
      <c r="H66" s="62"/>
      <c r="I66" s="62"/>
      <c r="J66" s="62"/>
      <c r="K66" s="62"/>
      <c r="L66" s="62"/>
      <c r="M66" s="62"/>
      <c r="N66" s="62"/>
      <c r="O66" s="62"/>
      <c r="P66" s="62"/>
      <c r="Q66" s="62"/>
      <c r="R66" s="62"/>
      <c r="S66" s="62"/>
      <c r="T66" s="62"/>
      <c r="U66" s="62"/>
      <c r="V66" s="62"/>
      <c r="W66" s="62"/>
      <c r="X66" s="62"/>
    </row>
    <row r="67" spans="1:24" ht="25.8" customHeight="1">
      <c r="A67" s="61"/>
      <c r="B67" s="62"/>
      <c r="C67" s="62"/>
      <c r="D67" s="62"/>
      <c r="E67" s="62"/>
      <c r="F67" s="62"/>
      <c r="G67" s="62"/>
      <c r="H67" s="62"/>
      <c r="I67" s="62"/>
      <c r="J67" s="62"/>
      <c r="K67" s="62"/>
      <c r="L67" s="62"/>
      <c r="M67" s="62"/>
      <c r="N67" s="62"/>
      <c r="O67" s="62"/>
      <c r="P67" s="62"/>
      <c r="Q67" s="62"/>
      <c r="R67" s="62"/>
      <c r="S67" s="62"/>
      <c r="T67" s="62"/>
      <c r="U67" s="62"/>
      <c r="V67" s="62"/>
      <c r="W67" s="62"/>
      <c r="X67" s="62"/>
    </row>
    <row r="69" spans="1:24" ht="15" customHeight="1" thickBot="1">
      <c r="F69" t="s">
        <v>143</v>
      </c>
    </row>
    <row r="70" spans="1:24" ht="18" customHeight="1">
      <c r="F70" s="108" t="s">
        <v>126</v>
      </c>
      <c r="G70" s="109" t="s">
        <v>24</v>
      </c>
      <c r="H70" s="96" t="s">
        <v>25</v>
      </c>
    </row>
    <row r="71" spans="1:24" ht="15" customHeight="1" thickBot="1">
      <c r="F71" s="111" t="s">
        <v>144</v>
      </c>
      <c r="G71" s="112" t="e">
        <f>LINEST(E73:E74,F73:F74)</f>
        <v>#VALUE!</v>
      </c>
      <c r="H71" s="106" t="e">
        <f>INTERCEPT(E73:E74,F73:F74)</f>
        <v>#NUM!</v>
      </c>
    </row>
    <row r="72" spans="1:24">
      <c r="A72" t="s">
        <v>145</v>
      </c>
      <c r="F72" s="120" t="s">
        <v>146</v>
      </c>
      <c r="G72" s="121" t="e">
        <f>LINEST(F73:F74,E73:E74)</f>
        <v>#VALUE!</v>
      </c>
      <c r="H72" s="122" t="e">
        <f>INTERCEPT(F73:F74,E73:E74)</f>
        <v>#NUM!</v>
      </c>
    </row>
    <row r="73" spans="1:24" outlineLevel="1">
      <c r="A73" s="74" t="str">
        <f>D11</f>
        <v>Set Point 0</v>
      </c>
      <c r="B73" s="132">
        <f>SetPnt_P_0</f>
        <v>0</v>
      </c>
      <c r="C73" s="91" t="e">
        <f>B73*$G$72+$H$72</f>
        <v>#VALUE!</v>
      </c>
      <c r="D73" s="91" t="e">
        <f>B73*$C$60+$D$60</f>
        <v>#DIV/0!</v>
      </c>
      <c r="E73" s="133" t="e">
        <f>D40</f>
        <v>#NUM!</v>
      </c>
      <c r="F73" s="133">
        <f>E40</f>
        <v>2.5</v>
      </c>
      <c r="G73" s="91" t="e">
        <f>E73*$G$94+$H$94</f>
        <v>#NUM!</v>
      </c>
      <c r="H73" s="91" t="e">
        <f>F73-G73</f>
        <v>#NUM!</v>
      </c>
      <c r="I73" s="134" t="e">
        <f>C73+H73</f>
        <v>#VALUE!</v>
      </c>
      <c r="J73" s="135" t="e">
        <f>H73/4</f>
        <v>#NUM!</v>
      </c>
      <c r="K73" s="136"/>
      <c r="L73" s="91" t="e">
        <f>E73*$C$60+$D$60</f>
        <v>#NUM!</v>
      </c>
      <c r="M73" s="91" t="e">
        <f>F73-L73</f>
        <v>#NUM!</v>
      </c>
      <c r="N73" s="134" t="e">
        <f>C73+M73</f>
        <v>#VALUE!</v>
      </c>
      <c r="O73" s="396" t="e">
        <f>M73/4</f>
        <v>#NUM!</v>
      </c>
    </row>
    <row r="74" spans="1:24" outlineLevel="1">
      <c r="A74" s="74" t="str">
        <f>D16</f>
        <v>Set Point 5</v>
      </c>
      <c r="B74" s="138">
        <f>SetPnt_P_5</f>
        <v>2000</v>
      </c>
      <c r="C74" s="91" t="e">
        <f>B74*$G$72+$H$72</f>
        <v>#VALUE!</v>
      </c>
      <c r="D74" s="91" t="e">
        <f>B74*$C$60+$D$60</f>
        <v>#DIV/0!</v>
      </c>
      <c r="E74" s="133">
        <f>D41</f>
        <v>0</v>
      </c>
      <c r="F74" s="133">
        <f>E41</f>
        <v>2.4990000000000001</v>
      </c>
      <c r="G74" s="91" t="e">
        <f>E74*$G$72+$H$72</f>
        <v>#VALUE!</v>
      </c>
      <c r="H74" s="91" t="e">
        <f>F74-G74</f>
        <v>#VALUE!</v>
      </c>
      <c r="I74" s="134" t="e">
        <f>C74+H74</f>
        <v>#VALUE!</v>
      </c>
      <c r="J74" s="135" t="e">
        <f>H74/4</f>
        <v>#VALUE!</v>
      </c>
      <c r="K74" s="136"/>
      <c r="L74" s="91" t="e">
        <f>E74*$C$60+$D$60</f>
        <v>#DIV/0!</v>
      </c>
      <c r="M74" s="91" t="e">
        <f>F74-L74</f>
        <v>#DIV/0!</v>
      </c>
      <c r="N74" s="134" t="e">
        <f>C74+M74</f>
        <v>#VALUE!</v>
      </c>
      <c r="O74" s="396" t="e">
        <f>M74/4</f>
        <v>#DIV/0!</v>
      </c>
    </row>
    <row r="75" spans="1:24" outlineLevel="1"/>
    <row r="76" spans="1:24" ht="15" customHeight="1" outlineLevel="1" thickBot="1">
      <c r="F76" t="s">
        <v>147</v>
      </c>
    </row>
    <row r="77" spans="1:24" ht="18" customHeight="1" outlineLevel="1">
      <c r="F77" s="108" t="s">
        <v>126</v>
      </c>
      <c r="G77" s="109" t="s">
        <v>24</v>
      </c>
      <c r="H77" s="96" t="s">
        <v>25</v>
      </c>
    </row>
    <row r="78" spans="1:24" ht="15" customHeight="1" outlineLevel="1" thickBot="1">
      <c r="F78" s="111" t="s">
        <v>144</v>
      </c>
      <c r="G78" s="112">
        <f>LINEST(E80:E81,F80:F81)</f>
        <v>0</v>
      </c>
      <c r="H78" s="106" t="e">
        <f>INTERCEPT(E80:E81,F80:F81)</f>
        <v>#DIV/0!</v>
      </c>
    </row>
    <row r="79" spans="1:24">
      <c r="A79" t="s">
        <v>148</v>
      </c>
      <c r="F79" s="120" t="s">
        <v>146</v>
      </c>
      <c r="G79" s="121">
        <f>LINEST(F80:F81,E80:E81)</f>
        <v>0</v>
      </c>
      <c r="H79" s="122" t="e">
        <f>INTERCEPT(F80:F81,E80:E81)</f>
        <v>#DIV/0!</v>
      </c>
    </row>
    <row r="80" spans="1:24" outlineLevel="1">
      <c r="A80" s="74" t="str">
        <f>D11</f>
        <v>Set Point 0</v>
      </c>
      <c r="B80" s="132">
        <f>SetPnt_P_0</f>
        <v>0</v>
      </c>
      <c r="C80" s="91" t="e">
        <f>B80*$G$79+$H$79</f>
        <v>#DIV/0!</v>
      </c>
      <c r="D80" s="91" t="e">
        <f>B80*$C$60+$D$60</f>
        <v>#DIV/0!</v>
      </c>
      <c r="E80" s="133">
        <f>D42</f>
        <v>0</v>
      </c>
      <c r="F80" s="133">
        <f>E42</f>
        <v>2.4990000000000001</v>
      </c>
      <c r="G80" s="91" t="e">
        <f>E80*$G$94+$H$94</f>
        <v>#DIV/0!</v>
      </c>
      <c r="H80" s="91" t="e">
        <f>F80-G80</f>
        <v>#DIV/0!</v>
      </c>
      <c r="I80" s="134" t="e">
        <f>C80+H80</f>
        <v>#DIV/0!</v>
      </c>
      <c r="J80" s="135" t="e">
        <f>H80/4</f>
        <v>#DIV/0!</v>
      </c>
      <c r="K80" s="136"/>
      <c r="L80" s="91" t="e">
        <f>E80*$C$60+$D$60</f>
        <v>#DIV/0!</v>
      </c>
      <c r="M80" s="91" t="e">
        <f>F80-L80</f>
        <v>#DIV/0!</v>
      </c>
      <c r="N80" s="134" t="e">
        <f>C80+M80</f>
        <v>#DIV/0!</v>
      </c>
      <c r="O80" s="396" t="e">
        <f>M80/4</f>
        <v>#DIV/0!</v>
      </c>
    </row>
    <row r="81" spans="1:15" outlineLevel="1">
      <c r="A81" s="74" t="str">
        <f>D16</f>
        <v>Set Point 5</v>
      </c>
      <c r="B81" s="138">
        <f>SetPnt_P_5</f>
        <v>2000</v>
      </c>
      <c r="C81" s="91" t="e">
        <f>B81*$G$79+$H$79</f>
        <v>#DIV/0!</v>
      </c>
      <c r="D81" s="91" t="e">
        <f>B81*$C$60+$D$60</f>
        <v>#DIV/0!</v>
      </c>
      <c r="E81" s="133">
        <f>D43</f>
        <v>0</v>
      </c>
      <c r="F81" s="133">
        <f>E43</f>
        <v>2.4990000000000001</v>
      </c>
      <c r="G81" s="91" t="e">
        <f>E81*$G$79+$H$79</f>
        <v>#DIV/0!</v>
      </c>
      <c r="H81" s="91" t="e">
        <f>F81-G81</f>
        <v>#DIV/0!</v>
      </c>
      <c r="I81" s="134" t="e">
        <f>C81+H81</f>
        <v>#DIV/0!</v>
      </c>
      <c r="J81" s="135" t="e">
        <f>H81/4</f>
        <v>#DIV/0!</v>
      </c>
      <c r="K81" s="136"/>
      <c r="L81" s="91" t="e">
        <f>E81*$C$60+$D$60</f>
        <v>#DIV/0!</v>
      </c>
      <c r="M81" s="91" t="e">
        <f>F81-L81</f>
        <v>#DIV/0!</v>
      </c>
      <c r="N81" s="134" t="e">
        <f>C81+M81</f>
        <v>#DIV/0!</v>
      </c>
      <c r="O81" s="396" t="e">
        <f>M81/4</f>
        <v>#DIV/0!</v>
      </c>
    </row>
    <row r="82" spans="1:15" outlineLevel="1"/>
    <row r="83" spans="1:15" ht="15" customHeight="1" outlineLevel="1" thickBot="1">
      <c r="F83" t="s">
        <v>149</v>
      </c>
    </row>
    <row r="84" spans="1:15" ht="18" customHeight="1" outlineLevel="1">
      <c r="F84" s="108" t="s">
        <v>126</v>
      </c>
      <c r="G84" s="109" t="s">
        <v>24</v>
      </c>
      <c r="H84" s="96" t="s">
        <v>25</v>
      </c>
    </row>
    <row r="85" spans="1:15" ht="15" customHeight="1" outlineLevel="1" thickBot="1">
      <c r="F85" s="111" t="s">
        <v>144</v>
      </c>
      <c r="G85" s="112">
        <f>LINEST(E87:E88,F87:F88)</f>
        <v>0</v>
      </c>
      <c r="H85" s="106" t="e">
        <f>INTERCEPT(E87:E88,F87:F88)</f>
        <v>#DIV/0!</v>
      </c>
    </row>
    <row r="86" spans="1:15">
      <c r="A86" t="s">
        <v>150</v>
      </c>
      <c r="F86" s="120" t="s">
        <v>146</v>
      </c>
      <c r="G86" s="121">
        <f>LINEST(F87:F88,E87:E88)</f>
        <v>0</v>
      </c>
      <c r="H86" s="122" t="e">
        <f>INTERCEPT(F87:F88,E87:E88)</f>
        <v>#DIV/0!</v>
      </c>
    </row>
    <row r="87" spans="1:15" outlineLevel="1">
      <c r="A87" s="74" t="str">
        <f>D11</f>
        <v>Set Point 0</v>
      </c>
      <c r="B87" s="132">
        <f>SetPnt_P_0</f>
        <v>0</v>
      </c>
      <c r="C87" s="91" t="e">
        <f>B87*$G$86+$H$86</f>
        <v>#DIV/0!</v>
      </c>
      <c r="D87" s="91" t="e">
        <f>B87*$C$60+$D$60</f>
        <v>#DIV/0!</v>
      </c>
      <c r="E87" s="133">
        <f>D44</f>
        <v>0</v>
      </c>
      <c r="F87" s="133">
        <f>E44</f>
        <v>2.4990000000000001</v>
      </c>
      <c r="G87" s="91" t="e">
        <f>E87*$G$94+$H$94</f>
        <v>#DIV/0!</v>
      </c>
      <c r="H87" s="91" t="e">
        <f>F87-G87</f>
        <v>#DIV/0!</v>
      </c>
      <c r="I87" s="134" t="e">
        <f>C87+H87</f>
        <v>#DIV/0!</v>
      </c>
      <c r="J87" s="135" t="e">
        <f>H87/4</f>
        <v>#DIV/0!</v>
      </c>
      <c r="K87" s="136"/>
      <c r="L87" s="91" t="e">
        <f>E87*$C$60+$D$60</f>
        <v>#DIV/0!</v>
      </c>
      <c r="M87" s="91" t="e">
        <f>F87-L87</f>
        <v>#DIV/0!</v>
      </c>
      <c r="N87" s="134" t="e">
        <f>C87+M87</f>
        <v>#DIV/0!</v>
      </c>
      <c r="O87" s="396" t="e">
        <f>M87/4</f>
        <v>#DIV/0!</v>
      </c>
    </row>
    <row r="88" spans="1:15" outlineLevel="1">
      <c r="A88" s="74" t="str">
        <f>D16</f>
        <v>Set Point 5</v>
      </c>
      <c r="B88" s="138">
        <f>SetPnt_P_5</f>
        <v>2000</v>
      </c>
      <c r="C88" s="91" t="e">
        <f>B88*$G$86+$H$86</f>
        <v>#DIV/0!</v>
      </c>
      <c r="D88" s="91" t="e">
        <f>B88*$C$60+$D$60</f>
        <v>#DIV/0!</v>
      </c>
      <c r="E88" s="133">
        <f>D45</f>
        <v>0</v>
      </c>
      <c r="F88" s="133">
        <f>E45</f>
        <v>2.4990000000000001</v>
      </c>
      <c r="G88" s="91" t="e">
        <f>E88*$G$86+$H$86</f>
        <v>#DIV/0!</v>
      </c>
      <c r="H88" s="91" t="e">
        <f>F88-G88</f>
        <v>#DIV/0!</v>
      </c>
      <c r="I88" s="134" t="e">
        <f>C88+H88</f>
        <v>#DIV/0!</v>
      </c>
      <c r="J88" s="135" t="e">
        <f>H88/4</f>
        <v>#DIV/0!</v>
      </c>
      <c r="K88" s="136"/>
      <c r="L88" s="91" t="e">
        <f>E88*$C$60+$D$60</f>
        <v>#DIV/0!</v>
      </c>
      <c r="M88" s="91" t="e">
        <f>F88-L88</f>
        <v>#DIV/0!</v>
      </c>
      <c r="N88" s="134" t="e">
        <f>C88+M88</f>
        <v>#DIV/0!</v>
      </c>
      <c r="O88" s="396" t="e">
        <f>M88/4</f>
        <v>#DIV/0!</v>
      </c>
    </row>
    <row r="89" spans="1:15" outlineLevel="1"/>
    <row r="90" spans="1:15" outlineLevel="1"/>
    <row r="91" spans="1:15" ht="15" customHeight="1" outlineLevel="1" thickBot="1">
      <c r="F91" t="s">
        <v>151</v>
      </c>
    </row>
    <row r="92" spans="1:15" ht="18" customHeight="1" outlineLevel="1">
      <c r="F92" s="108" t="s">
        <v>126</v>
      </c>
      <c r="G92" s="109" t="s">
        <v>24</v>
      </c>
      <c r="H92" s="96" t="s">
        <v>25</v>
      </c>
    </row>
    <row r="93" spans="1:15" ht="15" customHeight="1" outlineLevel="1" thickBot="1">
      <c r="F93" s="111" t="s">
        <v>144</v>
      </c>
      <c r="G93" s="112">
        <f>LINEST(E96:E101,F96:F101)</f>
        <v>0</v>
      </c>
      <c r="H93" s="106" t="e">
        <f>INTERCEPT(E96:E101,F96:F101)</f>
        <v>#DIV/0!</v>
      </c>
    </row>
    <row r="94" spans="1:15" ht="15" customHeight="1" outlineLevel="1" thickBot="1">
      <c r="F94" s="120" t="s">
        <v>146</v>
      </c>
      <c r="G94" s="121">
        <f>LINEST(F96:F101,E96:E101)</f>
        <v>0</v>
      </c>
      <c r="H94" s="122" t="e">
        <f>INTERCEPT(F96:F101,E96:E101)</f>
        <v>#DIV/0!</v>
      </c>
    </row>
    <row r="95" spans="1:15" ht="38.4" customHeight="1" outlineLevel="1" thickBot="1">
      <c r="A95" s="123" t="s">
        <v>33</v>
      </c>
      <c r="B95" s="124" t="s">
        <v>152</v>
      </c>
      <c r="C95" s="125" t="s">
        <v>153</v>
      </c>
      <c r="D95" s="125" t="s">
        <v>154</v>
      </c>
      <c r="E95" s="126" t="s">
        <v>155</v>
      </c>
      <c r="F95" s="126" t="s">
        <v>156</v>
      </c>
      <c r="G95" s="125" t="s">
        <v>157</v>
      </c>
      <c r="H95" s="125" t="s">
        <v>158</v>
      </c>
      <c r="I95" s="127" t="s">
        <v>159</v>
      </c>
      <c r="J95" s="128" t="s">
        <v>160</v>
      </c>
      <c r="K95" s="129"/>
      <c r="L95" s="125" t="s">
        <v>161</v>
      </c>
      <c r="M95" s="125" t="s">
        <v>162</v>
      </c>
      <c r="N95" s="130" t="s">
        <v>163</v>
      </c>
      <c r="O95" s="131" t="s">
        <v>160</v>
      </c>
    </row>
    <row r="96" spans="1:15" ht="15" customHeight="1" outlineLevel="1" thickTop="1">
      <c r="A96" s="74" t="str">
        <f t="shared" ref="A96:A101" si="5">D11</f>
        <v>Set Point 0</v>
      </c>
      <c r="B96" s="132">
        <f>SetPnt_P_0</f>
        <v>0</v>
      </c>
      <c r="C96" s="91" t="e">
        <f t="shared" ref="C96:C101" si="6">B96*$G$94+$H$94</f>
        <v>#DIV/0!</v>
      </c>
      <c r="D96" s="91" t="e">
        <f t="shared" ref="D96:D101" si="7">B96*$C$60+$D$60</f>
        <v>#DIV/0!</v>
      </c>
      <c r="E96" s="133">
        <f t="shared" ref="E96:F101" si="8">I40</f>
        <v>0</v>
      </c>
      <c r="F96" s="133">
        <f t="shared" si="8"/>
        <v>2.4990000000000001</v>
      </c>
      <c r="G96" s="91" t="e">
        <f t="shared" ref="G96:G101" si="9">E96*$G$94+$H$94</f>
        <v>#DIV/0!</v>
      </c>
      <c r="H96" s="91" t="e">
        <f t="shared" ref="H96:H101" si="10">F96-G96</f>
        <v>#DIV/0!</v>
      </c>
      <c r="I96" s="134" t="e">
        <f t="shared" ref="I96:I101" si="11">C96+H96</f>
        <v>#DIV/0!</v>
      </c>
      <c r="J96" s="135" t="e">
        <f t="shared" ref="J96:J101" si="12">H96/4</f>
        <v>#DIV/0!</v>
      </c>
      <c r="K96" s="136"/>
      <c r="L96" s="91" t="e">
        <f t="shared" ref="L96:L101" si="13">E96*$C$60+$D$60</f>
        <v>#DIV/0!</v>
      </c>
      <c r="M96" s="91" t="e">
        <f t="shared" ref="M96:M101" si="14">F96-L96</f>
        <v>#DIV/0!</v>
      </c>
      <c r="N96" s="134" t="e">
        <f t="shared" ref="N96:N101" si="15">C96+M96</f>
        <v>#DIV/0!</v>
      </c>
      <c r="O96" s="396" t="e">
        <f t="shared" ref="O96:O101" si="16">M96/4</f>
        <v>#DIV/0!</v>
      </c>
    </row>
    <row r="97" spans="1:15" outlineLevel="1">
      <c r="A97" s="74" t="str">
        <f t="shared" si="5"/>
        <v>Set Point 1</v>
      </c>
      <c r="B97" s="138">
        <f>SetPnt_P_1</f>
        <v>400</v>
      </c>
      <c r="C97" s="91" t="e">
        <f t="shared" si="6"/>
        <v>#DIV/0!</v>
      </c>
      <c r="D97" s="91" t="e">
        <f t="shared" si="7"/>
        <v>#DIV/0!</v>
      </c>
      <c r="E97" s="133">
        <f t="shared" si="8"/>
        <v>0</v>
      </c>
      <c r="F97" s="133">
        <f t="shared" si="8"/>
        <v>2.4990000000000001</v>
      </c>
      <c r="G97" s="91" t="e">
        <f t="shared" si="9"/>
        <v>#DIV/0!</v>
      </c>
      <c r="H97" s="91" t="e">
        <f t="shared" si="10"/>
        <v>#DIV/0!</v>
      </c>
      <c r="I97" s="134" t="e">
        <f t="shared" si="11"/>
        <v>#DIV/0!</v>
      </c>
      <c r="J97" s="135" t="e">
        <f t="shared" si="12"/>
        <v>#DIV/0!</v>
      </c>
      <c r="K97" s="136"/>
      <c r="L97" s="91" t="e">
        <f t="shared" si="13"/>
        <v>#DIV/0!</v>
      </c>
      <c r="M97" s="91" t="e">
        <f t="shared" si="14"/>
        <v>#DIV/0!</v>
      </c>
      <c r="N97" s="134" t="e">
        <f t="shared" si="15"/>
        <v>#DIV/0!</v>
      </c>
      <c r="O97" s="396" t="e">
        <f t="shared" si="16"/>
        <v>#DIV/0!</v>
      </c>
    </row>
    <row r="98" spans="1:15" outlineLevel="1">
      <c r="A98" s="74" t="str">
        <f t="shared" si="5"/>
        <v>Set Point 2</v>
      </c>
      <c r="B98" s="138">
        <f>SetPnt_P_2</f>
        <v>800</v>
      </c>
      <c r="C98" s="91" t="e">
        <f t="shared" si="6"/>
        <v>#DIV/0!</v>
      </c>
      <c r="D98" s="91" t="e">
        <f t="shared" si="7"/>
        <v>#DIV/0!</v>
      </c>
      <c r="E98" s="133">
        <f t="shared" si="8"/>
        <v>0</v>
      </c>
      <c r="F98" s="133">
        <f t="shared" si="8"/>
        <v>2.4990000000000001</v>
      </c>
      <c r="G98" s="91" t="e">
        <f t="shared" si="9"/>
        <v>#DIV/0!</v>
      </c>
      <c r="H98" s="91" t="e">
        <f t="shared" si="10"/>
        <v>#DIV/0!</v>
      </c>
      <c r="I98" s="134" t="e">
        <f t="shared" si="11"/>
        <v>#DIV/0!</v>
      </c>
      <c r="J98" s="135" t="e">
        <f t="shared" si="12"/>
        <v>#DIV/0!</v>
      </c>
      <c r="K98" s="136"/>
      <c r="L98" s="91" t="e">
        <f t="shared" si="13"/>
        <v>#DIV/0!</v>
      </c>
      <c r="M98" s="91" t="e">
        <f t="shared" si="14"/>
        <v>#DIV/0!</v>
      </c>
      <c r="N98" s="134" t="e">
        <f t="shared" si="15"/>
        <v>#DIV/0!</v>
      </c>
      <c r="O98" s="396" t="e">
        <f t="shared" si="16"/>
        <v>#DIV/0!</v>
      </c>
    </row>
    <row r="99" spans="1:15" outlineLevel="1">
      <c r="A99" s="74" t="str">
        <f t="shared" si="5"/>
        <v>Set Point 3</v>
      </c>
      <c r="B99" s="138">
        <f>SetPnt_P_3</f>
        <v>1200</v>
      </c>
      <c r="C99" s="91" t="e">
        <f t="shared" si="6"/>
        <v>#DIV/0!</v>
      </c>
      <c r="D99" s="91" t="e">
        <f t="shared" si="7"/>
        <v>#DIV/0!</v>
      </c>
      <c r="E99" s="133">
        <f t="shared" si="8"/>
        <v>0</v>
      </c>
      <c r="F99" s="133">
        <f t="shared" si="8"/>
        <v>2.4990000000000001</v>
      </c>
      <c r="G99" s="91" t="e">
        <f t="shared" si="9"/>
        <v>#DIV/0!</v>
      </c>
      <c r="H99" s="91" t="e">
        <f t="shared" si="10"/>
        <v>#DIV/0!</v>
      </c>
      <c r="I99" s="134" t="e">
        <f t="shared" si="11"/>
        <v>#DIV/0!</v>
      </c>
      <c r="J99" s="135" t="e">
        <f t="shared" si="12"/>
        <v>#DIV/0!</v>
      </c>
      <c r="K99" s="136"/>
      <c r="L99" s="91" t="e">
        <f t="shared" si="13"/>
        <v>#DIV/0!</v>
      </c>
      <c r="M99" s="91" t="e">
        <f t="shared" si="14"/>
        <v>#DIV/0!</v>
      </c>
      <c r="N99" s="134" t="e">
        <f t="shared" si="15"/>
        <v>#DIV/0!</v>
      </c>
      <c r="O99" s="396" t="e">
        <f t="shared" si="16"/>
        <v>#DIV/0!</v>
      </c>
    </row>
    <row r="100" spans="1:15" outlineLevel="1">
      <c r="A100" s="74" t="str">
        <f t="shared" si="5"/>
        <v>Set Point 4</v>
      </c>
      <c r="B100" s="138">
        <f>SetPnt_P_4</f>
        <v>1600</v>
      </c>
      <c r="C100" s="91" t="e">
        <f t="shared" si="6"/>
        <v>#DIV/0!</v>
      </c>
      <c r="D100" s="91" t="e">
        <f t="shared" si="7"/>
        <v>#DIV/0!</v>
      </c>
      <c r="E100" s="133">
        <f t="shared" si="8"/>
        <v>0</v>
      </c>
      <c r="F100" s="133">
        <f t="shared" si="8"/>
        <v>2.4990000000000001</v>
      </c>
      <c r="G100" s="91" t="e">
        <f t="shared" si="9"/>
        <v>#DIV/0!</v>
      </c>
      <c r="H100" s="91" t="e">
        <f t="shared" si="10"/>
        <v>#DIV/0!</v>
      </c>
      <c r="I100" s="134" t="e">
        <f t="shared" si="11"/>
        <v>#DIV/0!</v>
      </c>
      <c r="J100" s="135" t="e">
        <f t="shared" si="12"/>
        <v>#DIV/0!</v>
      </c>
      <c r="K100" s="136"/>
      <c r="L100" s="91" t="e">
        <f t="shared" si="13"/>
        <v>#DIV/0!</v>
      </c>
      <c r="M100" s="91" t="e">
        <f t="shared" si="14"/>
        <v>#DIV/0!</v>
      </c>
      <c r="N100" s="134" t="e">
        <f t="shared" si="15"/>
        <v>#DIV/0!</v>
      </c>
      <c r="O100" s="396" t="e">
        <f t="shared" si="16"/>
        <v>#DIV/0!</v>
      </c>
    </row>
    <row r="101" spans="1:15" ht="15" customHeight="1" outlineLevel="1" thickBot="1">
      <c r="A101" s="66" t="str">
        <f t="shared" si="5"/>
        <v>Set Point 5</v>
      </c>
      <c r="B101" s="139">
        <f>SetPnt_P_5</f>
        <v>2000</v>
      </c>
      <c r="C101" s="140" t="e">
        <f t="shared" si="6"/>
        <v>#DIV/0!</v>
      </c>
      <c r="D101" s="140" t="e">
        <f t="shared" si="7"/>
        <v>#DIV/0!</v>
      </c>
      <c r="E101" s="141">
        <f t="shared" si="8"/>
        <v>0</v>
      </c>
      <c r="F101" s="141">
        <f t="shared" si="8"/>
        <v>2.4990000000000001</v>
      </c>
      <c r="G101" s="140" t="e">
        <f t="shared" si="9"/>
        <v>#DIV/0!</v>
      </c>
      <c r="H101" s="140" t="e">
        <f t="shared" si="10"/>
        <v>#DIV/0!</v>
      </c>
      <c r="I101" s="142" t="e">
        <f t="shared" si="11"/>
        <v>#DIV/0!</v>
      </c>
      <c r="J101" s="143" t="e">
        <f t="shared" si="12"/>
        <v>#DIV/0!</v>
      </c>
      <c r="K101" s="144"/>
      <c r="L101" s="140" t="e">
        <f t="shared" si="13"/>
        <v>#DIV/0!</v>
      </c>
      <c r="M101" s="140" t="e">
        <f t="shared" si="14"/>
        <v>#DIV/0!</v>
      </c>
      <c r="N101" s="142" t="e">
        <f t="shared" si="15"/>
        <v>#DIV/0!</v>
      </c>
      <c r="O101" s="397" t="e">
        <f t="shared" si="16"/>
        <v>#DIV/0!</v>
      </c>
    </row>
    <row r="102" spans="1:15" ht="15" customHeight="1" outlineLevel="1" thickBot="1">
      <c r="F102" t="s">
        <v>164</v>
      </c>
    </row>
    <row r="103" spans="1:15" ht="18" customHeight="1" outlineLevel="1">
      <c r="F103" s="108" t="s">
        <v>128</v>
      </c>
      <c r="G103" s="109" t="s">
        <v>24</v>
      </c>
      <c r="H103" s="96" t="s">
        <v>25</v>
      </c>
    </row>
    <row r="104" spans="1:15" ht="15" customHeight="1" outlineLevel="1" thickBot="1">
      <c r="F104" s="111" t="s">
        <v>144</v>
      </c>
      <c r="G104" s="112">
        <f>LINEST(E107:E112,F107:F112)</f>
        <v>0</v>
      </c>
      <c r="H104" s="106" t="e">
        <f>INTERCEPT(E107:E112,F107:F112)</f>
        <v>#DIV/0!</v>
      </c>
    </row>
    <row r="105" spans="1:15" ht="15" customHeight="1" outlineLevel="1" thickBot="1">
      <c r="F105" s="113" t="s">
        <v>146</v>
      </c>
      <c r="G105" s="146">
        <f>LINEST(F107:F112,E107:E112)</f>
        <v>0</v>
      </c>
      <c r="H105" s="147" t="e">
        <f>INTERCEPT(F107:F112,E107:E112)</f>
        <v>#DIV/0!</v>
      </c>
    </row>
    <row r="106" spans="1:15" ht="31.8" customHeight="1" outlineLevel="1" thickBot="1">
      <c r="A106" s="123" t="s">
        <v>165</v>
      </c>
      <c r="B106" s="124" t="s">
        <v>166</v>
      </c>
      <c r="C106" s="125" t="s">
        <v>167</v>
      </c>
      <c r="D106" s="125" t="s">
        <v>168</v>
      </c>
      <c r="E106" s="126" t="s">
        <v>155</v>
      </c>
      <c r="F106" s="126" t="s">
        <v>156</v>
      </c>
      <c r="G106" s="125" t="s">
        <v>169</v>
      </c>
      <c r="H106" s="125" t="s">
        <v>170</v>
      </c>
      <c r="I106" s="127" t="s">
        <v>159</v>
      </c>
      <c r="J106" s="128" t="s">
        <v>171</v>
      </c>
      <c r="K106" s="129"/>
      <c r="L106" s="125" t="s">
        <v>172</v>
      </c>
      <c r="M106" s="125" t="s">
        <v>173</v>
      </c>
      <c r="N106" s="130" t="s">
        <v>174</v>
      </c>
      <c r="O106" s="131" t="s">
        <v>171</v>
      </c>
    </row>
    <row r="107" spans="1:15" ht="15" customHeight="1" outlineLevel="1" thickTop="1">
      <c r="A107" s="74" t="str">
        <f t="shared" ref="A107:A112" si="17">D11</f>
        <v>Set Point 0</v>
      </c>
      <c r="B107" s="132">
        <f>SetPnt_P_0</f>
        <v>0</v>
      </c>
      <c r="C107" s="91" t="e">
        <f t="shared" ref="C107:C112" si="18">B107*$G$105+$H$105</f>
        <v>#DIV/0!</v>
      </c>
      <c r="D107" s="91" t="e">
        <f t="shared" ref="D107:D112" si="19">B107*$C$60+$D$60</f>
        <v>#DIV/0!</v>
      </c>
      <c r="E107" s="133">
        <f t="shared" ref="E107:F112" si="20">N40</f>
        <v>0</v>
      </c>
      <c r="F107" s="133">
        <f t="shared" si="20"/>
        <v>2.4990000000000001</v>
      </c>
      <c r="G107" s="91" t="e">
        <f t="shared" ref="G107:G112" si="21">E107*$G$105+$H$105</f>
        <v>#DIV/0!</v>
      </c>
      <c r="H107" s="91" t="e">
        <f t="shared" ref="H107:H112" si="22">F107-G107</f>
        <v>#DIV/0!</v>
      </c>
      <c r="I107" s="134" t="e">
        <f t="shared" ref="I107:I112" si="23">C107+H107</f>
        <v>#DIV/0!</v>
      </c>
      <c r="J107" s="135" t="e">
        <f t="shared" ref="J107:J112" si="24">H107/4</f>
        <v>#DIV/0!</v>
      </c>
      <c r="K107" s="136"/>
      <c r="L107" s="91" t="e">
        <f t="shared" ref="L107:L112" si="25">E107*$C$60+$D$60</f>
        <v>#DIV/0!</v>
      </c>
      <c r="M107" s="91" t="e">
        <f t="shared" ref="M107:M112" si="26">F107-L107</f>
        <v>#DIV/0!</v>
      </c>
      <c r="N107" s="134" t="e">
        <f t="shared" ref="N107:N112" si="27">C107+M107</f>
        <v>#DIV/0!</v>
      </c>
      <c r="O107" s="396" t="e">
        <f t="shared" ref="O107:O112" si="28">M107/4</f>
        <v>#DIV/0!</v>
      </c>
    </row>
    <row r="108" spans="1:15" outlineLevel="1">
      <c r="A108" s="74" t="str">
        <f t="shared" si="17"/>
        <v>Set Point 1</v>
      </c>
      <c r="B108" s="138">
        <f>SetPnt_P_1</f>
        <v>400</v>
      </c>
      <c r="C108" s="91" t="e">
        <f t="shared" si="18"/>
        <v>#DIV/0!</v>
      </c>
      <c r="D108" s="91" t="e">
        <f t="shared" si="19"/>
        <v>#DIV/0!</v>
      </c>
      <c r="E108" s="133">
        <f t="shared" si="20"/>
        <v>0</v>
      </c>
      <c r="F108" s="133">
        <f t="shared" si="20"/>
        <v>2.4990000000000001</v>
      </c>
      <c r="G108" s="91" t="e">
        <f t="shared" si="21"/>
        <v>#DIV/0!</v>
      </c>
      <c r="H108" s="91" t="e">
        <f t="shared" si="22"/>
        <v>#DIV/0!</v>
      </c>
      <c r="I108" s="134" t="e">
        <f t="shared" si="23"/>
        <v>#DIV/0!</v>
      </c>
      <c r="J108" s="135" t="e">
        <f t="shared" si="24"/>
        <v>#DIV/0!</v>
      </c>
      <c r="K108" s="136"/>
      <c r="L108" s="91" t="e">
        <f t="shared" si="25"/>
        <v>#DIV/0!</v>
      </c>
      <c r="M108" s="91" t="e">
        <f t="shared" si="26"/>
        <v>#DIV/0!</v>
      </c>
      <c r="N108" s="134" t="e">
        <f t="shared" si="27"/>
        <v>#DIV/0!</v>
      </c>
      <c r="O108" s="396" t="e">
        <f t="shared" si="28"/>
        <v>#DIV/0!</v>
      </c>
    </row>
    <row r="109" spans="1:15" outlineLevel="1">
      <c r="A109" s="74" t="str">
        <f t="shared" si="17"/>
        <v>Set Point 2</v>
      </c>
      <c r="B109" s="138">
        <f>SetPnt_P_2</f>
        <v>800</v>
      </c>
      <c r="C109" s="91" t="e">
        <f t="shared" si="18"/>
        <v>#DIV/0!</v>
      </c>
      <c r="D109" s="91" t="e">
        <f t="shared" si="19"/>
        <v>#DIV/0!</v>
      </c>
      <c r="E109" s="133">
        <f t="shared" si="20"/>
        <v>0</v>
      </c>
      <c r="F109" s="133">
        <f t="shared" si="20"/>
        <v>2.4990000000000001</v>
      </c>
      <c r="G109" s="91" t="e">
        <f t="shared" si="21"/>
        <v>#DIV/0!</v>
      </c>
      <c r="H109" s="91" t="e">
        <f t="shared" si="22"/>
        <v>#DIV/0!</v>
      </c>
      <c r="I109" s="134" t="e">
        <f t="shared" si="23"/>
        <v>#DIV/0!</v>
      </c>
      <c r="J109" s="135" t="e">
        <f t="shared" si="24"/>
        <v>#DIV/0!</v>
      </c>
      <c r="K109" s="136"/>
      <c r="L109" s="91" t="e">
        <f t="shared" si="25"/>
        <v>#DIV/0!</v>
      </c>
      <c r="M109" s="91" t="e">
        <f t="shared" si="26"/>
        <v>#DIV/0!</v>
      </c>
      <c r="N109" s="134" t="e">
        <f t="shared" si="27"/>
        <v>#DIV/0!</v>
      </c>
      <c r="O109" s="396" t="e">
        <f t="shared" si="28"/>
        <v>#DIV/0!</v>
      </c>
    </row>
    <row r="110" spans="1:15" outlineLevel="1">
      <c r="A110" s="74" t="str">
        <f t="shared" si="17"/>
        <v>Set Point 3</v>
      </c>
      <c r="B110" s="138">
        <f>SetPnt_P_3</f>
        <v>1200</v>
      </c>
      <c r="C110" s="91" t="e">
        <f t="shared" si="18"/>
        <v>#DIV/0!</v>
      </c>
      <c r="D110" s="91" t="e">
        <f t="shared" si="19"/>
        <v>#DIV/0!</v>
      </c>
      <c r="E110" s="133">
        <f t="shared" si="20"/>
        <v>0</v>
      </c>
      <c r="F110" s="133">
        <f t="shared" si="20"/>
        <v>2.4990000000000001</v>
      </c>
      <c r="G110" s="91" t="e">
        <f t="shared" si="21"/>
        <v>#DIV/0!</v>
      </c>
      <c r="H110" s="91" t="e">
        <f t="shared" si="22"/>
        <v>#DIV/0!</v>
      </c>
      <c r="I110" s="134" t="e">
        <f t="shared" si="23"/>
        <v>#DIV/0!</v>
      </c>
      <c r="J110" s="135" t="e">
        <f t="shared" si="24"/>
        <v>#DIV/0!</v>
      </c>
      <c r="K110" s="136"/>
      <c r="L110" s="91" t="e">
        <f t="shared" si="25"/>
        <v>#DIV/0!</v>
      </c>
      <c r="M110" s="91" t="e">
        <f t="shared" si="26"/>
        <v>#DIV/0!</v>
      </c>
      <c r="N110" s="134" t="e">
        <f t="shared" si="27"/>
        <v>#DIV/0!</v>
      </c>
      <c r="O110" s="396" t="e">
        <f t="shared" si="28"/>
        <v>#DIV/0!</v>
      </c>
    </row>
    <row r="111" spans="1:15" outlineLevel="1">
      <c r="A111" s="74" t="str">
        <f t="shared" si="17"/>
        <v>Set Point 4</v>
      </c>
      <c r="B111" s="138">
        <f>SetPnt_P_4</f>
        <v>1600</v>
      </c>
      <c r="C111" s="91" t="e">
        <f t="shared" si="18"/>
        <v>#DIV/0!</v>
      </c>
      <c r="D111" s="91" t="e">
        <f t="shared" si="19"/>
        <v>#DIV/0!</v>
      </c>
      <c r="E111" s="133">
        <f t="shared" si="20"/>
        <v>0</v>
      </c>
      <c r="F111" s="133">
        <f t="shared" si="20"/>
        <v>2.4990000000000001</v>
      </c>
      <c r="G111" s="91" t="e">
        <f t="shared" si="21"/>
        <v>#DIV/0!</v>
      </c>
      <c r="H111" s="91" t="e">
        <f t="shared" si="22"/>
        <v>#DIV/0!</v>
      </c>
      <c r="I111" s="134" t="e">
        <f t="shared" si="23"/>
        <v>#DIV/0!</v>
      </c>
      <c r="J111" s="135" t="e">
        <f t="shared" si="24"/>
        <v>#DIV/0!</v>
      </c>
      <c r="K111" s="136"/>
      <c r="L111" s="91" t="e">
        <f t="shared" si="25"/>
        <v>#DIV/0!</v>
      </c>
      <c r="M111" s="91" t="e">
        <f t="shared" si="26"/>
        <v>#DIV/0!</v>
      </c>
      <c r="N111" s="134" t="e">
        <f t="shared" si="27"/>
        <v>#DIV/0!</v>
      </c>
      <c r="O111" s="396" t="e">
        <f t="shared" si="28"/>
        <v>#DIV/0!</v>
      </c>
    </row>
    <row r="112" spans="1:15" ht="15" customHeight="1" outlineLevel="1" thickBot="1">
      <c r="A112" s="66" t="str">
        <f t="shared" si="17"/>
        <v>Set Point 5</v>
      </c>
      <c r="B112" s="139">
        <f>SetPnt_P_5</f>
        <v>2000</v>
      </c>
      <c r="C112" s="140" t="e">
        <f t="shared" si="18"/>
        <v>#DIV/0!</v>
      </c>
      <c r="D112" s="140" t="e">
        <f t="shared" si="19"/>
        <v>#DIV/0!</v>
      </c>
      <c r="E112" s="141">
        <f t="shared" si="20"/>
        <v>0</v>
      </c>
      <c r="F112" s="141">
        <f t="shared" si="20"/>
        <v>2.4990000000000001</v>
      </c>
      <c r="G112" s="140" t="e">
        <f t="shared" si="21"/>
        <v>#DIV/0!</v>
      </c>
      <c r="H112" s="140" t="e">
        <f t="shared" si="22"/>
        <v>#DIV/0!</v>
      </c>
      <c r="I112" s="142" t="e">
        <f t="shared" si="23"/>
        <v>#DIV/0!</v>
      </c>
      <c r="J112" s="143" t="e">
        <f t="shared" si="24"/>
        <v>#DIV/0!</v>
      </c>
      <c r="K112" s="144"/>
      <c r="L112" s="140" t="e">
        <f t="shared" si="25"/>
        <v>#DIV/0!</v>
      </c>
      <c r="M112" s="140" t="e">
        <f t="shared" si="26"/>
        <v>#DIV/0!</v>
      </c>
      <c r="N112" s="142" t="e">
        <f t="shared" si="27"/>
        <v>#DIV/0!</v>
      </c>
      <c r="O112" s="397" t="e">
        <f t="shared" si="28"/>
        <v>#DIV/0!</v>
      </c>
    </row>
    <row r="114" spans="1:24" ht="25.8" customHeight="1">
      <c r="A114" s="61" t="s">
        <v>175</v>
      </c>
      <c r="B114" s="62"/>
      <c r="C114" s="62"/>
      <c r="D114" s="62"/>
      <c r="E114" s="62"/>
      <c r="F114" s="62"/>
      <c r="G114" s="62"/>
      <c r="H114" s="62"/>
      <c r="I114" s="62"/>
      <c r="J114" s="62"/>
      <c r="K114" s="62"/>
      <c r="L114" s="62"/>
      <c r="M114" s="62"/>
      <c r="N114" s="62"/>
      <c r="O114" s="62"/>
      <c r="P114" s="62"/>
      <c r="Q114" s="62"/>
      <c r="R114" s="62"/>
      <c r="S114" s="62"/>
      <c r="T114" s="62"/>
      <c r="U114" s="62"/>
      <c r="V114" s="62"/>
      <c r="W114" s="62"/>
      <c r="X114" s="62"/>
    </row>
    <row r="115" spans="1:24" ht="15" customHeight="1" outlineLevel="1" thickBot="1"/>
    <row r="116" spans="1:24" ht="18.600000000000001" customHeight="1" outlineLevel="1" thickBot="1">
      <c r="A116" s="148" t="s">
        <v>176</v>
      </c>
      <c r="B116" s="149" t="s">
        <v>138</v>
      </c>
      <c r="C116" s="149" t="s">
        <v>139</v>
      </c>
      <c r="D116" s="150" t="s">
        <v>140</v>
      </c>
      <c r="E116" s="151"/>
      <c r="F116" s="148" t="s">
        <v>176</v>
      </c>
      <c r="G116" s="149" t="s">
        <v>24</v>
      </c>
      <c r="H116" s="150" t="s">
        <v>25</v>
      </c>
      <c r="M116" s="152"/>
      <c r="N116" s="152"/>
      <c r="O116" s="152"/>
    </row>
    <row r="117" spans="1:24" ht="15" customHeight="1" outlineLevel="1" thickTop="1">
      <c r="A117" s="153" t="str">
        <f>CONCATENATE("Cert [",EUnits,"/V]")</f>
        <v>Cert [Nm/V]</v>
      </c>
      <c r="B117" s="154" t="e">
        <f>INDEX(LINEST(T123:T134,(S123:S134)^{1,2}),1)</f>
        <v>#VALUE!</v>
      </c>
      <c r="C117" s="154" t="e">
        <f>INDEX(LINEST(T123:T134,(S123:S134)^{1,2}),1,2)</f>
        <v>#VALUE!</v>
      </c>
      <c r="D117" s="155" t="e">
        <f>INDEX(LINEST(T123:T134,(S123:S134)^{1,2}),1,3)</f>
        <v>#VALUE!</v>
      </c>
      <c r="F117" s="156" t="str">
        <f>CONCATENATE("Cert [",EUnits,"/V]")</f>
        <v>Cert [Nm/V]</v>
      </c>
      <c r="G117" s="157" t="e">
        <f>LINEST(T123:T134,S123:S134)</f>
        <v>#VALUE!</v>
      </c>
      <c r="H117" s="158" t="e">
        <f>INTERCEPT(T123:T134,S123:S134)</f>
        <v>#DIV/0!</v>
      </c>
      <c r="O117" s="152"/>
    </row>
    <row r="118" spans="1:24" ht="15" customHeight="1" outlineLevel="1" thickBot="1">
      <c r="A118" s="113" t="str">
        <f>CONCATENATE("Cert [V/",EUnits,"]")</f>
        <v>Cert [V/Nm]</v>
      </c>
      <c r="B118" s="159" t="e">
        <f>INDEX(LINEST(S123:S134,(T123:T134)^{1,2}),1)</f>
        <v>#VALUE!</v>
      </c>
      <c r="C118" s="159" t="e">
        <f>INDEX(LINEST(S123:S134,(T123:T134)^{1,2}),1,2)</f>
        <v>#VALUE!</v>
      </c>
      <c r="D118" s="160" t="e">
        <f>INDEX(LINEST(S123:S134,(T123:T134)^{1,2}),1,3)</f>
        <v>#VALUE!</v>
      </c>
      <c r="F118" s="113" t="str">
        <f>CONCATENATE("Cert [V/",EUnits,"]")</f>
        <v>Cert [V/Nm]</v>
      </c>
      <c r="G118" s="161" t="e">
        <f>LINEST(S123:S134,T123:T134)</f>
        <v>#VALUE!</v>
      </c>
      <c r="H118" s="162" t="e">
        <f>INTERCEPT(S123:S134,T123:T134)</f>
        <v>#DIV/0!</v>
      </c>
      <c r="O118" s="152"/>
    </row>
    <row r="119" spans="1:24" outlineLevel="1"/>
    <row r="120" spans="1:24" ht="18.600000000000001" customHeight="1" outlineLevel="1" thickBot="1">
      <c r="A120" s="87" t="s">
        <v>177</v>
      </c>
      <c r="B120" s="163"/>
      <c r="C120" s="163"/>
      <c r="D120" s="163"/>
      <c r="P120" s="152"/>
    </row>
    <row r="121" spans="1:24" ht="30" customHeight="1" outlineLevel="1" thickBot="1">
      <c r="A121" s="164" t="s">
        <v>178</v>
      </c>
      <c r="B121" s="165" t="s">
        <v>179</v>
      </c>
      <c r="C121" s="166" t="s">
        <v>179</v>
      </c>
      <c r="D121" s="167" t="s">
        <v>179</v>
      </c>
      <c r="E121" s="168" t="s">
        <v>180</v>
      </c>
      <c r="F121" s="166" t="s">
        <v>181</v>
      </c>
      <c r="G121" s="167" t="s">
        <v>182</v>
      </c>
      <c r="H121" s="484" t="s">
        <v>183</v>
      </c>
      <c r="I121" s="486" t="s">
        <v>184</v>
      </c>
      <c r="J121" s="169"/>
      <c r="K121" s="480" t="s">
        <v>185</v>
      </c>
      <c r="L121" s="480" t="s">
        <v>186</v>
      </c>
      <c r="M121" s="480" t="s">
        <v>187</v>
      </c>
      <c r="N121" s="480" t="s">
        <v>188</v>
      </c>
      <c r="O121" s="480" t="s">
        <v>189</v>
      </c>
      <c r="P121" s="480" t="s">
        <v>190</v>
      </c>
      <c r="R121" s="476" t="s">
        <v>121</v>
      </c>
      <c r="S121" s="477"/>
      <c r="T121" s="477"/>
    </row>
    <row r="122" spans="1:24" ht="29.4" customHeight="1" outlineLevel="1" thickTop="1">
      <c r="A122" s="170"/>
      <c r="B122" s="171" t="s">
        <v>191</v>
      </c>
      <c r="C122" s="172" t="s">
        <v>191</v>
      </c>
      <c r="D122" s="173" t="s">
        <v>191</v>
      </c>
      <c r="E122" s="174" t="s">
        <v>192</v>
      </c>
      <c r="F122" s="172" t="s">
        <v>193</v>
      </c>
      <c r="G122" s="173" t="s">
        <v>192</v>
      </c>
      <c r="H122" s="485"/>
      <c r="I122" s="464"/>
      <c r="J122" s="169"/>
      <c r="K122" s="464"/>
      <c r="L122" s="464"/>
      <c r="M122" s="464"/>
      <c r="N122" s="464"/>
      <c r="O122" s="464"/>
      <c r="P122" s="464"/>
      <c r="R122" s="175"/>
      <c r="S122" s="176" t="s">
        <v>123</v>
      </c>
      <c r="T122" s="176" t="s">
        <v>194</v>
      </c>
    </row>
    <row r="123" spans="1:24" ht="16.2" customHeight="1" outlineLevel="1" thickBot="1">
      <c r="A123" s="177" t="s">
        <v>195</v>
      </c>
      <c r="B123" s="178" t="s">
        <v>196</v>
      </c>
      <c r="C123" s="179" t="s">
        <v>196</v>
      </c>
      <c r="D123" s="180" t="s">
        <v>196</v>
      </c>
      <c r="E123" s="181" t="s">
        <v>196</v>
      </c>
      <c r="F123" s="179" t="s">
        <v>196</v>
      </c>
      <c r="G123" s="180" t="s">
        <v>196</v>
      </c>
      <c r="H123" s="485"/>
      <c r="I123" s="464"/>
      <c r="J123" s="169"/>
      <c r="K123" s="464"/>
      <c r="L123" s="464"/>
      <c r="M123" s="464"/>
      <c r="N123" s="464"/>
      <c r="O123" s="464"/>
      <c r="P123" s="464"/>
      <c r="R123" s="182" t="s">
        <v>197</v>
      </c>
      <c r="S123" s="183" t="e">
        <f t="shared" ref="S123:S128" si="29">E124</f>
        <v>#DIV/0!</v>
      </c>
      <c r="T123" s="184">
        <f>SetPnt_P_0</f>
        <v>0</v>
      </c>
    </row>
    <row r="124" spans="1:24" ht="15.6" customHeight="1" outlineLevel="1">
      <c r="A124" s="185">
        <f>SetPnt_P_0</f>
        <v>0</v>
      </c>
      <c r="B124" s="186" t="e">
        <f>$I$73</f>
        <v>#VALUE!</v>
      </c>
      <c r="C124" s="186" t="e">
        <f>I80</f>
        <v>#DIV/0!</v>
      </c>
      <c r="D124" s="186" t="e">
        <f>I87</f>
        <v>#DIV/0!</v>
      </c>
      <c r="E124" s="186" t="e">
        <f t="shared" ref="E124:E129" si="30">I96</f>
        <v>#DIV/0!</v>
      </c>
      <c r="F124" s="187" t="s">
        <v>198</v>
      </c>
      <c r="G124" s="186" t="e">
        <f t="shared" ref="G124:G129" si="31">I107</f>
        <v>#DIV/0!</v>
      </c>
      <c r="H124" s="188" t="e">
        <f t="shared" ref="H124:H129" si="32">$B$118*A124^2 + $C$118*A124+$D$118</f>
        <v>#VALUE!</v>
      </c>
      <c r="I124" s="188" t="e">
        <f t="shared" ref="I124:I129" si="33">A124*$G$118+$H$118</f>
        <v>#VALUE!</v>
      </c>
      <c r="J124" s="188"/>
      <c r="K124" s="188" t="e">
        <f t="shared" ref="K124:K129" si="34">AVERAGE(E124:G124)</f>
        <v>#DIV/0!</v>
      </c>
      <c r="L124" s="188" t="e">
        <f t="shared" ref="L124:L129" si="35">ABS(E124-G124)</f>
        <v>#DIV/0!</v>
      </c>
      <c r="M124" s="188" t="e">
        <f t="shared" ref="M124:M129" si="36">SQRT((E124-K124)^2+(G124-K124)^2)</f>
        <v>#DIV/0!</v>
      </c>
      <c r="N124" s="188" t="e">
        <f t="shared" ref="N124:N129" si="37">(ABS(E124-F124) )</f>
        <v>#DIV/0!</v>
      </c>
      <c r="O124" s="188" t="e">
        <f>I124-K124</f>
        <v>#VALUE!</v>
      </c>
      <c r="P124" s="188" t="e">
        <f t="shared" ref="P124:P129" si="38">H124-K124</f>
        <v>#VALUE!</v>
      </c>
      <c r="R124" s="182"/>
      <c r="S124" s="183" t="e">
        <f t="shared" si="29"/>
        <v>#DIV/0!</v>
      </c>
      <c r="T124" s="189">
        <f>SetPnt_P_1</f>
        <v>400</v>
      </c>
    </row>
    <row r="125" spans="1:24" ht="15.6" customHeight="1" outlineLevel="1">
      <c r="A125" s="190">
        <f>SetPnt_P_1</f>
        <v>400</v>
      </c>
      <c r="B125" s="191" t="s">
        <v>87</v>
      </c>
      <c r="C125" s="191" t="s">
        <v>87</v>
      </c>
      <c r="D125" s="191" t="s">
        <v>87</v>
      </c>
      <c r="E125" s="186" t="e">
        <f t="shared" si="30"/>
        <v>#DIV/0!</v>
      </c>
      <c r="F125" s="187" t="s">
        <v>198</v>
      </c>
      <c r="G125" s="186" t="e">
        <f t="shared" si="31"/>
        <v>#DIV/0!</v>
      </c>
      <c r="H125" s="188" t="e">
        <f t="shared" si="32"/>
        <v>#VALUE!</v>
      </c>
      <c r="I125" s="188" t="e">
        <f t="shared" si="33"/>
        <v>#VALUE!</v>
      </c>
      <c r="J125" s="188"/>
      <c r="K125" s="188" t="e">
        <f t="shared" si="34"/>
        <v>#DIV/0!</v>
      </c>
      <c r="L125" s="188" t="e">
        <f t="shared" si="35"/>
        <v>#DIV/0!</v>
      </c>
      <c r="M125" s="188" t="e">
        <f t="shared" si="36"/>
        <v>#DIV/0!</v>
      </c>
      <c r="N125" s="188" t="e">
        <f t="shared" si="37"/>
        <v>#DIV/0!</v>
      </c>
      <c r="O125" s="188" t="e">
        <f>H125-K125</f>
        <v>#VALUE!</v>
      </c>
      <c r="P125" s="188" t="e">
        <f t="shared" si="38"/>
        <v>#VALUE!</v>
      </c>
      <c r="R125" s="182"/>
      <c r="S125" s="183" t="e">
        <f t="shared" si="29"/>
        <v>#DIV/0!</v>
      </c>
      <c r="T125" s="189">
        <f>SetPnt_P_2</f>
        <v>800</v>
      </c>
    </row>
    <row r="126" spans="1:24" ht="15.6" customHeight="1" outlineLevel="1">
      <c r="A126" s="190">
        <f>SetPnt_P_2</f>
        <v>800</v>
      </c>
      <c r="B126" s="191" t="s">
        <v>87</v>
      </c>
      <c r="C126" s="191" t="s">
        <v>87</v>
      </c>
      <c r="D126" s="191" t="s">
        <v>87</v>
      </c>
      <c r="E126" s="186" t="e">
        <f t="shared" si="30"/>
        <v>#DIV/0!</v>
      </c>
      <c r="F126" s="187" t="s">
        <v>198</v>
      </c>
      <c r="G126" s="186" t="e">
        <f t="shared" si="31"/>
        <v>#DIV/0!</v>
      </c>
      <c r="H126" s="188" t="e">
        <f t="shared" si="32"/>
        <v>#VALUE!</v>
      </c>
      <c r="I126" s="188" t="e">
        <f t="shared" si="33"/>
        <v>#VALUE!</v>
      </c>
      <c r="J126" s="188"/>
      <c r="K126" s="188" t="e">
        <f t="shared" si="34"/>
        <v>#DIV/0!</v>
      </c>
      <c r="L126" s="188" t="e">
        <f t="shared" si="35"/>
        <v>#DIV/0!</v>
      </c>
      <c r="M126" s="188" t="e">
        <f t="shared" si="36"/>
        <v>#DIV/0!</v>
      </c>
      <c r="N126" s="188" t="e">
        <f t="shared" si="37"/>
        <v>#DIV/0!</v>
      </c>
      <c r="O126" s="188" t="e">
        <f>H126-K126</f>
        <v>#VALUE!</v>
      </c>
      <c r="P126" s="188" t="e">
        <f t="shared" si="38"/>
        <v>#VALUE!</v>
      </c>
      <c r="R126" s="182"/>
      <c r="S126" s="183" t="e">
        <f t="shared" si="29"/>
        <v>#DIV/0!</v>
      </c>
      <c r="T126" s="189">
        <f>SetPnt_P_3</f>
        <v>1200</v>
      </c>
    </row>
    <row r="127" spans="1:24" ht="15.6" customHeight="1" outlineLevel="1">
      <c r="A127" s="190">
        <f>SetPnt_P_3</f>
        <v>1200</v>
      </c>
      <c r="B127" s="191" t="s">
        <v>87</v>
      </c>
      <c r="C127" s="191" t="s">
        <v>87</v>
      </c>
      <c r="D127" s="191" t="s">
        <v>87</v>
      </c>
      <c r="E127" s="186" t="e">
        <f t="shared" si="30"/>
        <v>#DIV/0!</v>
      </c>
      <c r="F127" s="187" t="s">
        <v>198</v>
      </c>
      <c r="G127" s="186" t="e">
        <f t="shared" si="31"/>
        <v>#DIV/0!</v>
      </c>
      <c r="H127" s="188" t="e">
        <f t="shared" si="32"/>
        <v>#VALUE!</v>
      </c>
      <c r="I127" s="188" t="e">
        <f t="shared" si="33"/>
        <v>#VALUE!</v>
      </c>
      <c r="J127" s="188"/>
      <c r="K127" s="188" t="e">
        <f t="shared" si="34"/>
        <v>#DIV/0!</v>
      </c>
      <c r="L127" s="188" t="e">
        <f t="shared" si="35"/>
        <v>#DIV/0!</v>
      </c>
      <c r="M127" s="188" t="e">
        <f t="shared" si="36"/>
        <v>#DIV/0!</v>
      </c>
      <c r="N127" s="188" t="e">
        <f t="shared" si="37"/>
        <v>#DIV/0!</v>
      </c>
      <c r="O127" s="188" t="e">
        <f>H127-K127</f>
        <v>#VALUE!</v>
      </c>
      <c r="P127" s="188" t="e">
        <f t="shared" si="38"/>
        <v>#VALUE!</v>
      </c>
      <c r="R127" s="182"/>
      <c r="S127" s="183" t="e">
        <f t="shared" si="29"/>
        <v>#DIV/0!</v>
      </c>
      <c r="T127" s="189">
        <f>SetPnt_P_4</f>
        <v>1600</v>
      </c>
    </row>
    <row r="128" spans="1:24" ht="15.6" customHeight="1" outlineLevel="1">
      <c r="A128" s="190">
        <f>SetPnt_P_4</f>
        <v>1600</v>
      </c>
      <c r="B128" s="191" t="s">
        <v>87</v>
      </c>
      <c r="C128" s="191" t="s">
        <v>87</v>
      </c>
      <c r="D128" s="191" t="s">
        <v>87</v>
      </c>
      <c r="E128" s="186" t="e">
        <f t="shared" si="30"/>
        <v>#DIV/0!</v>
      </c>
      <c r="F128" s="187" t="s">
        <v>198</v>
      </c>
      <c r="G128" s="186" t="e">
        <f t="shared" si="31"/>
        <v>#DIV/0!</v>
      </c>
      <c r="H128" s="188" t="e">
        <f t="shared" si="32"/>
        <v>#VALUE!</v>
      </c>
      <c r="I128" s="188" t="e">
        <f t="shared" si="33"/>
        <v>#VALUE!</v>
      </c>
      <c r="J128" s="188"/>
      <c r="K128" s="188" t="e">
        <f t="shared" si="34"/>
        <v>#DIV/0!</v>
      </c>
      <c r="L128" s="188" t="e">
        <f t="shared" si="35"/>
        <v>#DIV/0!</v>
      </c>
      <c r="M128" s="188" t="e">
        <f t="shared" si="36"/>
        <v>#DIV/0!</v>
      </c>
      <c r="N128" s="188" t="e">
        <f t="shared" si="37"/>
        <v>#DIV/0!</v>
      </c>
      <c r="O128" s="188" t="e">
        <f>H128-K128</f>
        <v>#VALUE!</v>
      </c>
      <c r="P128" s="188" t="e">
        <f t="shared" si="38"/>
        <v>#VALUE!</v>
      </c>
      <c r="R128" s="192"/>
      <c r="S128" s="193" t="e">
        <f t="shared" si="29"/>
        <v>#DIV/0!</v>
      </c>
      <c r="T128" s="194">
        <f>SetPnt_P_5</f>
        <v>2000</v>
      </c>
    </row>
    <row r="129" spans="1:24" ht="15.6" customHeight="1" outlineLevel="1">
      <c r="A129" s="190">
        <f>SetPnt_P_5</f>
        <v>2000</v>
      </c>
      <c r="B129" s="186" t="e">
        <f>I74</f>
        <v>#VALUE!</v>
      </c>
      <c r="C129" s="186" t="e">
        <f>I81</f>
        <v>#DIV/0!</v>
      </c>
      <c r="D129" s="186" t="e">
        <f>I88</f>
        <v>#DIV/0!</v>
      </c>
      <c r="E129" s="186" t="e">
        <f t="shared" si="30"/>
        <v>#DIV/0!</v>
      </c>
      <c r="F129" s="187" t="s">
        <v>198</v>
      </c>
      <c r="G129" s="186" t="e">
        <f t="shared" si="31"/>
        <v>#DIV/0!</v>
      </c>
      <c r="H129" s="188" t="e">
        <f t="shared" si="32"/>
        <v>#VALUE!</v>
      </c>
      <c r="I129" s="188" t="e">
        <f t="shared" si="33"/>
        <v>#VALUE!</v>
      </c>
      <c r="J129" s="188"/>
      <c r="K129" s="188" t="e">
        <f t="shared" si="34"/>
        <v>#DIV/0!</v>
      </c>
      <c r="L129" s="188" t="e">
        <f t="shared" si="35"/>
        <v>#DIV/0!</v>
      </c>
      <c r="M129" s="188" t="e">
        <f t="shared" si="36"/>
        <v>#DIV/0!</v>
      </c>
      <c r="N129" s="188" t="e">
        <f t="shared" si="37"/>
        <v>#DIV/0!</v>
      </c>
      <c r="O129" s="188" t="e">
        <f>H129-K129</f>
        <v>#VALUE!</v>
      </c>
      <c r="P129" s="188" t="e">
        <f t="shared" si="38"/>
        <v>#VALUE!</v>
      </c>
      <c r="R129" s="182" t="s">
        <v>165</v>
      </c>
      <c r="S129" s="183" t="e">
        <f t="shared" ref="S129:S134" si="39">G124</f>
        <v>#DIV/0!</v>
      </c>
      <c r="T129" s="184">
        <f>SetPnt_P_0</f>
        <v>0</v>
      </c>
    </row>
    <row r="130" spans="1:24" outlineLevel="1">
      <c r="P130" s="136"/>
      <c r="R130" s="195"/>
      <c r="S130" s="183" t="e">
        <f t="shared" si="39"/>
        <v>#DIV/0!</v>
      </c>
      <c r="T130" s="189">
        <f>SetPnt_P_1</f>
        <v>400</v>
      </c>
    </row>
    <row r="131" spans="1:24" ht="18.600000000000001" customHeight="1" outlineLevel="1" thickBot="1">
      <c r="A131" s="87" t="s">
        <v>199</v>
      </c>
      <c r="P131" s="136"/>
      <c r="R131" s="195"/>
      <c r="S131" s="183" t="e">
        <f t="shared" si="39"/>
        <v>#DIV/0!</v>
      </c>
      <c r="T131" s="189">
        <f>SetPnt_P_2</f>
        <v>800</v>
      </c>
    </row>
    <row r="132" spans="1:24" ht="15" customHeight="1" outlineLevel="1" thickBot="1">
      <c r="A132" s="196" t="s">
        <v>200</v>
      </c>
      <c r="B132" s="197" t="s">
        <v>201</v>
      </c>
      <c r="C132" s="197" t="s">
        <v>202</v>
      </c>
      <c r="D132" s="197" t="s">
        <v>203</v>
      </c>
      <c r="E132" s="197" t="s">
        <v>204</v>
      </c>
      <c r="F132" s="197" t="s">
        <v>205</v>
      </c>
      <c r="G132" s="197" t="s">
        <v>206</v>
      </c>
      <c r="H132" s="197" t="s">
        <v>207</v>
      </c>
      <c r="I132" s="197" t="s">
        <v>205</v>
      </c>
      <c r="J132" s="197" t="s">
        <v>206</v>
      </c>
      <c r="K132" s="74"/>
      <c r="M132" s="152"/>
      <c r="N132" s="198" t="s">
        <v>203</v>
      </c>
      <c r="P132" s="136"/>
      <c r="R132" s="110"/>
      <c r="S132" s="183" t="e">
        <f t="shared" si="39"/>
        <v>#DIV/0!</v>
      </c>
      <c r="T132" s="189">
        <f>SetPnt_P_3</f>
        <v>1200</v>
      </c>
    </row>
    <row r="133" spans="1:24" outlineLevel="1">
      <c r="A133" s="5">
        <f>SetPnt_P_0</f>
        <v>0</v>
      </c>
      <c r="B133" s="199" t="e">
        <f t="shared" ref="B133:B138" si="40">L124*100 / (SQRT(2)*K124)</f>
        <v>#DIV/0!</v>
      </c>
      <c r="C133" s="199" t="e">
        <f t="shared" ref="C133:C138" si="41">M124*100 / (SQRT(2)*K124)</f>
        <v>#DIV/0!</v>
      </c>
      <c r="D133" s="199">
        <v>0.46899999999999997</v>
      </c>
      <c r="E133" s="199" t="e">
        <f t="shared" ref="E133:E138" si="42">ABS(O124)*100 / (SQRT(6)*I124)</f>
        <v>#VALUE!</v>
      </c>
      <c r="F133" s="199" t="e">
        <f t="shared" ref="F133:F138" si="43">SQRT((B133^2 + C133^2+D133^2+O124^2))</f>
        <v>#DIV/0!</v>
      </c>
      <c r="G133" s="200" t="e">
        <f t="shared" ref="G133:G138" si="44">F133*2</f>
        <v>#DIV/0!</v>
      </c>
      <c r="H133" s="201" t="e">
        <f t="shared" ref="H133:H138" si="45">ABS(P124)*100 / (SQRT(6)*H124)</f>
        <v>#VALUE!</v>
      </c>
      <c r="I133" s="199" t="e">
        <f t="shared" ref="I133:I138" si="46">SQRT((B133^2 + C133^2+H133^2+D133^2))</f>
        <v>#DIV/0!</v>
      </c>
      <c r="J133" s="199" t="e">
        <f t="shared" ref="J133:J138" si="47">I133*2</f>
        <v>#DIV/0!</v>
      </c>
      <c r="M133" s="152"/>
      <c r="N133" s="202">
        <v>0.46899999999999997</v>
      </c>
      <c r="P133" s="136"/>
      <c r="R133" s="110"/>
      <c r="S133" s="183" t="e">
        <f t="shared" si="39"/>
        <v>#DIV/0!</v>
      </c>
      <c r="T133" s="189">
        <f>SetPnt_P_4</f>
        <v>1600</v>
      </c>
    </row>
    <row r="134" spans="1:24" outlineLevel="1">
      <c r="A134" s="190">
        <f>SetPnt_P_1</f>
        <v>400</v>
      </c>
      <c r="B134" s="199" t="e">
        <f t="shared" si="40"/>
        <v>#DIV/0!</v>
      </c>
      <c r="C134" s="199" t="e">
        <f t="shared" si="41"/>
        <v>#DIV/0!</v>
      </c>
      <c r="D134" s="199">
        <v>0.109</v>
      </c>
      <c r="E134" s="199" t="e">
        <f t="shared" si="42"/>
        <v>#VALUE!</v>
      </c>
      <c r="F134" s="199" t="e">
        <f t="shared" si="43"/>
        <v>#DIV/0!</v>
      </c>
      <c r="G134" s="398" t="e">
        <f t="shared" si="44"/>
        <v>#DIV/0!</v>
      </c>
      <c r="H134" s="201" t="e">
        <f t="shared" si="45"/>
        <v>#VALUE!</v>
      </c>
      <c r="I134" s="199" t="e">
        <f t="shared" si="46"/>
        <v>#DIV/0!</v>
      </c>
      <c r="J134" s="203" t="e">
        <f t="shared" si="47"/>
        <v>#DIV/0!</v>
      </c>
      <c r="M134" s="152"/>
      <c r="N134" s="202">
        <v>0.46899999999999997</v>
      </c>
      <c r="P134" s="136"/>
      <c r="R134" s="110"/>
      <c r="S134" s="183" t="e">
        <f t="shared" si="39"/>
        <v>#DIV/0!</v>
      </c>
      <c r="T134" s="189">
        <f>SetPnt_P_5</f>
        <v>2000</v>
      </c>
    </row>
    <row r="135" spans="1:24" outlineLevel="1">
      <c r="A135" s="190">
        <f>SetPnt_P_2</f>
        <v>800</v>
      </c>
      <c r="B135" s="199" t="e">
        <f t="shared" si="40"/>
        <v>#DIV/0!</v>
      </c>
      <c r="C135" s="199" t="e">
        <f t="shared" si="41"/>
        <v>#DIV/0!</v>
      </c>
      <c r="D135" s="199">
        <v>0.109</v>
      </c>
      <c r="E135" s="199" t="e">
        <f t="shared" si="42"/>
        <v>#VALUE!</v>
      </c>
      <c r="F135" s="199" t="e">
        <f t="shared" si="43"/>
        <v>#DIV/0!</v>
      </c>
      <c r="G135" s="398" t="e">
        <f t="shared" si="44"/>
        <v>#DIV/0!</v>
      </c>
      <c r="H135" s="201" t="e">
        <f t="shared" si="45"/>
        <v>#VALUE!</v>
      </c>
      <c r="I135" s="199" t="e">
        <f t="shared" si="46"/>
        <v>#DIV/0!</v>
      </c>
      <c r="J135" s="203" t="e">
        <f t="shared" si="47"/>
        <v>#DIV/0!</v>
      </c>
      <c r="M135" s="152"/>
      <c r="N135" s="202">
        <v>0.109</v>
      </c>
      <c r="P135" s="136"/>
    </row>
    <row r="136" spans="1:24" outlineLevel="1">
      <c r="A136" s="190">
        <f>SetPnt_P_3</f>
        <v>1200</v>
      </c>
      <c r="B136" s="199" t="e">
        <f t="shared" si="40"/>
        <v>#DIV/0!</v>
      </c>
      <c r="C136" s="199" t="e">
        <f t="shared" si="41"/>
        <v>#DIV/0!</v>
      </c>
      <c r="D136" s="199">
        <v>0.109</v>
      </c>
      <c r="E136" s="199" t="e">
        <f t="shared" si="42"/>
        <v>#VALUE!</v>
      </c>
      <c r="F136" s="199" t="e">
        <f t="shared" si="43"/>
        <v>#DIV/0!</v>
      </c>
      <c r="G136" s="398" t="e">
        <f t="shared" si="44"/>
        <v>#DIV/0!</v>
      </c>
      <c r="H136" s="201" t="e">
        <f t="shared" si="45"/>
        <v>#VALUE!</v>
      </c>
      <c r="I136" s="199" t="e">
        <f t="shared" si="46"/>
        <v>#DIV/0!</v>
      </c>
      <c r="J136" s="203" t="e">
        <f t="shared" si="47"/>
        <v>#DIV/0!</v>
      </c>
      <c r="M136" s="152"/>
      <c r="N136" s="202">
        <v>0.109</v>
      </c>
      <c r="P136" s="136"/>
    </row>
    <row r="137" spans="1:24" outlineLevel="1">
      <c r="A137" s="190">
        <f>SetPnt_P_4</f>
        <v>1600</v>
      </c>
      <c r="B137" s="199" t="e">
        <f t="shared" si="40"/>
        <v>#DIV/0!</v>
      </c>
      <c r="C137" s="199" t="e">
        <f t="shared" si="41"/>
        <v>#DIV/0!</v>
      </c>
      <c r="D137" s="199">
        <v>0.108</v>
      </c>
      <c r="E137" s="199" t="e">
        <f t="shared" si="42"/>
        <v>#VALUE!</v>
      </c>
      <c r="F137" s="199" t="e">
        <f t="shared" si="43"/>
        <v>#DIV/0!</v>
      </c>
      <c r="G137" s="398" t="e">
        <f t="shared" si="44"/>
        <v>#DIV/0!</v>
      </c>
      <c r="H137" s="201" t="e">
        <f t="shared" si="45"/>
        <v>#VALUE!</v>
      </c>
      <c r="I137" s="199" t="e">
        <f t="shared" si="46"/>
        <v>#DIV/0!</v>
      </c>
      <c r="J137" s="203" t="e">
        <f t="shared" si="47"/>
        <v>#DIV/0!</v>
      </c>
      <c r="M137" s="152"/>
      <c r="N137" s="202">
        <v>0.108</v>
      </c>
      <c r="P137" s="136"/>
    </row>
    <row r="138" spans="1:24" outlineLevel="1">
      <c r="A138" s="190">
        <f>SetPnt_P_5</f>
        <v>2000</v>
      </c>
      <c r="B138" s="199" t="e">
        <f t="shared" si="40"/>
        <v>#DIV/0!</v>
      </c>
      <c r="C138" s="199" t="e">
        <f t="shared" si="41"/>
        <v>#DIV/0!</v>
      </c>
      <c r="D138" s="199">
        <v>9.8000000000000004E-2</v>
      </c>
      <c r="E138" s="199" t="e">
        <f t="shared" si="42"/>
        <v>#VALUE!</v>
      </c>
      <c r="F138" s="199" t="e">
        <f t="shared" si="43"/>
        <v>#DIV/0!</v>
      </c>
      <c r="G138" s="398" t="e">
        <f t="shared" si="44"/>
        <v>#DIV/0!</v>
      </c>
      <c r="H138" s="201" t="e">
        <f t="shared" si="45"/>
        <v>#VALUE!</v>
      </c>
      <c r="I138" s="199" t="e">
        <f t="shared" si="46"/>
        <v>#DIV/0!</v>
      </c>
      <c r="J138" s="203" t="e">
        <f t="shared" si="47"/>
        <v>#DIV/0!</v>
      </c>
      <c r="M138" s="152"/>
      <c r="N138" s="202">
        <v>9.8000000000000004E-2</v>
      </c>
    </row>
    <row r="140" spans="1:24" ht="25.8" customHeight="1">
      <c r="A140" s="61" t="s">
        <v>208</v>
      </c>
      <c r="B140" s="62"/>
      <c r="C140" s="62"/>
      <c r="D140" s="62"/>
      <c r="E140" s="62"/>
      <c r="F140" s="62"/>
      <c r="G140" s="62"/>
      <c r="H140" s="62"/>
      <c r="I140" s="62"/>
      <c r="J140" s="62"/>
      <c r="K140" s="62"/>
      <c r="L140" s="62"/>
      <c r="M140" s="62"/>
      <c r="N140" s="62"/>
      <c r="O140" s="62"/>
      <c r="P140" s="62"/>
      <c r="Q140" s="62"/>
      <c r="R140" s="62"/>
      <c r="S140" s="62"/>
      <c r="T140" s="62"/>
      <c r="U140" s="62"/>
      <c r="V140" s="62"/>
      <c r="W140" s="62"/>
      <c r="X140" s="62"/>
    </row>
    <row r="141" spans="1:24" outlineLevel="1"/>
    <row r="142" spans="1:24" ht="15.75" customHeight="1" outlineLevel="1" thickBot="1">
      <c r="B142" s="204" t="s">
        <v>209</v>
      </c>
      <c r="C142" s="205"/>
      <c r="D142" s="205"/>
      <c r="E142" s="205"/>
      <c r="F142" s="205"/>
    </row>
    <row r="143" spans="1:24" ht="14.25" customHeight="1" outlineLevel="1">
      <c r="B143" s="206" t="s">
        <v>210</v>
      </c>
      <c r="C143" s="207"/>
      <c r="D143" s="208"/>
    </row>
    <row r="144" spans="1:24" ht="14.25" customHeight="1" outlineLevel="1">
      <c r="B144" s="209"/>
      <c r="C144" s="210" t="s">
        <v>211</v>
      </c>
      <c r="D144" s="211" t="s">
        <v>212</v>
      </c>
    </row>
    <row r="145" spans="2:10" outlineLevel="1">
      <c r="B145" s="212" t="s">
        <v>213</v>
      </c>
      <c r="C145" s="213">
        <v>0</v>
      </c>
      <c r="D145" s="214">
        <f>$C$59/1000</f>
        <v>0</v>
      </c>
    </row>
    <row r="146" spans="2:10" ht="15" customHeight="1" outlineLevel="1" thickBot="1">
      <c r="B146" s="215" t="s">
        <v>214</v>
      </c>
      <c r="C146" s="216" t="e">
        <f>$B$117/1000</f>
        <v>#VALUE!</v>
      </c>
      <c r="D146" s="217" t="e">
        <f>$C$117/1000</f>
        <v>#VALUE!</v>
      </c>
    </row>
    <row r="147" spans="2:10" outlineLevel="1">
      <c r="B147" s="218"/>
      <c r="C147" s="219"/>
      <c r="D147" s="219"/>
    </row>
    <row r="148" spans="2:10" ht="15.75" customHeight="1" outlineLevel="1" thickBot="1">
      <c r="B148" s="220" t="s">
        <v>215</v>
      </c>
      <c r="C148" s="221"/>
      <c r="D148" s="221"/>
      <c r="E148" s="221"/>
      <c r="F148" s="221"/>
    </row>
    <row r="149" spans="2:10" ht="14.25" customHeight="1" outlineLevel="1">
      <c r="B149" s="206" t="s">
        <v>216</v>
      </c>
      <c r="C149" s="207"/>
      <c r="D149" s="208"/>
    </row>
    <row r="150" spans="2:10" ht="14.25" customHeight="1" outlineLevel="1">
      <c r="B150" s="209"/>
      <c r="C150" s="210" t="s">
        <v>217</v>
      </c>
      <c r="D150" s="211" t="s">
        <v>218</v>
      </c>
    </row>
    <row r="151" spans="2:10" outlineLevel="1">
      <c r="B151" s="212" t="s">
        <v>213</v>
      </c>
      <c r="C151" s="213">
        <v>0</v>
      </c>
      <c r="D151" s="214" t="e">
        <f>$G$118*1000</f>
        <v>#VALUE!</v>
      </c>
      <c r="F151" s="222"/>
    </row>
    <row r="152" spans="2:10" ht="15" customHeight="1" outlineLevel="1" thickBot="1">
      <c r="B152" s="215" t="s">
        <v>214</v>
      </c>
      <c r="C152" s="216" t="e">
        <f>$B$118*1000</f>
        <v>#VALUE!</v>
      </c>
      <c r="D152" s="217" t="e">
        <f>$C$118*1000</f>
        <v>#VALUE!</v>
      </c>
      <c r="F152" s="222"/>
    </row>
    <row r="153" spans="2:10" outlineLevel="1"/>
    <row r="154" spans="2:10" ht="15" customHeight="1" outlineLevel="1" thickBot="1">
      <c r="B154" s="223" t="s">
        <v>219</v>
      </c>
    </row>
    <row r="155" spans="2:10" ht="14.25" customHeight="1" outlineLevel="1" thickBot="1">
      <c r="B155" s="224" t="s">
        <v>200</v>
      </c>
      <c r="C155" s="225" t="s">
        <v>191</v>
      </c>
      <c r="D155" s="225" t="s">
        <v>191</v>
      </c>
      <c r="E155" s="225" t="s">
        <v>191</v>
      </c>
      <c r="F155" s="225" t="s">
        <v>192</v>
      </c>
      <c r="G155" s="226" t="s">
        <v>192</v>
      </c>
      <c r="H155" s="227"/>
      <c r="I155" s="487" t="s">
        <v>200</v>
      </c>
      <c r="J155" s="472" t="s">
        <v>220</v>
      </c>
    </row>
    <row r="156" spans="2:10" outlineLevel="1">
      <c r="B156" s="228" t="s">
        <v>58</v>
      </c>
      <c r="C156" s="229" t="s">
        <v>221</v>
      </c>
      <c r="D156" s="229" t="s">
        <v>221</v>
      </c>
      <c r="E156" s="229" t="s">
        <v>221</v>
      </c>
      <c r="F156" s="229" t="s">
        <v>221</v>
      </c>
      <c r="G156" s="230" t="s">
        <v>221</v>
      </c>
      <c r="H156" s="231"/>
      <c r="I156" s="488"/>
      <c r="J156" s="473"/>
    </row>
    <row r="157" spans="2:10" outlineLevel="1">
      <c r="B157" s="232">
        <f>SetPnt_P_0</f>
        <v>0</v>
      </c>
      <c r="C157" s="233" t="e">
        <f>B124*1000</f>
        <v>#VALUE!</v>
      </c>
      <c r="D157" s="233" t="e">
        <f>C124*1000</f>
        <v>#DIV/0!</v>
      </c>
      <c r="E157" s="233" t="e">
        <f>D124*1000</f>
        <v>#DIV/0!</v>
      </c>
      <c r="F157" s="233" t="e">
        <f>E124*1000</f>
        <v>#DIV/0!</v>
      </c>
      <c r="G157" s="234" t="e">
        <f t="shared" ref="G157:G162" si="48">G124*1000</f>
        <v>#DIV/0!</v>
      </c>
      <c r="H157" s="235"/>
      <c r="I157" s="236">
        <f>SetPnt_P_1</f>
        <v>400</v>
      </c>
      <c r="J157" s="237" t="e">
        <f>J134</f>
        <v>#DIV/0!</v>
      </c>
    </row>
    <row r="158" spans="2:10" outlineLevel="1">
      <c r="B158" s="236">
        <f>SetPnt_P_1</f>
        <v>400</v>
      </c>
      <c r="C158" s="238" t="str">
        <f t="shared" ref="C158:E161" si="49">B125</f>
        <v>-</v>
      </c>
      <c r="D158" s="238" t="str">
        <f t="shared" si="49"/>
        <v>-</v>
      </c>
      <c r="E158" s="238" t="str">
        <f t="shared" si="49"/>
        <v>-</v>
      </c>
      <c r="F158" s="239" t="e">
        <f>E125*1000</f>
        <v>#DIV/0!</v>
      </c>
      <c r="G158" s="240" t="e">
        <f t="shared" si="48"/>
        <v>#DIV/0!</v>
      </c>
      <c r="H158" s="235"/>
      <c r="I158" s="236">
        <f>SetPnt_P_2</f>
        <v>800</v>
      </c>
      <c r="J158" s="237" t="e">
        <f>J135</f>
        <v>#DIV/0!</v>
      </c>
    </row>
    <row r="159" spans="2:10" outlineLevel="1">
      <c r="B159" s="236">
        <f>SetPnt_P_2</f>
        <v>800</v>
      </c>
      <c r="C159" s="238" t="str">
        <f t="shared" si="49"/>
        <v>-</v>
      </c>
      <c r="D159" s="238" t="str">
        <f t="shared" si="49"/>
        <v>-</v>
      </c>
      <c r="E159" s="238" t="str">
        <f t="shared" si="49"/>
        <v>-</v>
      </c>
      <c r="F159" s="239" t="e">
        <f>E126*1000</f>
        <v>#DIV/0!</v>
      </c>
      <c r="G159" s="240" t="e">
        <f t="shared" si="48"/>
        <v>#DIV/0!</v>
      </c>
      <c r="H159" s="235"/>
      <c r="I159" s="236">
        <f>SetPnt_P_3</f>
        <v>1200</v>
      </c>
      <c r="J159" s="237" t="e">
        <f>J136</f>
        <v>#DIV/0!</v>
      </c>
    </row>
    <row r="160" spans="2:10" outlineLevel="1">
      <c r="B160" s="236">
        <f>SetPnt_P_3</f>
        <v>1200</v>
      </c>
      <c r="C160" s="238" t="str">
        <f t="shared" si="49"/>
        <v>-</v>
      </c>
      <c r="D160" s="238" t="str">
        <f t="shared" si="49"/>
        <v>-</v>
      </c>
      <c r="E160" s="238" t="str">
        <f t="shared" si="49"/>
        <v>-</v>
      </c>
      <c r="F160" s="239" t="e">
        <f>E127*1000</f>
        <v>#DIV/0!</v>
      </c>
      <c r="G160" s="240" t="e">
        <f t="shared" si="48"/>
        <v>#DIV/0!</v>
      </c>
      <c r="H160" s="235"/>
      <c r="I160" s="236">
        <f>SetPnt_P_4</f>
        <v>1600</v>
      </c>
      <c r="J160" s="237" t="e">
        <f>J137</f>
        <v>#DIV/0!</v>
      </c>
    </row>
    <row r="161" spans="1:24" ht="15" customHeight="1" outlineLevel="1" thickBot="1">
      <c r="B161" s="236">
        <f>SetPnt_P_4</f>
        <v>1600</v>
      </c>
      <c r="C161" s="238" t="str">
        <f t="shared" si="49"/>
        <v>-</v>
      </c>
      <c r="D161" s="238" t="str">
        <f t="shared" si="49"/>
        <v>-</v>
      </c>
      <c r="E161" s="238" t="str">
        <f t="shared" si="49"/>
        <v>-</v>
      </c>
      <c r="F161" s="239" t="e">
        <f>E128*1000</f>
        <v>#DIV/0!</v>
      </c>
      <c r="G161" s="240" t="e">
        <f t="shared" si="48"/>
        <v>#DIV/0!</v>
      </c>
      <c r="H161" s="235"/>
      <c r="I161" s="241">
        <f>SetPnt_P_5</f>
        <v>2000</v>
      </c>
      <c r="J161" s="242" t="e">
        <f>J138</f>
        <v>#DIV/0!</v>
      </c>
    </row>
    <row r="162" spans="1:24" ht="15" customHeight="1" outlineLevel="1" thickBot="1">
      <c r="B162" s="241">
        <f>SetPnt_P_5</f>
        <v>2000</v>
      </c>
      <c r="C162" s="243" t="e">
        <f>B129*1000</f>
        <v>#VALUE!</v>
      </c>
      <c r="D162" s="243" t="e">
        <f>C129*1000</f>
        <v>#DIV/0!</v>
      </c>
      <c r="E162" s="243" t="e">
        <f>D129*1000</f>
        <v>#DIV/0!</v>
      </c>
      <c r="F162" s="243" t="e">
        <f>E129*1000</f>
        <v>#DIV/0!</v>
      </c>
      <c r="G162" s="244" t="e">
        <f t="shared" si="48"/>
        <v>#DIV/0!</v>
      </c>
      <c r="H162" s="235"/>
      <c r="I162" s="245"/>
      <c r="J162" s="245"/>
    </row>
    <row r="163" spans="1:24" outlineLevel="1"/>
    <row r="165" spans="1:24" ht="25.8" customHeight="1">
      <c r="A165" s="61" t="s">
        <v>222</v>
      </c>
      <c r="B165" s="62"/>
      <c r="C165" s="62"/>
      <c r="D165" s="62"/>
      <c r="E165" s="62"/>
      <c r="F165" s="62"/>
      <c r="G165" s="62"/>
      <c r="H165" s="62"/>
      <c r="I165" s="62"/>
      <c r="J165" s="62"/>
      <c r="K165" s="62"/>
      <c r="L165" s="62"/>
      <c r="M165" s="62"/>
      <c r="N165" s="62"/>
      <c r="O165" s="62"/>
      <c r="P165" s="62"/>
      <c r="Q165" s="62"/>
      <c r="R165" s="62"/>
      <c r="S165" s="62"/>
      <c r="T165" s="62"/>
      <c r="U165" s="62"/>
      <c r="V165" s="62"/>
      <c r="W165" s="62"/>
      <c r="X165" s="62"/>
    </row>
    <row r="166" spans="1:24" ht="15" customHeight="1" outlineLevel="1" thickBot="1"/>
    <row r="167" spans="1:24" ht="18.600000000000001" customHeight="1" outlineLevel="1" thickBot="1">
      <c r="A167" s="148" t="s">
        <v>223</v>
      </c>
      <c r="B167" s="149" t="s">
        <v>138</v>
      </c>
      <c r="C167" s="149" t="s">
        <v>139</v>
      </c>
      <c r="D167" s="150" t="s">
        <v>140</v>
      </c>
      <c r="E167" s="151"/>
      <c r="F167" s="148" t="s">
        <v>223</v>
      </c>
      <c r="G167" s="149" t="s">
        <v>24</v>
      </c>
      <c r="H167" s="150" t="s">
        <v>25</v>
      </c>
      <c r="M167" s="152"/>
      <c r="N167" s="152"/>
      <c r="O167" s="152"/>
    </row>
    <row r="168" spans="1:24" ht="15" customHeight="1" outlineLevel="1" thickTop="1">
      <c r="A168" s="153" t="str">
        <f>CONCATENATE("Cert [",EUnits,"/V]")</f>
        <v>Cert [Nm/V]</v>
      </c>
      <c r="B168" s="154" t="e">
        <f>'Check Q1 vs Q3 '!P17</f>
        <v>#VALUE!</v>
      </c>
      <c r="C168" s="154" t="e">
        <f>'Check Q1 vs Q3 '!Q17</f>
        <v>#VALUE!</v>
      </c>
      <c r="D168" s="154" t="e">
        <f>'Check Q1 vs Q3 '!R17</f>
        <v>#VALUE!</v>
      </c>
      <c r="F168" s="156" t="str">
        <f>CONCATENATE("Cert [",EUnits,"/V]")</f>
        <v>Cert [Nm/V]</v>
      </c>
      <c r="G168" s="157" t="e">
        <f>'Check Q1 vs Q3 '!P13</f>
        <v>#DIV/0!</v>
      </c>
      <c r="H168" s="158" t="e">
        <f>'Check Q1 vs Q3 '!Q13</f>
        <v>#DIV/0!</v>
      </c>
      <c r="O168" s="152"/>
    </row>
    <row r="169" spans="1:24" ht="15" customHeight="1" outlineLevel="1" thickBot="1">
      <c r="A169" s="113" t="str">
        <f>CONCATENATE("Cert [V/",EUnits,"]")</f>
        <v>Cert [V/Nm]</v>
      </c>
      <c r="B169" s="159" t="e">
        <f>'Check Q1 vs Q3 '!P18</f>
        <v>#VALUE!</v>
      </c>
      <c r="C169" s="159" t="e">
        <f>'Check Q1 vs Q3 '!Q18</f>
        <v>#VALUE!</v>
      </c>
      <c r="D169" s="160" t="e">
        <f>'Check Q1 vs Q3 '!R18</f>
        <v>#VALUE!</v>
      </c>
      <c r="F169" s="113" t="str">
        <f>CONCATENATE("Cert [V/",EUnits,"]")</f>
        <v>Cert [V/Nm]</v>
      </c>
      <c r="G169" s="161" t="e">
        <f>'Check Q1 vs Q3 '!P14</f>
        <v>#DIV/0!</v>
      </c>
      <c r="H169" s="162" t="e">
        <f>'Check Q1 vs Q3 '!Q14</f>
        <v>#DIV/0!</v>
      </c>
      <c r="O169" s="152"/>
    </row>
    <row r="170" spans="1:24" outlineLevel="1"/>
    <row r="171" spans="1:24" ht="18.600000000000001" customHeight="1" outlineLevel="1" thickBot="1">
      <c r="A171" s="87" t="s">
        <v>224</v>
      </c>
      <c r="B171" s="163"/>
      <c r="C171" s="163"/>
      <c r="D171" s="163"/>
      <c r="P171" s="152"/>
    </row>
    <row r="172" spans="1:24" ht="16.2" customHeight="1" outlineLevel="1" thickBot="1">
      <c r="A172" s="164" t="s">
        <v>178</v>
      </c>
      <c r="B172" s="165" t="s">
        <v>179</v>
      </c>
      <c r="C172" s="166" t="s">
        <v>179</v>
      </c>
      <c r="D172" s="167" t="s">
        <v>179</v>
      </c>
      <c r="E172" s="168" t="s">
        <v>180</v>
      </c>
      <c r="F172" s="166" t="s">
        <v>181</v>
      </c>
      <c r="G172" s="167" t="s">
        <v>182</v>
      </c>
      <c r="H172" s="484" t="s">
        <v>183</v>
      </c>
      <c r="I172" s="486" t="s">
        <v>184</v>
      </c>
      <c r="J172" s="169"/>
      <c r="K172" s="480" t="s">
        <v>185</v>
      </c>
      <c r="L172" s="480" t="s">
        <v>186</v>
      </c>
      <c r="M172" s="480" t="s">
        <v>187</v>
      </c>
      <c r="N172" s="480" t="s">
        <v>188</v>
      </c>
      <c r="O172" s="480" t="s">
        <v>189</v>
      </c>
      <c r="P172" s="480" t="s">
        <v>190</v>
      </c>
      <c r="R172" s="476" t="s">
        <v>121</v>
      </c>
      <c r="S172" s="477"/>
      <c r="T172" s="477"/>
    </row>
    <row r="173" spans="1:24" ht="29.4" customHeight="1" outlineLevel="1" thickTop="1">
      <c r="A173" s="170"/>
      <c r="B173" s="171" t="s">
        <v>191</v>
      </c>
      <c r="C173" s="172" t="s">
        <v>191</v>
      </c>
      <c r="D173" s="173" t="s">
        <v>191</v>
      </c>
      <c r="E173" s="174" t="s">
        <v>192</v>
      </c>
      <c r="F173" s="172" t="s">
        <v>193</v>
      </c>
      <c r="G173" s="173" t="s">
        <v>192</v>
      </c>
      <c r="H173" s="485"/>
      <c r="I173" s="464"/>
      <c r="J173" s="169"/>
      <c r="K173" s="464"/>
      <c r="L173" s="464"/>
      <c r="M173" s="464"/>
      <c r="N173" s="464"/>
      <c r="O173" s="464"/>
      <c r="P173" s="464"/>
      <c r="R173" s="175"/>
      <c r="S173" s="176" t="s">
        <v>123</v>
      </c>
      <c r="T173" s="176" t="s">
        <v>194</v>
      </c>
    </row>
    <row r="174" spans="1:24" ht="16.2" customHeight="1" outlineLevel="1" thickBot="1">
      <c r="A174" s="177" t="s">
        <v>195</v>
      </c>
      <c r="B174" s="178" t="s">
        <v>196</v>
      </c>
      <c r="C174" s="179" t="s">
        <v>196</v>
      </c>
      <c r="D174" s="180" t="s">
        <v>196</v>
      </c>
      <c r="E174" s="181" t="s">
        <v>196</v>
      </c>
      <c r="F174" s="179" t="s">
        <v>196</v>
      </c>
      <c r="G174" s="180" t="s">
        <v>196</v>
      </c>
      <c r="H174" s="485"/>
      <c r="I174" s="464"/>
      <c r="J174" s="169"/>
      <c r="K174" s="464"/>
      <c r="L174" s="464"/>
      <c r="M174" s="464"/>
      <c r="N174" s="464"/>
      <c r="O174" s="464"/>
      <c r="P174" s="464"/>
      <c r="R174" s="182" t="s">
        <v>197</v>
      </c>
      <c r="S174" s="183" t="e">
        <f t="shared" ref="S174:S179" si="50">E175</f>
        <v>#DIV/0!</v>
      </c>
      <c r="T174" s="184">
        <f>SetPnt_N_0</f>
        <v>0</v>
      </c>
    </row>
    <row r="175" spans="1:24" ht="15.6" customHeight="1" outlineLevel="1">
      <c r="A175" s="185">
        <f t="shared" ref="A175:G180" si="51">A124</f>
        <v>0</v>
      </c>
      <c r="B175" s="248" t="e">
        <f t="shared" si="51"/>
        <v>#VALUE!</v>
      </c>
      <c r="C175" s="248" t="e">
        <f t="shared" si="51"/>
        <v>#DIV/0!</v>
      </c>
      <c r="D175" s="248" t="e">
        <f t="shared" si="51"/>
        <v>#DIV/0!</v>
      </c>
      <c r="E175" s="248" t="e">
        <f t="shared" si="51"/>
        <v>#DIV/0!</v>
      </c>
      <c r="F175" s="187" t="str">
        <f t="shared" si="51"/>
        <v>x</v>
      </c>
      <c r="G175" s="248" t="e">
        <f t="shared" si="51"/>
        <v>#DIV/0!</v>
      </c>
      <c r="H175" s="188" t="e">
        <f t="shared" ref="H175:H180" si="52">$B$169*A175^2 + $C$169*A175+$D$169</f>
        <v>#VALUE!</v>
      </c>
      <c r="I175" s="188" t="e">
        <f t="shared" ref="I175:I180" si="53">A175*$G$169+$H$169</f>
        <v>#DIV/0!</v>
      </c>
      <c r="J175" s="188"/>
      <c r="K175" s="188" t="e">
        <f t="shared" ref="K175:K180" si="54">AVERAGE(E175:G175)</f>
        <v>#DIV/0!</v>
      </c>
      <c r="L175" s="188" t="e">
        <f t="shared" ref="L175:L180" si="55">ABS(E175-G175)</f>
        <v>#DIV/0!</v>
      </c>
      <c r="M175" s="188" t="e">
        <f t="shared" ref="M175:M180" si="56">SQRT((E175-K175)^2+(G175-K175)^2)</f>
        <v>#DIV/0!</v>
      </c>
      <c r="N175" s="188" t="e">
        <f t="shared" ref="N175:N180" si="57">(ABS(E175-F175) )</f>
        <v>#DIV/0!</v>
      </c>
      <c r="O175" s="188" t="e">
        <f t="shared" ref="O175:O180" si="58">I175-K175</f>
        <v>#DIV/0!</v>
      </c>
      <c r="P175" s="188" t="e">
        <f t="shared" ref="P175:P180" si="59">H175-K175</f>
        <v>#VALUE!</v>
      </c>
      <c r="R175" s="182"/>
      <c r="S175" s="183" t="e">
        <f t="shared" si="50"/>
        <v>#DIV/0!</v>
      </c>
      <c r="T175" s="189">
        <f>SetPnt_N_1</f>
        <v>-400</v>
      </c>
    </row>
    <row r="176" spans="1:24" ht="15.6" customHeight="1" outlineLevel="1">
      <c r="A176" s="190">
        <f t="shared" si="51"/>
        <v>400</v>
      </c>
      <c r="B176" s="249" t="str">
        <f t="shared" si="51"/>
        <v>-</v>
      </c>
      <c r="C176" s="249" t="str">
        <f t="shared" si="51"/>
        <v>-</v>
      </c>
      <c r="D176" s="249" t="str">
        <f t="shared" si="51"/>
        <v>-</v>
      </c>
      <c r="E176" s="248" t="e">
        <f t="shared" si="51"/>
        <v>#DIV/0!</v>
      </c>
      <c r="F176" s="187" t="str">
        <f t="shared" si="51"/>
        <v>x</v>
      </c>
      <c r="G176" s="248" t="e">
        <f t="shared" si="51"/>
        <v>#DIV/0!</v>
      </c>
      <c r="H176" s="188" t="e">
        <f t="shared" si="52"/>
        <v>#VALUE!</v>
      </c>
      <c r="I176" s="188" t="e">
        <f t="shared" si="53"/>
        <v>#DIV/0!</v>
      </c>
      <c r="J176" s="188"/>
      <c r="K176" s="188" t="e">
        <f t="shared" si="54"/>
        <v>#DIV/0!</v>
      </c>
      <c r="L176" s="188" t="e">
        <f t="shared" si="55"/>
        <v>#DIV/0!</v>
      </c>
      <c r="M176" s="188" t="e">
        <f t="shared" si="56"/>
        <v>#DIV/0!</v>
      </c>
      <c r="N176" s="188" t="e">
        <f t="shared" si="57"/>
        <v>#DIV/0!</v>
      </c>
      <c r="O176" s="188" t="e">
        <f t="shared" si="58"/>
        <v>#DIV/0!</v>
      </c>
      <c r="P176" s="188" t="e">
        <f t="shared" si="59"/>
        <v>#VALUE!</v>
      </c>
      <c r="R176" s="182"/>
      <c r="S176" s="183" t="e">
        <f t="shared" si="50"/>
        <v>#DIV/0!</v>
      </c>
      <c r="T176" s="189">
        <f>SetPnt_N_2</f>
        <v>-800</v>
      </c>
    </row>
    <row r="177" spans="1:20" ht="15.6" customHeight="1" outlineLevel="1">
      <c r="A177" s="190">
        <f t="shared" si="51"/>
        <v>800</v>
      </c>
      <c r="B177" s="249" t="str">
        <f t="shared" si="51"/>
        <v>-</v>
      </c>
      <c r="C177" s="249" t="str">
        <f t="shared" si="51"/>
        <v>-</v>
      </c>
      <c r="D177" s="249" t="str">
        <f t="shared" si="51"/>
        <v>-</v>
      </c>
      <c r="E177" s="248" t="e">
        <f t="shared" si="51"/>
        <v>#DIV/0!</v>
      </c>
      <c r="F177" s="187" t="str">
        <f t="shared" si="51"/>
        <v>x</v>
      </c>
      <c r="G177" s="248" t="e">
        <f t="shared" si="51"/>
        <v>#DIV/0!</v>
      </c>
      <c r="H177" s="188" t="e">
        <f t="shared" si="52"/>
        <v>#VALUE!</v>
      </c>
      <c r="I177" s="188" t="e">
        <f t="shared" si="53"/>
        <v>#DIV/0!</v>
      </c>
      <c r="J177" s="188"/>
      <c r="K177" s="188" t="e">
        <f t="shared" si="54"/>
        <v>#DIV/0!</v>
      </c>
      <c r="L177" s="188" t="e">
        <f t="shared" si="55"/>
        <v>#DIV/0!</v>
      </c>
      <c r="M177" s="188" t="e">
        <f t="shared" si="56"/>
        <v>#DIV/0!</v>
      </c>
      <c r="N177" s="188" t="e">
        <f t="shared" si="57"/>
        <v>#DIV/0!</v>
      </c>
      <c r="O177" s="188" t="e">
        <f t="shared" si="58"/>
        <v>#DIV/0!</v>
      </c>
      <c r="P177" s="188" t="e">
        <f t="shared" si="59"/>
        <v>#VALUE!</v>
      </c>
      <c r="R177" s="182"/>
      <c r="S177" s="183" t="e">
        <f t="shared" si="50"/>
        <v>#DIV/0!</v>
      </c>
      <c r="T177" s="189">
        <f>SetPnt_N_3</f>
        <v>-1200</v>
      </c>
    </row>
    <row r="178" spans="1:20" ht="15.6" customHeight="1" outlineLevel="1">
      <c r="A178" s="190">
        <f t="shared" si="51"/>
        <v>1200</v>
      </c>
      <c r="B178" s="249" t="str">
        <f t="shared" si="51"/>
        <v>-</v>
      </c>
      <c r="C178" s="249" t="str">
        <f t="shared" si="51"/>
        <v>-</v>
      </c>
      <c r="D178" s="249" t="str">
        <f t="shared" si="51"/>
        <v>-</v>
      </c>
      <c r="E178" s="248" t="e">
        <f t="shared" si="51"/>
        <v>#DIV/0!</v>
      </c>
      <c r="F178" s="187" t="str">
        <f t="shared" si="51"/>
        <v>x</v>
      </c>
      <c r="G178" s="248" t="e">
        <f t="shared" si="51"/>
        <v>#DIV/0!</v>
      </c>
      <c r="H178" s="188" t="e">
        <f t="shared" si="52"/>
        <v>#VALUE!</v>
      </c>
      <c r="I178" s="188" t="e">
        <f t="shared" si="53"/>
        <v>#DIV/0!</v>
      </c>
      <c r="J178" s="188"/>
      <c r="K178" s="188" t="e">
        <f t="shared" si="54"/>
        <v>#DIV/0!</v>
      </c>
      <c r="L178" s="188" t="e">
        <f t="shared" si="55"/>
        <v>#DIV/0!</v>
      </c>
      <c r="M178" s="188" t="e">
        <f t="shared" si="56"/>
        <v>#DIV/0!</v>
      </c>
      <c r="N178" s="188" t="e">
        <f t="shared" si="57"/>
        <v>#DIV/0!</v>
      </c>
      <c r="O178" s="188" t="e">
        <f t="shared" si="58"/>
        <v>#DIV/0!</v>
      </c>
      <c r="P178" s="188" t="e">
        <f t="shared" si="59"/>
        <v>#VALUE!</v>
      </c>
      <c r="R178" s="182"/>
      <c r="S178" s="183" t="e">
        <f t="shared" si="50"/>
        <v>#DIV/0!</v>
      </c>
      <c r="T178" s="189">
        <f>SetPnt_N_4</f>
        <v>-1600</v>
      </c>
    </row>
    <row r="179" spans="1:20" ht="15.6" customHeight="1" outlineLevel="1">
      <c r="A179" s="190">
        <f t="shared" si="51"/>
        <v>1600</v>
      </c>
      <c r="B179" s="249" t="str">
        <f t="shared" si="51"/>
        <v>-</v>
      </c>
      <c r="C179" s="249" t="str">
        <f t="shared" si="51"/>
        <v>-</v>
      </c>
      <c r="D179" s="249" t="str">
        <f t="shared" si="51"/>
        <v>-</v>
      </c>
      <c r="E179" s="248" t="e">
        <f t="shared" si="51"/>
        <v>#DIV/0!</v>
      </c>
      <c r="F179" s="187" t="str">
        <f t="shared" si="51"/>
        <v>x</v>
      </c>
      <c r="G179" s="248" t="e">
        <f t="shared" si="51"/>
        <v>#DIV/0!</v>
      </c>
      <c r="H179" s="188" t="e">
        <f t="shared" si="52"/>
        <v>#VALUE!</v>
      </c>
      <c r="I179" s="188" t="e">
        <f t="shared" si="53"/>
        <v>#DIV/0!</v>
      </c>
      <c r="J179" s="188"/>
      <c r="K179" s="188" t="e">
        <f t="shared" si="54"/>
        <v>#DIV/0!</v>
      </c>
      <c r="L179" s="188" t="e">
        <f t="shared" si="55"/>
        <v>#DIV/0!</v>
      </c>
      <c r="M179" s="188" t="e">
        <f t="shared" si="56"/>
        <v>#DIV/0!</v>
      </c>
      <c r="N179" s="188" t="e">
        <f t="shared" si="57"/>
        <v>#DIV/0!</v>
      </c>
      <c r="O179" s="188" t="e">
        <f t="shared" si="58"/>
        <v>#DIV/0!</v>
      </c>
      <c r="P179" s="188" t="e">
        <f t="shared" si="59"/>
        <v>#VALUE!</v>
      </c>
      <c r="R179" s="192"/>
      <c r="S179" s="193" t="e">
        <f t="shared" si="50"/>
        <v>#DIV/0!</v>
      </c>
      <c r="T179" s="189">
        <f>SetPnt_N_5</f>
        <v>-2000</v>
      </c>
    </row>
    <row r="180" spans="1:20" ht="15.6" customHeight="1" outlineLevel="1">
      <c r="A180" s="190">
        <f t="shared" si="51"/>
        <v>2000</v>
      </c>
      <c r="B180" s="248" t="e">
        <f t="shared" si="51"/>
        <v>#VALUE!</v>
      </c>
      <c r="C180" s="248" t="e">
        <f t="shared" si="51"/>
        <v>#DIV/0!</v>
      </c>
      <c r="D180" s="248" t="e">
        <f t="shared" si="51"/>
        <v>#DIV/0!</v>
      </c>
      <c r="E180" s="248" t="e">
        <f t="shared" si="51"/>
        <v>#DIV/0!</v>
      </c>
      <c r="F180" s="187" t="str">
        <f t="shared" si="51"/>
        <v>x</v>
      </c>
      <c r="G180" s="248" t="e">
        <f t="shared" si="51"/>
        <v>#DIV/0!</v>
      </c>
      <c r="H180" s="188" t="e">
        <f t="shared" si="52"/>
        <v>#VALUE!</v>
      </c>
      <c r="I180" s="188" t="e">
        <f t="shared" si="53"/>
        <v>#DIV/0!</v>
      </c>
      <c r="J180" s="188"/>
      <c r="K180" s="188" t="e">
        <f t="shared" si="54"/>
        <v>#DIV/0!</v>
      </c>
      <c r="L180" s="188" t="e">
        <f t="shared" si="55"/>
        <v>#DIV/0!</v>
      </c>
      <c r="M180" s="188" t="e">
        <f t="shared" si="56"/>
        <v>#DIV/0!</v>
      </c>
      <c r="N180" s="188" t="e">
        <f t="shared" si="57"/>
        <v>#DIV/0!</v>
      </c>
      <c r="O180" s="188" t="e">
        <f t="shared" si="58"/>
        <v>#DIV/0!</v>
      </c>
      <c r="P180" s="188" t="e">
        <f t="shared" si="59"/>
        <v>#VALUE!</v>
      </c>
      <c r="R180" s="182" t="s">
        <v>165</v>
      </c>
      <c r="S180" s="183" t="e">
        <f t="shared" ref="S180:S185" si="60">G175</f>
        <v>#DIV/0!</v>
      </c>
      <c r="T180" s="184">
        <f>SetPnt_N_0</f>
        <v>0</v>
      </c>
    </row>
    <row r="181" spans="1:20" outlineLevel="1">
      <c r="P181" s="136"/>
      <c r="R181" s="195"/>
      <c r="S181" s="183" t="e">
        <f t="shared" si="60"/>
        <v>#DIV/0!</v>
      </c>
      <c r="T181" s="189">
        <f>SetPnt_N_1</f>
        <v>-400</v>
      </c>
    </row>
    <row r="182" spans="1:20" ht="18.600000000000001" customHeight="1" outlineLevel="1" thickBot="1">
      <c r="A182" s="87" t="s">
        <v>225</v>
      </c>
      <c r="P182" s="136"/>
      <c r="R182" s="195"/>
      <c r="S182" s="183" t="e">
        <f t="shared" si="60"/>
        <v>#DIV/0!</v>
      </c>
      <c r="T182" s="189">
        <f>SetPnt_N_2</f>
        <v>-800</v>
      </c>
    </row>
    <row r="183" spans="1:20" ht="15" customHeight="1" outlineLevel="1" thickBot="1">
      <c r="A183" s="250" t="s">
        <v>200</v>
      </c>
      <c r="B183" s="198" t="s">
        <v>201</v>
      </c>
      <c r="C183" s="198" t="s">
        <v>202</v>
      </c>
      <c r="D183" s="198" t="s">
        <v>203</v>
      </c>
      <c r="E183" s="198" t="s">
        <v>204</v>
      </c>
      <c r="F183" s="198" t="s">
        <v>205</v>
      </c>
      <c r="G183" s="198" t="s">
        <v>206</v>
      </c>
      <c r="H183" s="198" t="s">
        <v>207</v>
      </c>
      <c r="I183" s="198" t="s">
        <v>205</v>
      </c>
      <c r="J183" s="198" t="s">
        <v>206</v>
      </c>
      <c r="K183" s="74"/>
      <c r="M183" s="152"/>
      <c r="N183" s="198" t="s">
        <v>203</v>
      </c>
      <c r="P183" s="136"/>
      <c r="R183" s="110"/>
      <c r="S183" s="183" t="e">
        <f t="shared" si="60"/>
        <v>#DIV/0!</v>
      </c>
      <c r="T183" s="189">
        <f>SetPnt_N_3</f>
        <v>-1200</v>
      </c>
    </row>
    <row r="184" spans="1:20" outlineLevel="1">
      <c r="A184" s="190">
        <f t="shared" ref="A184:A189" si="61">A175</f>
        <v>0</v>
      </c>
      <c r="B184" s="199" t="e">
        <f t="shared" ref="B184:B189" si="62">L175*100 / (SQRT(2)*K175)</f>
        <v>#DIV/0!</v>
      </c>
      <c r="C184" s="199" t="e">
        <f t="shared" ref="C184:C189" si="63">M175*100 / (SQRT(2)*K175)</f>
        <v>#DIV/0!</v>
      </c>
      <c r="D184" s="199">
        <v>0.46899999999999997</v>
      </c>
      <c r="E184" s="199" t="e">
        <f t="shared" ref="E184:E189" si="64">ABS(O175)*100 / (SQRT(6)*I175)</f>
        <v>#DIV/0!</v>
      </c>
      <c r="F184" s="199" t="e">
        <f t="shared" ref="F184:F189" si="65">SQRT((B184^2 + C184^2+D184^2+E184^2))</f>
        <v>#DIV/0!</v>
      </c>
      <c r="G184" s="398" t="e">
        <f t="shared" ref="G184:G189" si="66">F184*2</f>
        <v>#DIV/0!</v>
      </c>
      <c r="H184" s="201" t="e">
        <f t="shared" ref="H184:H189" si="67">ABS(P175)*100 / (SQRT(6)*H175)</f>
        <v>#VALUE!</v>
      </c>
      <c r="I184" s="199" t="e">
        <f t="shared" ref="I184:I189" si="68">SQRT((B184^2 + C184^2+H184^2+D184^2))</f>
        <v>#DIV/0!</v>
      </c>
      <c r="J184" s="199" t="e">
        <f t="shared" ref="J184:J189" si="69">I184*2</f>
        <v>#DIV/0!</v>
      </c>
      <c r="M184" s="152"/>
      <c r="N184" s="202">
        <v>0.46899999999999997</v>
      </c>
      <c r="P184" s="136"/>
      <c r="R184" s="110"/>
      <c r="S184" s="183" t="e">
        <f t="shared" si="60"/>
        <v>#DIV/0!</v>
      </c>
      <c r="T184" s="189">
        <f>SetPnt_N_4</f>
        <v>-1600</v>
      </c>
    </row>
    <row r="185" spans="1:20" outlineLevel="1">
      <c r="A185" s="190">
        <f t="shared" si="61"/>
        <v>400</v>
      </c>
      <c r="B185" s="199" t="e">
        <f t="shared" si="62"/>
        <v>#DIV/0!</v>
      </c>
      <c r="C185" s="199" t="e">
        <f t="shared" si="63"/>
        <v>#DIV/0!</v>
      </c>
      <c r="D185" s="199">
        <v>0.109</v>
      </c>
      <c r="E185" s="199" t="e">
        <f t="shared" si="64"/>
        <v>#DIV/0!</v>
      </c>
      <c r="F185" s="199" t="e">
        <f t="shared" si="65"/>
        <v>#DIV/0!</v>
      </c>
      <c r="G185" s="398" t="e">
        <f t="shared" si="66"/>
        <v>#DIV/0!</v>
      </c>
      <c r="H185" s="201" t="e">
        <f t="shared" si="67"/>
        <v>#VALUE!</v>
      </c>
      <c r="I185" s="199" t="e">
        <f t="shared" si="68"/>
        <v>#DIV/0!</v>
      </c>
      <c r="J185" s="203" t="e">
        <f t="shared" si="69"/>
        <v>#DIV/0!</v>
      </c>
      <c r="M185" s="152"/>
      <c r="N185" s="202">
        <v>0.46899999999999997</v>
      </c>
      <c r="P185" s="136"/>
      <c r="R185" s="110"/>
      <c r="S185" s="183" t="e">
        <f t="shared" si="60"/>
        <v>#DIV/0!</v>
      </c>
      <c r="T185" s="189">
        <f>SetPnt_N_5</f>
        <v>-2000</v>
      </c>
    </row>
    <row r="186" spans="1:20" outlineLevel="1">
      <c r="A186" s="190">
        <f t="shared" si="61"/>
        <v>800</v>
      </c>
      <c r="B186" s="199" t="e">
        <f t="shared" si="62"/>
        <v>#DIV/0!</v>
      </c>
      <c r="C186" s="199" t="e">
        <f t="shared" si="63"/>
        <v>#DIV/0!</v>
      </c>
      <c r="D186" s="199">
        <v>0.109</v>
      </c>
      <c r="E186" s="199" t="e">
        <f t="shared" si="64"/>
        <v>#DIV/0!</v>
      </c>
      <c r="F186" s="199" t="e">
        <f t="shared" si="65"/>
        <v>#DIV/0!</v>
      </c>
      <c r="G186" s="398" t="e">
        <f t="shared" si="66"/>
        <v>#DIV/0!</v>
      </c>
      <c r="H186" s="201" t="e">
        <f t="shared" si="67"/>
        <v>#VALUE!</v>
      </c>
      <c r="I186" s="199" t="e">
        <f t="shared" si="68"/>
        <v>#DIV/0!</v>
      </c>
      <c r="J186" s="203" t="e">
        <f t="shared" si="69"/>
        <v>#DIV/0!</v>
      </c>
      <c r="M186" s="152"/>
      <c r="N186" s="202">
        <v>0.109</v>
      </c>
      <c r="P186" s="136"/>
    </row>
    <row r="187" spans="1:20" outlineLevel="1">
      <c r="A187" s="190">
        <f t="shared" si="61"/>
        <v>1200</v>
      </c>
      <c r="B187" s="199" t="e">
        <f t="shared" si="62"/>
        <v>#DIV/0!</v>
      </c>
      <c r="C187" s="199" t="e">
        <f t="shared" si="63"/>
        <v>#DIV/0!</v>
      </c>
      <c r="D187" s="199">
        <v>0.109</v>
      </c>
      <c r="E187" s="199" t="e">
        <f t="shared" si="64"/>
        <v>#DIV/0!</v>
      </c>
      <c r="F187" s="199" t="e">
        <f t="shared" si="65"/>
        <v>#DIV/0!</v>
      </c>
      <c r="G187" s="398" t="e">
        <f t="shared" si="66"/>
        <v>#DIV/0!</v>
      </c>
      <c r="H187" s="201" t="e">
        <f t="shared" si="67"/>
        <v>#VALUE!</v>
      </c>
      <c r="I187" s="199" t="e">
        <f t="shared" si="68"/>
        <v>#DIV/0!</v>
      </c>
      <c r="J187" s="203" t="e">
        <f t="shared" si="69"/>
        <v>#DIV/0!</v>
      </c>
      <c r="M187" s="152"/>
      <c r="N187" s="202">
        <v>0.109</v>
      </c>
      <c r="P187" s="136"/>
    </row>
    <row r="188" spans="1:20" outlineLevel="1">
      <c r="A188" s="190">
        <f t="shared" si="61"/>
        <v>1600</v>
      </c>
      <c r="B188" s="199" t="e">
        <f t="shared" si="62"/>
        <v>#DIV/0!</v>
      </c>
      <c r="C188" s="199" t="e">
        <f t="shared" si="63"/>
        <v>#DIV/0!</v>
      </c>
      <c r="D188" s="199">
        <v>0.108</v>
      </c>
      <c r="E188" s="199" t="e">
        <f t="shared" si="64"/>
        <v>#DIV/0!</v>
      </c>
      <c r="F188" s="199" t="e">
        <f t="shared" si="65"/>
        <v>#DIV/0!</v>
      </c>
      <c r="G188" s="398" t="e">
        <f t="shared" si="66"/>
        <v>#DIV/0!</v>
      </c>
      <c r="H188" s="201" t="e">
        <f t="shared" si="67"/>
        <v>#VALUE!</v>
      </c>
      <c r="I188" s="199" t="e">
        <f t="shared" si="68"/>
        <v>#DIV/0!</v>
      </c>
      <c r="J188" s="203" t="e">
        <f t="shared" si="69"/>
        <v>#DIV/0!</v>
      </c>
      <c r="M188" s="152"/>
      <c r="N188" s="202">
        <v>0.108</v>
      </c>
      <c r="P188" s="136"/>
    </row>
    <row r="189" spans="1:20" outlineLevel="1">
      <c r="A189" s="190">
        <f t="shared" si="61"/>
        <v>2000</v>
      </c>
      <c r="B189" s="199" t="e">
        <f t="shared" si="62"/>
        <v>#DIV/0!</v>
      </c>
      <c r="C189" s="199" t="e">
        <f t="shared" si="63"/>
        <v>#DIV/0!</v>
      </c>
      <c r="D189" s="199">
        <v>9.8000000000000004E-2</v>
      </c>
      <c r="E189" s="199" t="e">
        <f t="shared" si="64"/>
        <v>#DIV/0!</v>
      </c>
      <c r="F189" s="199" t="e">
        <f t="shared" si="65"/>
        <v>#DIV/0!</v>
      </c>
      <c r="G189" s="398" t="e">
        <f t="shared" si="66"/>
        <v>#DIV/0!</v>
      </c>
      <c r="H189" s="201" t="e">
        <f t="shared" si="67"/>
        <v>#VALUE!</v>
      </c>
      <c r="I189" s="199" t="e">
        <f t="shared" si="68"/>
        <v>#DIV/0!</v>
      </c>
      <c r="J189" s="203" t="e">
        <f t="shared" si="69"/>
        <v>#DIV/0!</v>
      </c>
      <c r="M189" s="152"/>
      <c r="N189" s="202">
        <v>9.8000000000000004E-2</v>
      </c>
    </row>
    <row r="192" spans="1:20" ht="16.2" customHeight="1">
      <c r="A192" t="s">
        <v>226</v>
      </c>
      <c r="B192" s="52"/>
      <c r="I192" s="326"/>
    </row>
    <row r="193" spans="1:9" ht="15" customHeight="1" thickBot="1">
      <c r="A193" s="52"/>
      <c r="B193" s="52"/>
      <c r="I193" s="326"/>
    </row>
    <row r="194" spans="1:9">
      <c r="A194" s="52"/>
      <c r="C194" s="491" t="s">
        <v>200</v>
      </c>
      <c r="D194" s="492"/>
      <c r="E194" s="390">
        <f>A185</f>
        <v>400</v>
      </c>
      <c r="F194" s="390">
        <f>A186</f>
        <v>800</v>
      </c>
      <c r="G194" s="390">
        <f>A187</f>
        <v>1200</v>
      </c>
      <c r="H194" s="390">
        <f>A188</f>
        <v>1600</v>
      </c>
      <c r="I194" s="391">
        <f>A189</f>
        <v>2000</v>
      </c>
    </row>
    <row r="195" spans="1:9" ht="15" customHeight="1" thickBot="1">
      <c r="A195" s="52"/>
      <c r="C195" s="481" t="s">
        <v>220</v>
      </c>
      <c r="D195" s="482"/>
      <c r="E195" s="393" t="e">
        <f>1/100*J185</f>
        <v>#DIV/0!</v>
      </c>
      <c r="F195" s="393" t="e">
        <f>1/100*J186</f>
        <v>#DIV/0!</v>
      </c>
      <c r="G195" s="393" t="e">
        <f>1/100*J187</f>
        <v>#DIV/0!</v>
      </c>
      <c r="H195" s="393" t="e">
        <f>1/100*J188</f>
        <v>#DIV/0!</v>
      </c>
      <c r="I195" s="394" t="e">
        <f>1/100*J189</f>
        <v>#DIV/0!</v>
      </c>
    </row>
    <row r="196" spans="1:9">
      <c r="A196" s="52"/>
      <c r="B196" s="52"/>
      <c r="I196" s="326"/>
    </row>
  </sheetData>
  <mergeCells count="32">
    <mergeCell ref="C21:D21"/>
    <mergeCell ref="C194:D194"/>
    <mergeCell ref="G38:J38"/>
    <mergeCell ref="N121:N123"/>
    <mergeCell ref="O172:O174"/>
    <mergeCell ref="L121:L123"/>
    <mergeCell ref="L172:L174"/>
    <mergeCell ref="B38:E38"/>
    <mergeCell ref="M172:M174"/>
    <mergeCell ref="I121:I123"/>
    <mergeCell ref="L38:O38"/>
    <mergeCell ref="B21:B22"/>
    <mergeCell ref="E21:F21"/>
    <mergeCell ref="C195:D195"/>
    <mergeCell ref="N172:N174"/>
    <mergeCell ref="P121:P123"/>
    <mergeCell ref="G50:J50"/>
    <mergeCell ref="K121:K123"/>
    <mergeCell ref="K172:K174"/>
    <mergeCell ref="H172:H174"/>
    <mergeCell ref="I172:I174"/>
    <mergeCell ref="M121:M123"/>
    <mergeCell ref="O121:O123"/>
    <mergeCell ref="I155:I156"/>
    <mergeCell ref="H121:H123"/>
    <mergeCell ref="J155:J156"/>
    <mergeCell ref="G21:H21"/>
    <mergeCell ref="Q38:S38"/>
    <mergeCell ref="L50:O50"/>
    <mergeCell ref="P172:P174"/>
    <mergeCell ref="R121:T121"/>
    <mergeCell ref="R172:T172"/>
  </mergeCells>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sheetPr>
  <dimension ref="A1:X195"/>
  <sheetViews>
    <sheetView zoomScale="85" zoomScaleNormal="85" workbookViewId="0">
      <selection activeCell="C14" sqref="C14"/>
    </sheetView>
  </sheetViews>
  <sheetFormatPr defaultColWidth="8.5546875" defaultRowHeight="14.4" outlineLevelRow="1"/>
  <cols>
    <col min="1" max="1" width="14.33203125" customWidth="1"/>
    <col min="2" max="2" width="19.6640625" customWidth="1"/>
    <col min="3" max="3" width="13.44140625" customWidth="1"/>
    <col min="4" max="4" width="20.88671875" bestFit="1" customWidth="1"/>
    <col min="5" max="5" width="13.44140625" customWidth="1"/>
    <col min="6" max="6" width="15.44140625" customWidth="1"/>
    <col min="7" max="9" width="14.109375" customWidth="1"/>
    <col min="10" max="10" width="9.33203125" customWidth="1"/>
    <col min="11" max="11" width="9.109375" customWidth="1"/>
    <col min="12" max="12" width="12.88671875" customWidth="1"/>
    <col min="13" max="13" width="12.6640625" customWidth="1"/>
    <col min="14" max="14" width="12.5546875" customWidth="1"/>
    <col min="15" max="16" width="10.6640625" customWidth="1"/>
    <col min="17" max="19" width="11.5546875" customWidth="1"/>
    <col min="20" max="20" width="10.5546875" customWidth="1"/>
    <col min="21" max="21" width="7.88671875" customWidth="1"/>
    <col min="22" max="22" width="12.5546875" customWidth="1"/>
    <col min="23" max="23" width="13.33203125" customWidth="1"/>
    <col min="24" max="24" width="12.5546875" customWidth="1"/>
  </cols>
  <sheetData>
    <row r="1" spans="1:24" ht="25.8" customHeight="1">
      <c r="A1" s="246" t="s">
        <v>56</v>
      </c>
      <c r="B1" s="247"/>
      <c r="C1" s="247"/>
      <c r="D1" s="247"/>
      <c r="E1" s="247"/>
      <c r="F1" s="247"/>
      <c r="G1" s="247"/>
      <c r="H1" s="247"/>
      <c r="I1" s="247"/>
      <c r="J1" s="247"/>
      <c r="K1" s="247"/>
      <c r="L1" s="247"/>
      <c r="M1" s="247"/>
      <c r="N1" s="247"/>
      <c r="O1" s="247"/>
      <c r="P1" s="247"/>
      <c r="Q1" s="247"/>
      <c r="R1" s="247"/>
      <c r="S1" s="247"/>
      <c r="T1" s="247"/>
      <c r="U1" s="247"/>
      <c r="V1" s="247"/>
      <c r="W1" s="247"/>
      <c r="X1" s="247"/>
    </row>
    <row r="2" spans="1:24" hidden="1" outlineLevel="1">
      <c r="A2" t="s">
        <v>113</v>
      </c>
    </row>
    <row r="3" spans="1:24" hidden="1" outlineLevel="1">
      <c r="A3" s="63" t="s">
        <v>114</v>
      </c>
      <c r="B3" s="64" t="str">
        <f>CONCATENATE(EUnits,"/V")</f>
        <v>Nm/V</v>
      </c>
      <c r="C3" s="65">
        <f>'Istruzioni Uso'!B13</f>
        <v>1</v>
      </c>
      <c r="F3" s="24"/>
      <c r="K3" s="24"/>
      <c r="P3" s="24"/>
    </row>
    <row r="4" spans="1:24" hidden="1" outlineLevel="1">
      <c r="A4" s="66" t="s">
        <v>111</v>
      </c>
      <c r="B4" s="67" t="s">
        <v>58</v>
      </c>
      <c r="C4" s="68">
        <f>'Istruzioni Uso'!B15</f>
        <v>-2.5</v>
      </c>
      <c r="F4" s="24"/>
      <c r="K4" s="24"/>
      <c r="P4" s="24"/>
    </row>
    <row r="5" spans="1:24" hidden="1" outlineLevel="1">
      <c r="A5" t="s">
        <v>115</v>
      </c>
      <c r="B5" t="str">
        <f>CONCATENATE("UUT [V/",EUnits,"]")</f>
        <v>UUT [V/Nm]</v>
      </c>
      <c r="C5">
        <f>1/C3</f>
        <v>1</v>
      </c>
      <c r="F5" s="24"/>
      <c r="K5" s="24"/>
      <c r="P5" s="24"/>
    </row>
    <row r="6" spans="1:24" hidden="1" outlineLevel="1">
      <c r="C6">
        <f>-C4/C3</f>
        <v>2.5</v>
      </c>
      <c r="F6" s="24"/>
      <c r="K6" s="24"/>
      <c r="P6" s="24"/>
    </row>
    <row r="7" spans="1:24" collapsed="1">
      <c r="F7" s="24"/>
      <c r="K7" s="24"/>
      <c r="P7" s="24"/>
    </row>
    <row r="8" spans="1:24" ht="25.8" customHeight="1">
      <c r="A8" s="246" t="s">
        <v>64</v>
      </c>
      <c r="B8" s="247"/>
      <c r="C8" s="247"/>
      <c r="D8" s="247"/>
      <c r="E8" s="247"/>
      <c r="F8" s="247"/>
      <c r="G8" s="247"/>
      <c r="H8" s="247"/>
      <c r="I8" s="247"/>
      <c r="J8" s="247"/>
      <c r="K8" s="247"/>
      <c r="L8" s="247"/>
      <c r="M8" s="247"/>
      <c r="N8" s="247"/>
      <c r="O8" s="247"/>
      <c r="P8" s="247"/>
      <c r="Q8" s="247"/>
      <c r="R8" s="247"/>
      <c r="S8" s="247"/>
      <c r="T8" s="247"/>
      <c r="U8" s="247"/>
      <c r="V8" s="247"/>
      <c r="W8" s="247"/>
      <c r="X8" s="247"/>
    </row>
    <row r="9" spans="1:24" outlineLevel="1">
      <c r="F9" s="24"/>
      <c r="K9" s="24"/>
      <c r="P9" s="24"/>
    </row>
    <row r="10" spans="1:24" outlineLevel="1">
      <c r="A10" s="12" t="s">
        <v>68</v>
      </c>
      <c r="D10" s="12" t="s">
        <v>69</v>
      </c>
      <c r="F10" s="24"/>
      <c r="K10" s="24"/>
      <c r="P10" s="24"/>
    </row>
    <row r="11" spans="1:24" outlineLevel="1">
      <c r="A11" t="str">
        <f>CONCATENATE("Min [",EUnits,"]")</f>
        <v>Min [Nm]</v>
      </c>
      <c r="B11">
        <v>0</v>
      </c>
      <c r="D11" t="s">
        <v>70</v>
      </c>
      <c r="E11">
        <f>SetPnt_N_0</f>
        <v>0</v>
      </c>
      <c r="F11" s="24"/>
      <c r="K11" s="24"/>
      <c r="P11" s="24"/>
    </row>
    <row r="12" spans="1:24" outlineLevel="1">
      <c r="A12" t="str">
        <f>CONCATENATE("Max [",EUnits,"]")</f>
        <v>Max [Nm]</v>
      </c>
      <c r="B12">
        <f>C_Tar_min</f>
        <v>-2000</v>
      </c>
      <c r="D12" t="s">
        <v>72</v>
      </c>
      <c r="E12" s="17">
        <f>SetPnt_N_1</f>
        <v>-400</v>
      </c>
      <c r="F12" s="24"/>
      <c r="K12" s="24"/>
      <c r="P12" s="24"/>
    </row>
    <row r="13" spans="1:24" outlineLevel="1">
      <c r="A13" t="s">
        <v>71</v>
      </c>
      <c r="B13">
        <v>5</v>
      </c>
      <c r="D13" t="s">
        <v>73</v>
      </c>
      <c r="E13" s="17">
        <f>SetPnt_N_2</f>
        <v>-800</v>
      </c>
      <c r="F13" s="24"/>
      <c r="K13" s="24"/>
      <c r="P13" s="24"/>
    </row>
    <row r="14" spans="1:24" outlineLevel="1">
      <c r="A14" t="str">
        <f>CONCATENATE("Step [",EUnits,"]")</f>
        <v>Step [Nm]</v>
      </c>
      <c r="B14" s="17">
        <f>(B12-B11)/B13</f>
        <v>-400</v>
      </c>
      <c r="D14" t="s">
        <v>74</v>
      </c>
      <c r="E14" s="17">
        <f>SetPnt_N_3</f>
        <v>-1200</v>
      </c>
      <c r="F14" s="24"/>
      <c r="K14" s="24"/>
      <c r="P14" s="24"/>
    </row>
    <row r="15" spans="1:24" outlineLevel="1">
      <c r="D15" t="s">
        <v>76</v>
      </c>
      <c r="E15" s="17">
        <f>SetPnt_N_4</f>
        <v>-1600</v>
      </c>
      <c r="F15" s="24"/>
      <c r="K15" s="24"/>
      <c r="P15" s="24"/>
    </row>
    <row r="16" spans="1:24" outlineLevel="1">
      <c r="D16" t="s">
        <v>78</v>
      </c>
      <c r="E16" s="17">
        <f>SetPnt_N_5</f>
        <v>-2000</v>
      </c>
      <c r="F16" s="24"/>
      <c r="K16" s="24"/>
      <c r="P16" s="24"/>
    </row>
    <row r="17" spans="1:24">
      <c r="F17" s="24"/>
      <c r="K17" s="24"/>
      <c r="P17" s="24"/>
    </row>
    <row r="18" spans="1:24" ht="25.8" customHeight="1">
      <c r="A18" s="246" t="s">
        <v>79</v>
      </c>
      <c r="B18" s="247"/>
      <c r="C18" s="247"/>
      <c r="D18" s="247"/>
      <c r="E18" s="247"/>
      <c r="F18" s="247"/>
      <c r="G18" s="247"/>
      <c r="H18" s="247"/>
      <c r="I18" s="247"/>
      <c r="J18" s="247"/>
      <c r="K18" s="247"/>
      <c r="L18" s="247"/>
      <c r="M18" s="247"/>
      <c r="N18" s="247"/>
      <c r="O18" s="247"/>
      <c r="P18" s="247"/>
      <c r="Q18" s="247"/>
      <c r="R18" s="247"/>
      <c r="S18" s="247"/>
      <c r="T18" s="247"/>
      <c r="U18" s="247"/>
      <c r="V18" s="247"/>
      <c r="W18" s="247"/>
      <c r="X18" s="247"/>
    </row>
    <row r="19" spans="1:24" outlineLevel="1">
      <c r="A19" t="s">
        <v>80</v>
      </c>
      <c r="F19" s="24"/>
      <c r="K19" s="24"/>
      <c r="M19" s="25" t="s">
        <v>81</v>
      </c>
      <c r="P19" s="24"/>
    </row>
    <row r="20" spans="1:24" ht="15" customHeight="1" outlineLevel="1" thickBot="1">
      <c r="F20" s="24"/>
      <c r="K20" s="24"/>
      <c r="P20" s="24"/>
    </row>
    <row r="21" spans="1:24" ht="18.75" customHeight="1" outlineLevel="1" thickBot="1">
      <c r="B21" s="494" t="s">
        <v>29</v>
      </c>
      <c r="C21" s="489" t="s">
        <v>30</v>
      </c>
      <c r="D21" s="490"/>
      <c r="E21" s="496" t="s">
        <v>31</v>
      </c>
      <c r="F21" s="497"/>
      <c r="G21" s="474" t="s">
        <v>32</v>
      </c>
      <c r="H21" s="475"/>
      <c r="K21" s="24"/>
      <c r="P21" s="24"/>
    </row>
    <row r="22" spans="1:24" ht="18.75" customHeight="1" outlineLevel="1" thickTop="1" thickBot="1">
      <c r="B22" s="495"/>
      <c r="C22" s="69">
        <f>$B$11</f>
        <v>0</v>
      </c>
      <c r="D22" s="70">
        <f>$B$12</f>
        <v>-2000</v>
      </c>
      <c r="E22" s="69">
        <f>$B$11</f>
        <v>0</v>
      </c>
      <c r="F22" s="71">
        <f>$B$12</f>
        <v>-2000</v>
      </c>
      <c r="G22" s="72">
        <f>$B$11</f>
        <v>0</v>
      </c>
      <c r="H22" s="73">
        <f>$B$12</f>
        <v>-2000</v>
      </c>
    </row>
    <row r="23" spans="1:24" ht="15" customHeight="1" outlineLevel="1" thickTop="1">
      <c r="B23" s="74" t="str">
        <f>CONCATENATE("Coppia REF [",EUnits,"]")</f>
        <v>Coppia REF [Nm]</v>
      </c>
      <c r="C23" s="75">
        <f>'Istruzioni Uso'!C46</f>
        <v>0</v>
      </c>
      <c r="D23" s="75">
        <f>'Istruzioni Uso'!D46</f>
        <v>0</v>
      </c>
      <c r="E23" s="75">
        <f>'Istruzioni Uso'!E46</f>
        <v>0</v>
      </c>
      <c r="F23" s="76">
        <f>'Istruzioni Uso'!F46</f>
        <v>0</v>
      </c>
      <c r="G23" s="77">
        <f>'Istruzioni Uso'!G46</f>
        <v>0</v>
      </c>
      <c r="H23" s="78">
        <f>'Istruzioni Uso'!H46</f>
        <v>0</v>
      </c>
    </row>
    <row r="24" spans="1:24" ht="15" customHeight="1" outlineLevel="1" thickBot="1">
      <c r="B24" s="66" t="str">
        <f>CONCATENATE("Coppia UUT [",EUnits,"]")</f>
        <v>Coppia UUT [Nm]</v>
      </c>
      <c r="C24" s="79" t="e">
        <f>'Istruzioni Uso'!C47</f>
        <v>#DIV/0!</v>
      </c>
      <c r="D24" s="79" t="e">
        <f>'Istruzioni Uso'!D47</f>
        <v>#DIV/0!</v>
      </c>
      <c r="E24" s="79" t="e">
        <f>'Istruzioni Uso'!E47</f>
        <v>#DIV/0!</v>
      </c>
      <c r="F24" s="80" t="e">
        <f>'Istruzioni Uso'!F47</f>
        <v>#DIV/0!</v>
      </c>
      <c r="G24" s="81" t="e">
        <f>'Istruzioni Uso'!G47</f>
        <v>#DIV/0!</v>
      </c>
      <c r="H24" s="82" t="e">
        <f>'Istruzioni Uso'!H47</f>
        <v>#DIV/0!</v>
      </c>
    </row>
    <row r="25" spans="1:24" ht="15" customHeight="1" outlineLevel="1" thickBot="1"/>
    <row r="26" spans="1:24" ht="39.75" customHeight="1" outlineLevel="1" thickBot="1">
      <c r="B26" s="83" t="s">
        <v>33</v>
      </c>
      <c r="C26" s="84" t="s">
        <v>34</v>
      </c>
      <c r="D26" s="84" t="s">
        <v>35</v>
      </c>
      <c r="E26" s="85" t="s">
        <v>36</v>
      </c>
      <c r="F26" s="84" t="s">
        <v>37</v>
      </c>
      <c r="G26" s="85" t="s">
        <v>38</v>
      </c>
      <c r="H26" s="84" t="s">
        <v>39</v>
      </c>
      <c r="I26" s="86" t="s">
        <v>34</v>
      </c>
    </row>
    <row r="27" spans="1:24" ht="15" customHeight="1" outlineLevel="1" thickTop="1">
      <c r="B27" s="74" t="str">
        <f>CONCATENATE("Coppia REF [",EUnits,"]")</f>
        <v>Coppia REF [Nm]</v>
      </c>
      <c r="C27" s="76">
        <f>'Istruzioni Uso'!C50</f>
        <v>0</v>
      </c>
      <c r="D27" s="77">
        <f>'Istruzioni Uso'!D50</f>
        <v>0</v>
      </c>
      <c r="E27" s="76">
        <f>'Istruzioni Uso'!E50</f>
        <v>0</v>
      </c>
      <c r="F27" s="77">
        <f>'Istruzioni Uso'!F50</f>
        <v>0</v>
      </c>
      <c r="G27" s="76">
        <f>'Istruzioni Uso'!G50</f>
        <v>0</v>
      </c>
      <c r="H27" s="77">
        <f>'Istruzioni Uso'!H50</f>
        <v>0</v>
      </c>
      <c r="I27" s="78">
        <f>'Istruzioni Uso'!I50</f>
        <v>0</v>
      </c>
    </row>
    <row r="28" spans="1:24" ht="15" customHeight="1" outlineLevel="1" thickBot="1">
      <c r="B28" s="66" t="str">
        <f>CONCATENATE("Coppia UUT [",EUnits,"]")</f>
        <v>Coppia UUT [Nm]</v>
      </c>
      <c r="C28" s="80" t="e">
        <f>'Istruzioni Uso'!C51</f>
        <v>#DIV/0!</v>
      </c>
      <c r="D28" s="81" t="e">
        <f>'Istruzioni Uso'!D51</f>
        <v>#DIV/0!</v>
      </c>
      <c r="E28" s="80" t="e">
        <f>'Istruzioni Uso'!E51</f>
        <v>#DIV/0!</v>
      </c>
      <c r="F28" s="81" t="e">
        <f>'Istruzioni Uso'!F51</f>
        <v>#DIV/0!</v>
      </c>
      <c r="G28" s="80" t="e">
        <f>'Istruzioni Uso'!G51</f>
        <v>#DIV/0!</v>
      </c>
      <c r="H28" s="81" t="e">
        <f>'Istruzioni Uso'!H51</f>
        <v>#DIV/0!</v>
      </c>
      <c r="I28" s="82" t="e">
        <f>'Istruzioni Uso'!I51</f>
        <v>#DIV/0!</v>
      </c>
    </row>
    <row r="29" spans="1:24" ht="15" customHeight="1" outlineLevel="1" thickBot="1"/>
    <row r="30" spans="1:24" ht="39.75" customHeight="1" outlineLevel="1" thickBot="1">
      <c r="B30" s="83" t="s">
        <v>40</v>
      </c>
      <c r="C30" s="84" t="s">
        <v>34</v>
      </c>
      <c r="D30" s="84" t="s">
        <v>35</v>
      </c>
      <c r="E30" s="85" t="s">
        <v>36</v>
      </c>
      <c r="F30" s="84" t="s">
        <v>37</v>
      </c>
      <c r="G30" s="85" t="s">
        <v>38</v>
      </c>
      <c r="H30" s="84" t="s">
        <v>39</v>
      </c>
      <c r="I30" s="86" t="s">
        <v>34</v>
      </c>
    </row>
    <row r="31" spans="1:24" ht="15" customHeight="1" outlineLevel="1" thickTop="1">
      <c r="B31" s="74" t="str">
        <f>CONCATENATE("Coppia REF [",EUnits,"]")</f>
        <v>Coppia REF [Nm]</v>
      </c>
      <c r="C31" s="76">
        <f>'Istruzioni Uso'!C54</f>
        <v>0</v>
      </c>
      <c r="D31" s="77">
        <f>'Istruzioni Uso'!D54</f>
        <v>0</v>
      </c>
      <c r="E31" s="76">
        <f>'Istruzioni Uso'!E54</f>
        <v>0</v>
      </c>
      <c r="F31" s="77">
        <f>'Istruzioni Uso'!F54</f>
        <v>0</v>
      </c>
      <c r="G31" s="76">
        <f>'Istruzioni Uso'!G54</f>
        <v>0</v>
      </c>
      <c r="H31" s="77">
        <f>'Istruzioni Uso'!H54</f>
        <v>0</v>
      </c>
      <c r="I31" s="78">
        <f>'Istruzioni Uso'!I54</f>
        <v>0</v>
      </c>
    </row>
    <row r="32" spans="1:24" ht="15" customHeight="1" outlineLevel="1" thickBot="1">
      <c r="B32" s="66" t="str">
        <f>CONCATENATE("Coppia UUT [",EUnits,"]")</f>
        <v>Coppia UUT [Nm]</v>
      </c>
      <c r="C32" s="80" t="e">
        <f>'Istruzioni Uso'!C55</f>
        <v>#DIV/0!</v>
      </c>
      <c r="D32" s="81" t="e">
        <f>'Istruzioni Uso'!D55</f>
        <v>#DIV/0!</v>
      </c>
      <c r="E32" s="80" t="e">
        <f>'Istruzioni Uso'!E55</f>
        <v>#DIV/0!</v>
      </c>
      <c r="F32" s="81" t="e">
        <f>'Istruzioni Uso'!F55</f>
        <v>#DIV/0!</v>
      </c>
      <c r="G32" s="80" t="e">
        <f>'Istruzioni Uso'!G55</f>
        <v>#DIV/0!</v>
      </c>
      <c r="H32" s="81" t="e">
        <f>'Istruzioni Uso'!H55</f>
        <v>#DIV/0!</v>
      </c>
      <c r="I32" s="82" t="e">
        <f>'Istruzioni Uso'!I55</f>
        <v>#DIV/0!</v>
      </c>
    </row>
    <row r="33" spans="1:24">
      <c r="F33" s="24"/>
      <c r="K33" s="24"/>
      <c r="P33" s="24"/>
    </row>
    <row r="34" spans="1:24" ht="25.8" customHeight="1">
      <c r="A34" s="246" t="s">
        <v>116</v>
      </c>
      <c r="B34" s="247"/>
      <c r="C34" s="247"/>
      <c r="D34" s="247"/>
      <c r="E34" s="247"/>
      <c r="F34" s="247"/>
      <c r="G34" s="247"/>
      <c r="H34" s="247"/>
      <c r="I34" s="247"/>
      <c r="J34" s="247"/>
      <c r="K34" s="247"/>
      <c r="L34" s="247"/>
      <c r="M34" s="247"/>
      <c r="N34" s="247"/>
      <c r="O34" s="247"/>
      <c r="P34" s="247"/>
      <c r="Q34" s="247"/>
      <c r="R34" s="247"/>
      <c r="S34" s="247"/>
      <c r="T34" s="247"/>
      <c r="U34" s="247"/>
      <c r="V34" s="247"/>
      <c r="W34" s="247"/>
      <c r="X34" s="247"/>
    </row>
    <row r="35" spans="1:24" outlineLevel="1">
      <c r="F35" s="24"/>
      <c r="K35" s="24"/>
      <c r="P35" s="24"/>
    </row>
    <row r="36" spans="1:24" outlineLevel="1">
      <c r="F36" s="24"/>
      <c r="K36" s="24"/>
      <c r="P36" s="24"/>
    </row>
    <row r="37" spans="1:24" ht="18" customHeight="1" outlineLevel="1">
      <c r="A37" s="87" t="s">
        <v>117</v>
      </c>
      <c r="K37" s="24"/>
      <c r="P37" s="24"/>
    </row>
    <row r="38" spans="1:24" ht="27" customHeight="1" outlineLevel="1" thickBot="1">
      <c r="B38" s="493" t="s">
        <v>118</v>
      </c>
      <c r="C38" s="477"/>
      <c r="D38" s="477"/>
      <c r="E38" s="477"/>
      <c r="G38" s="493" t="s">
        <v>119</v>
      </c>
      <c r="H38" s="477"/>
      <c r="I38" s="477"/>
      <c r="J38" s="477"/>
      <c r="L38" s="493" t="s">
        <v>120</v>
      </c>
      <c r="M38" s="477"/>
      <c r="N38" s="477"/>
      <c r="O38" s="477"/>
      <c r="Q38" s="476" t="s">
        <v>121</v>
      </c>
      <c r="R38" s="477"/>
      <c r="S38" s="477"/>
    </row>
    <row r="39" spans="1:24" ht="29.4" customHeight="1" outlineLevel="1" thickTop="1">
      <c r="B39" s="88" t="s">
        <v>122</v>
      </c>
      <c r="C39" s="89" t="str">
        <f>CONCATENATE("UUT
[",EUnits,"]")</f>
        <v>UUT
[Nm]</v>
      </c>
      <c r="D39" s="89" t="str">
        <f>CONCATENATE("Coppia REF
[",EUnits,"]")</f>
        <v>Coppia REF
[Nm]</v>
      </c>
      <c r="E39" s="89" t="s">
        <v>123</v>
      </c>
      <c r="G39" s="88" t="s">
        <v>122</v>
      </c>
      <c r="H39" s="89" t="str">
        <f>CONCATENATE("UUT
[",EUnits,"]")</f>
        <v>UUT
[Nm]</v>
      </c>
      <c r="I39" s="89" t="str">
        <f>CONCATENATE("Coppia REF
[",EUnits,"]")</f>
        <v>Coppia REF
[Nm]</v>
      </c>
      <c r="J39" s="89" t="s">
        <v>123</v>
      </c>
      <c r="L39" s="88" t="s">
        <v>122</v>
      </c>
      <c r="M39" s="89" t="str">
        <f>CONCATENATE("UUT
[",EUnits,"]")</f>
        <v>UUT
[Nm]</v>
      </c>
      <c r="N39" s="89" t="str">
        <f>CONCATENATE("Coppia REF
[",EUnits,"]")</f>
        <v>Coppia REF
[Nm]</v>
      </c>
      <c r="O39" s="89" t="s">
        <v>123</v>
      </c>
      <c r="Q39" s="88" t="s">
        <v>122</v>
      </c>
      <c r="R39" s="89" t="str">
        <f>CONCATENATE("Coppia REF
[",EUnits,"]")</f>
        <v>Coppia REF
[Nm]</v>
      </c>
      <c r="S39" s="89" t="s">
        <v>123</v>
      </c>
    </row>
    <row r="40" spans="1:24" outlineLevel="1">
      <c r="B40">
        <f>SetPnt_P_0</f>
        <v>0</v>
      </c>
      <c r="C40" t="e">
        <f>C24</f>
        <v>#DIV/0!</v>
      </c>
      <c r="D40">
        <f>C23</f>
        <v>0</v>
      </c>
      <c r="E40" s="90" t="e">
        <f t="shared" ref="E40:E45" si="0">C40*$C$5+$C$6</f>
        <v>#DIV/0!</v>
      </c>
      <c r="G40">
        <f>SetPnt_N_0</f>
        <v>0</v>
      </c>
      <c r="H40" t="e">
        <f>C28</f>
        <v>#DIV/0!</v>
      </c>
      <c r="I40">
        <f>C27</f>
        <v>0</v>
      </c>
      <c r="J40" s="90" t="e">
        <f t="shared" ref="J40:J46" si="1">H40*$C$5+$C$6</f>
        <v>#DIV/0!</v>
      </c>
      <c r="L40">
        <f>SetPnt_N_0</f>
        <v>0</v>
      </c>
      <c r="M40" t="e">
        <f>C32</f>
        <v>#DIV/0!</v>
      </c>
      <c r="N40">
        <f>C31</f>
        <v>0</v>
      </c>
      <c r="O40" s="90" t="e">
        <f t="shared" ref="O40:O46" si="2">M40*$C$5+$C$6</f>
        <v>#DIV/0!</v>
      </c>
      <c r="Q40">
        <f>SetPnt_N_0</f>
        <v>0</v>
      </c>
      <c r="R40">
        <f t="shared" ref="R40:S45" si="3">I40</f>
        <v>0</v>
      </c>
      <c r="S40" s="91" t="e">
        <f t="shared" si="3"/>
        <v>#DIV/0!</v>
      </c>
    </row>
    <row r="41" spans="1:24" outlineLevel="1">
      <c r="B41">
        <f>C_Tar_min</f>
        <v>-2000</v>
      </c>
      <c r="C41" t="e">
        <f>D24</f>
        <v>#DIV/0!</v>
      </c>
      <c r="D41">
        <f>D23</f>
        <v>0</v>
      </c>
      <c r="E41" s="90" t="e">
        <f t="shared" si="0"/>
        <v>#DIV/0!</v>
      </c>
      <c r="G41" s="17">
        <f>SetPnt_N_1</f>
        <v>-400</v>
      </c>
      <c r="H41" t="e">
        <f>D28</f>
        <v>#DIV/0!</v>
      </c>
      <c r="I41">
        <f>D27</f>
        <v>0</v>
      </c>
      <c r="J41" s="90" t="e">
        <f t="shared" si="1"/>
        <v>#DIV/0!</v>
      </c>
      <c r="L41" s="17">
        <f>SetPnt_N_1</f>
        <v>-400</v>
      </c>
      <c r="M41" t="e">
        <f>D32</f>
        <v>#DIV/0!</v>
      </c>
      <c r="N41">
        <f>D31</f>
        <v>0</v>
      </c>
      <c r="O41" s="90" t="e">
        <f t="shared" si="2"/>
        <v>#DIV/0!</v>
      </c>
      <c r="Q41" s="17">
        <f>SetPnt_N_1</f>
        <v>-400</v>
      </c>
      <c r="R41">
        <f t="shared" si="3"/>
        <v>0</v>
      </c>
      <c r="S41" s="91" t="e">
        <f t="shared" si="3"/>
        <v>#DIV/0!</v>
      </c>
    </row>
    <row r="42" spans="1:24" outlineLevel="1">
      <c r="B42">
        <f>B40</f>
        <v>0</v>
      </c>
      <c r="C42" t="e">
        <f>E24</f>
        <v>#DIV/0!</v>
      </c>
      <c r="D42">
        <f>E23</f>
        <v>0</v>
      </c>
      <c r="E42" s="90" t="e">
        <f t="shared" si="0"/>
        <v>#DIV/0!</v>
      </c>
      <c r="G42" s="17">
        <f>SetPnt_N_2</f>
        <v>-800</v>
      </c>
      <c r="H42" t="e">
        <f>E28</f>
        <v>#DIV/0!</v>
      </c>
      <c r="I42">
        <f>E27</f>
        <v>0</v>
      </c>
      <c r="J42" s="90" t="e">
        <f t="shared" si="1"/>
        <v>#DIV/0!</v>
      </c>
      <c r="L42" s="17">
        <f>SetPnt_N_2</f>
        <v>-800</v>
      </c>
      <c r="M42" t="e">
        <f>E32</f>
        <v>#DIV/0!</v>
      </c>
      <c r="N42">
        <f>E31</f>
        <v>0</v>
      </c>
      <c r="O42" s="90" t="e">
        <f t="shared" si="2"/>
        <v>#DIV/0!</v>
      </c>
      <c r="Q42" s="17">
        <f>SetPnt_N_2</f>
        <v>-800</v>
      </c>
      <c r="R42">
        <f t="shared" si="3"/>
        <v>0</v>
      </c>
      <c r="S42" s="91" t="e">
        <f t="shared" si="3"/>
        <v>#DIV/0!</v>
      </c>
    </row>
    <row r="43" spans="1:24" outlineLevel="1">
      <c r="B43">
        <f>B41</f>
        <v>-2000</v>
      </c>
      <c r="C43" t="e">
        <f>F24</f>
        <v>#DIV/0!</v>
      </c>
      <c r="D43">
        <f>F23</f>
        <v>0</v>
      </c>
      <c r="E43" s="90" t="e">
        <f t="shared" si="0"/>
        <v>#DIV/0!</v>
      </c>
      <c r="G43" s="17">
        <f>SetPnt_N_3</f>
        <v>-1200</v>
      </c>
      <c r="H43" t="e">
        <f>F28</f>
        <v>#DIV/0!</v>
      </c>
      <c r="I43">
        <f>F27</f>
        <v>0</v>
      </c>
      <c r="J43" s="90" t="e">
        <f t="shared" si="1"/>
        <v>#DIV/0!</v>
      </c>
      <c r="L43" s="17">
        <f>SetPnt_N_3</f>
        <v>-1200</v>
      </c>
      <c r="M43" t="e">
        <f>F32</f>
        <v>#DIV/0!</v>
      </c>
      <c r="N43">
        <f>F31</f>
        <v>0</v>
      </c>
      <c r="O43" s="90" t="e">
        <f t="shared" si="2"/>
        <v>#DIV/0!</v>
      </c>
      <c r="Q43" s="17">
        <f>SetPnt_N_3</f>
        <v>-1200</v>
      </c>
      <c r="R43">
        <f t="shared" si="3"/>
        <v>0</v>
      </c>
      <c r="S43" s="91" t="e">
        <f t="shared" si="3"/>
        <v>#DIV/0!</v>
      </c>
    </row>
    <row r="44" spans="1:24" outlineLevel="1">
      <c r="B44">
        <f>B42</f>
        <v>0</v>
      </c>
      <c r="C44" t="e">
        <f>G24</f>
        <v>#DIV/0!</v>
      </c>
      <c r="D44">
        <f>G23</f>
        <v>0</v>
      </c>
      <c r="E44" s="90" t="e">
        <f t="shared" si="0"/>
        <v>#DIV/0!</v>
      </c>
      <c r="G44" s="17">
        <f>SetPnt_N_4</f>
        <v>-1600</v>
      </c>
      <c r="H44" t="e">
        <f>G28</f>
        <v>#DIV/0!</v>
      </c>
      <c r="I44">
        <f>G27</f>
        <v>0</v>
      </c>
      <c r="J44" s="90" t="e">
        <f t="shared" si="1"/>
        <v>#DIV/0!</v>
      </c>
      <c r="L44" s="17">
        <f>SetPnt_N_4</f>
        <v>-1600</v>
      </c>
      <c r="M44" t="e">
        <f>G32</f>
        <v>#DIV/0!</v>
      </c>
      <c r="N44">
        <f>G31</f>
        <v>0</v>
      </c>
      <c r="O44" s="90" t="e">
        <f t="shared" si="2"/>
        <v>#DIV/0!</v>
      </c>
      <c r="Q44" s="17">
        <f>SetPnt_N_4</f>
        <v>-1600</v>
      </c>
      <c r="R44">
        <f t="shared" si="3"/>
        <v>0</v>
      </c>
      <c r="S44" s="91" t="e">
        <f t="shared" si="3"/>
        <v>#DIV/0!</v>
      </c>
    </row>
    <row r="45" spans="1:24" outlineLevel="1">
      <c r="B45">
        <f>B43</f>
        <v>-2000</v>
      </c>
      <c r="C45" t="e">
        <f>H24</f>
        <v>#DIV/0!</v>
      </c>
      <c r="D45">
        <f>H23</f>
        <v>0</v>
      </c>
      <c r="E45" s="90" t="e">
        <f t="shared" si="0"/>
        <v>#DIV/0!</v>
      </c>
      <c r="G45" s="17">
        <f>SetPnt_N_5</f>
        <v>-2000</v>
      </c>
      <c r="H45" t="e">
        <f>H28</f>
        <v>#DIV/0!</v>
      </c>
      <c r="I45">
        <f>H27</f>
        <v>0</v>
      </c>
      <c r="J45" s="90" t="e">
        <f t="shared" si="1"/>
        <v>#DIV/0!</v>
      </c>
      <c r="L45" s="17">
        <f>SetPnt_N_5</f>
        <v>-2000</v>
      </c>
      <c r="M45" t="e">
        <f>H32</f>
        <v>#DIV/0!</v>
      </c>
      <c r="N45">
        <f>H31</f>
        <v>0</v>
      </c>
      <c r="O45" s="90" t="e">
        <f t="shared" si="2"/>
        <v>#DIV/0!</v>
      </c>
      <c r="Q45" s="17">
        <f>SetPnt_N_5</f>
        <v>-2000</v>
      </c>
      <c r="R45">
        <f t="shared" si="3"/>
        <v>0</v>
      </c>
      <c r="S45" s="91" t="e">
        <f t="shared" si="3"/>
        <v>#DIV/0!</v>
      </c>
    </row>
    <row r="46" spans="1:24" outlineLevel="1">
      <c r="G46">
        <f>SetPnt_N_0</f>
        <v>0</v>
      </c>
      <c r="H46" t="e">
        <f>I28</f>
        <v>#DIV/0!</v>
      </c>
      <c r="I46">
        <f>I27</f>
        <v>0</v>
      </c>
      <c r="J46" s="90" t="e">
        <f t="shared" si="1"/>
        <v>#DIV/0!</v>
      </c>
      <c r="L46">
        <f>SetPnt_N_0</f>
        <v>0</v>
      </c>
      <c r="M46" t="e">
        <f>I32</f>
        <v>#DIV/0!</v>
      </c>
      <c r="N46">
        <f>I31</f>
        <v>0</v>
      </c>
      <c r="O46" s="90" t="e">
        <f t="shared" si="2"/>
        <v>#DIV/0!</v>
      </c>
      <c r="Q46">
        <f>SetPnt_N_0</f>
        <v>0</v>
      </c>
      <c r="R46">
        <f t="shared" ref="R46:S51" si="4">N40</f>
        <v>0</v>
      </c>
      <c r="S46" s="91" t="e">
        <f t="shared" si="4"/>
        <v>#DIV/0!</v>
      </c>
    </row>
    <row r="47" spans="1:24" ht="15" customHeight="1" outlineLevel="1" thickBot="1">
      <c r="Q47" s="17">
        <f>SetPnt_N_1</f>
        <v>-400</v>
      </c>
      <c r="R47">
        <f t="shared" si="4"/>
        <v>0</v>
      </c>
      <c r="S47" s="91" t="e">
        <f t="shared" si="4"/>
        <v>#DIV/0!</v>
      </c>
    </row>
    <row r="48" spans="1:24" ht="18" customHeight="1" outlineLevel="1">
      <c r="G48" s="63"/>
      <c r="H48" s="92" t="s">
        <v>124</v>
      </c>
      <c r="I48" s="64"/>
      <c r="J48" s="64"/>
      <c r="K48" s="64"/>
      <c r="L48" s="64"/>
      <c r="M48" s="64"/>
      <c r="N48" s="64"/>
      <c r="O48" s="65"/>
      <c r="Q48" s="17">
        <f>SetPnt_N_2</f>
        <v>-800</v>
      </c>
      <c r="R48">
        <f t="shared" si="4"/>
        <v>0</v>
      </c>
      <c r="S48" s="91" t="e">
        <f t="shared" si="4"/>
        <v>#DIV/0!</v>
      </c>
    </row>
    <row r="49" spans="1:19" outlineLevel="1">
      <c r="G49" s="74"/>
      <c r="H49" t="s">
        <v>125</v>
      </c>
      <c r="O49" s="93"/>
      <c r="Q49" s="17">
        <f>SetPnt_N_3</f>
        <v>-1200</v>
      </c>
      <c r="R49">
        <f t="shared" si="4"/>
        <v>0</v>
      </c>
      <c r="S49" s="91" t="e">
        <f t="shared" si="4"/>
        <v>#DIV/0!</v>
      </c>
    </row>
    <row r="50" spans="1:19" ht="18" customHeight="1" outlineLevel="1" thickBot="1">
      <c r="G50" s="483" t="s">
        <v>119</v>
      </c>
      <c r="H50" s="477"/>
      <c r="I50" s="477"/>
      <c r="J50" s="477"/>
      <c r="K50" s="59"/>
      <c r="L50" s="478" t="s">
        <v>120</v>
      </c>
      <c r="M50" s="477"/>
      <c r="N50" s="477"/>
      <c r="O50" s="479"/>
      <c r="Q50" s="17">
        <f>SetPnt_N_4</f>
        <v>-1600</v>
      </c>
      <c r="R50">
        <f t="shared" si="4"/>
        <v>0</v>
      </c>
      <c r="S50" s="91" t="e">
        <f t="shared" si="4"/>
        <v>#DIV/0!</v>
      </c>
    </row>
    <row r="51" spans="1:19" ht="16.2" customHeight="1" outlineLevel="1" thickTop="1">
      <c r="G51" s="94" t="s">
        <v>227</v>
      </c>
      <c r="H51" s="95" t="s">
        <v>24</v>
      </c>
      <c r="I51" s="96" t="s">
        <v>25</v>
      </c>
      <c r="J51" s="97" t="s">
        <v>127</v>
      </c>
      <c r="L51" s="94" t="s">
        <v>228</v>
      </c>
      <c r="M51" s="95" t="s">
        <v>24</v>
      </c>
      <c r="N51" s="96" t="s">
        <v>25</v>
      </c>
      <c r="O51" s="97" t="s">
        <v>127</v>
      </c>
      <c r="Q51" s="17">
        <f>SetPnt_N_5</f>
        <v>-2000</v>
      </c>
      <c r="R51">
        <f t="shared" si="4"/>
        <v>0</v>
      </c>
      <c r="S51" s="91" t="e">
        <f t="shared" si="4"/>
        <v>#DIV/0!</v>
      </c>
    </row>
    <row r="52" spans="1:19" outlineLevel="1">
      <c r="G52" s="98" t="s">
        <v>129</v>
      </c>
      <c r="H52" s="99" t="e">
        <f>SLOPE(I40:I45,J40:J45)</f>
        <v>#DIV/0!</v>
      </c>
      <c r="I52" s="100" t="e">
        <f>INTERCEPT(I40:I45,J40:J45)</f>
        <v>#DIV/0!</v>
      </c>
      <c r="J52" s="101" t="e">
        <f>(H$55-H52)/H$55</f>
        <v>#DIV/0!</v>
      </c>
      <c r="L52" s="98" t="s">
        <v>129</v>
      </c>
      <c r="M52" s="99" t="e">
        <f>SLOPE(N40:N45,O40:O45)</f>
        <v>#DIV/0!</v>
      </c>
      <c r="N52" s="100" t="e">
        <f>INTERCEPT(N40:N45,O40:O45)</f>
        <v>#DIV/0!</v>
      </c>
      <c r="O52" s="101" t="e">
        <f>(M$55-M52)/M$55</f>
        <v>#DIV/0!</v>
      </c>
    </row>
    <row r="53" spans="1:19" outlineLevel="1">
      <c r="G53" s="102" t="s">
        <v>130</v>
      </c>
      <c r="H53" s="99" t="e">
        <f>SLOPE(I41:I45,J41:J45)</f>
        <v>#DIV/0!</v>
      </c>
      <c r="I53" s="100" t="e">
        <f>INTERCEPT(I41:I45,J41:J45)</f>
        <v>#DIV/0!</v>
      </c>
      <c r="J53" s="103" t="e">
        <f>(H$55-H53)/H$55</f>
        <v>#DIV/0!</v>
      </c>
      <c r="L53" s="102" t="s">
        <v>130</v>
      </c>
      <c r="M53" s="99" t="e">
        <f>SLOPE(N41:N45,O41:O45)</f>
        <v>#DIV/0!</v>
      </c>
      <c r="N53" s="100" t="e">
        <f>INTERCEPT(N41:N45,O41:O45)</f>
        <v>#DIV/0!</v>
      </c>
      <c r="O53" s="103" t="e">
        <f>(M$55-M53)/M$55</f>
        <v>#DIV/0!</v>
      </c>
    </row>
    <row r="54" spans="1:19" outlineLevel="1">
      <c r="G54" s="98" t="s">
        <v>131</v>
      </c>
      <c r="H54" s="99" t="e">
        <f>SLOPE(I42:I45,J42:J45)</f>
        <v>#DIV/0!</v>
      </c>
      <c r="I54" s="100" t="e">
        <f>INTERCEPT(I42:I45,J42:J45)</f>
        <v>#DIV/0!</v>
      </c>
      <c r="J54" s="101" t="e">
        <f>(H$55-H54)/H$55</f>
        <v>#DIV/0!</v>
      </c>
      <c r="L54" s="98" t="s">
        <v>131</v>
      </c>
      <c r="M54" s="99" t="e">
        <f>SLOPE(N42:N45,O42:O45)</f>
        <v>#DIV/0!</v>
      </c>
      <c r="N54" s="100" t="e">
        <f>INTERCEPT(N42:N45,O42:O45)</f>
        <v>#DIV/0!</v>
      </c>
      <c r="O54" s="101" t="e">
        <f>(M$55-M54)/M$55</f>
        <v>#DIV/0!</v>
      </c>
    </row>
    <row r="55" spans="1:19" ht="18.600000000000001" customHeight="1" outlineLevel="1" thickBot="1">
      <c r="A55" s="87" t="s">
        <v>132</v>
      </c>
      <c r="G55" s="104" t="s">
        <v>133</v>
      </c>
      <c r="H55" s="105" t="e">
        <f>SLOPE(I43:I45,J43:J45)</f>
        <v>#DIV/0!</v>
      </c>
      <c r="I55" s="106" t="e">
        <f>INTERCEPT(I43:I45,J43:J45)</f>
        <v>#DIV/0!</v>
      </c>
      <c r="J55" s="107" t="s">
        <v>87</v>
      </c>
      <c r="K55" s="67"/>
      <c r="L55" s="104" t="s">
        <v>133</v>
      </c>
      <c r="M55" s="105" t="e">
        <f>SLOPE(N43:N45,O43:O45)</f>
        <v>#DIV/0!</v>
      </c>
      <c r="N55" s="106" t="e">
        <f>INTERCEPT(N43:N45,O43:O45)</f>
        <v>#DIV/0!</v>
      </c>
      <c r="O55" s="107" t="s">
        <v>87</v>
      </c>
    </row>
    <row r="56" spans="1:19" ht="18" customHeight="1" outlineLevel="1">
      <c r="A56" s="87"/>
    </row>
    <row r="57" spans="1:19" ht="15" customHeight="1" outlineLevel="1" thickBot="1">
      <c r="B57" t="s">
        <v>134</v>
      </c>
    </row>
    <row r="58" spans="1:19" ht="18" customHeight="1" outlineLevel="1">
      <c r="A58" t="s">
        <v>135</v>
      </c>
      <c r="B58" s="108" t="s">
        <v>20</v>
      </c>
      <c r="C58" s="109" t="s">
        <v>24</v>
      </c>
      <c r="D58" s="96" t="s">
        <v>25</v>
      </c>
      <c r="E58" s="110"/>
    </row>
    <row r="59" spans="1:19" ht="15" customHeight="1" outlineLevel="1" thickBot="1">
      <c r="A59" t="s">
        <v>136</v>
      </c>
      <c r="B59" s="111" t="str">
        <f>CONCATENATE($B$4,"/V")</f>
        <v>Nm/V</v>
      </c>
      <c r="C59" s="112" t="e">
        <f>SLOPE(R40:R51,S40:S51)</f>
        <v>#DIV/0!</v>
      </c>
      <c r="D59" s="106" t="e">
        <f>INTERCEPT(R40:R51,S40:S51)</f>
        <v>#DIV/0!</v>
      </c>
      <c r="E59" s="110" t="e">
        <f>CORREL(AB5:AB55,AA5:AA55)</f>
        <v>#DIV/0!</v>
      </c>
    </row>
    <row r="60" spans="1:19" ht="15" customHeight="1" outlineLevel="1" thickBot="1">
      <c r="B60" s="113" t="str">
        <f>CONCATENATE("V/",$B$4)</f>
        <v>V/Nm</v>
      </c>
      <c r="C60" s="114" t="e">
        <f>SLOPE(S40:S51,R40:R51)</f>
        <v>#DIV/0!</v>
      </c>
      <c r="D60" s="115" t="e">
        <f>INTERCEPT(S40:S51,R40:R51)</f>
        <v>#DIV/0!</v>
      </c>
    </row>
    <row r="61" spans="1:19" ht="15" customHeight="1" outlineLevel="1" thickBot="1">
      <c r="B61" s="110"/>
    </row>
    <row r="62" spans="1:19" ht="18" customHeight="1" outlineLevel="1">
      <c r="A62" t="s">
        <v>137</v>
      </c>
      <c r="B62" s="108" t="s">
        <v>20</v>
      </c>
      <c r="C62" s="109" t="s">
        <v>138</v>
      </c>
      <c r="D62" s="109" t="s">
        <v>139</v>
      </c>
      <c r="E62" s="96" t="s">
        <v>140</v>
      </c>
    </row>
    <row r="63" spans="1:19" ht="15" customHeight="1" outlineLevel="1" thickBot="1">
      <c r="A63" t="s">
        <v>141</v>
      </c>
      <c r="B63" s="111" t="str">
        <f>CONCATENATE($B$4,"/V")</f>
        <v>Nm/V</v>
      </c>
      <c r="C63" s="116" t="e">
        <f>INDEX(LINEST(R40:R51,(S40:S51)^{1,2}),1)</f>
        <v>#VALUE!</v>
      </c>
      <c r="D63" s="116" t="e">
        <f>INDEX(LINEST(R40:R51,(S40:S51)^{1,2}),1,2)</f>
        <v>#VALUE!</v>
      </c>
      <c r="E63" s="117" t="e">
        <f>INDEX(LINEST(R40:R51,(S40:S51)^{1,2}),1,3)</f>
        <v>#VALUE!</v>
      </c>
    </row>
    <row r="64" spans="1:19" ht="15" customHeight="1" outlineLevel="1" thickBot="1">
      <c r="B64" s="113" t="str">
        <f>CONCATENATE("V/",$B$4)</f>
        <v>V/Nm</v>
      </c>
      <c r="C64" s="118" t="e">
        <f>INDEX(LINEST(S40:S51,(R40:R51)^{1,2}),1)</f>
        <v>#VALUE!</v>
      </c>
      <c r="D64" s="118" t="e">
        <f>INDEX(LINEST(S40:S51,(R40:R51)^{1,2}),1,2)</f>
        <v>#VALUE!</v>
      </c>
      <c r="E64" s="119" t="e">
        <f>INDEX(LINEST(S40:S51,(R40:R51)^{1,2}),1,3)</f>
        <v>#VALUE!</v>
      </c>
    </row>
    <row r="66" spans="1:24" ht="25.8" customHeight="1">
      <c r="A66" s="246" t="s">
        <v>142</v>
      </c>
      <c r="B66" s="247"/>
      <c r="C66" s="247"/>
      <c r="D66" s="247"/>
      <c r="E66" s="247"/>
      <c r="F66" s="247"/>
      <c r="G66" s="247"/>
      <c r="H66" s="247"/>
      <c r="I66" s="247"/>
      <c r="J66" s="247"/>
      <c r="K66" s="247"/>
      <c r="L66" s="247"/>
      <c r="M66" s="247"/>
      <c r="N66" s="247"/>
      <c r="O66" s="247"/>
      <c r="P66" s="247"/>
      <c r="Q66" s="247"/>
      <c r="R66" s="247"/>
      <c r="S66" s="247"/>
      <c r="T66" s="247"/>
      <c r="U66" s="247"/>
      <c r="V66" s="247"/>
      <c r="W66" s="247"/>
      <c r="X66" s="247"/>
    </row>
    <row r="67" spans="1:24" outlineLevel="1"/>
    <row r="68" spans="1:24" ht="15" customHeight="1" thickBot="1">
      <c r="F68" t="s">
        <v>143</v>
      </c>
    </row>
    <row r="69" spans="1:24" ht="18" customHeight="1">
      <c r="F69" s="108" t="s">
        <v>126</v>
      </c>
      <c r="G69" s="109" t="s">
        <v>24</v>
      </c>
      <c r="H69" s="96" t="s">
        <v>25</v>
      </c>
    </row>
    <row r="70" spans="1:24" ht="15" customHeight="1" thickBot="1">
      <c r="F70" s="111" t="s">
        <v>144</v>
      </c>
      <c r="G70" s="112" t="e">
        <f>LINEST(E72:E73,F72:F73)</f>
        <v>#VALUE!</v>
      </c>
      <c r="H70" s="106" t="e">
        <f>INTERCEPT(E72:E73,F72:F73)</f>
        <v>#DIV/0!</v>
      </c>
    </row>
    <row r="71" spans="1:24">
      <c r="A71" t="s">
        <v>145</v>
      </c>
      <c r="F71" s="120" t="s">
        <v>146</v>
      </c>
      <c r="G71" s="121" t="e">
        <f>LINEST(F72:F73,E72:E73)</f>
        <v>#VALUE!</v>
      </c>
      <c r="H71" s="122" t="e">
        <f>INTERCEPT(F72:F73,E72:E73)</f>
        <v>#DIV/0!</v>
      </c>
    </row>
    <row r="72" spans="1:24" outlineLevel="1">
      <c r="A72" s="74" t="str">
        <f>D11</f>
        <v>Set Point 0</v>
      </c>
      <c r="B72" s="132">
        <f>SetPnt_N_0</f>
        <v>0</v>
      </c>
      <c r="C72" s="91" t="e">
        <f>B72*$G$71+$H$71</f>
        <v>#VALUE!</v>
      </c>
      <c r="D72" s="91" t="e">
        <f>B72*$C$60+$D$60</f>
        <v>#DIV/0!</v>
      </c>
      <c r="E72" s="133">
        <f>D40</f>
        <v>0</v>
      </c>
      <c r="F72" s="133" t="e">
        <f>E40</f>
        <v>#DIV/0!</v>
      </c>
      <c r="G72" s="91" t="e">
        <f>E72*$G$94+$H$94</f>
        <v>#VALUE!</v>
      </c>
      <c r="H72" s="91" t="e">
        <f>F72-G72</f>
        <v>#DIV/0!</v>
      </c>
      <c r="I72" s="134" t="e">
        <f>C72+H72</f>
        <v>#VALUE!</v>
      </c>
      <c r="J72" s="135" t="e">
        <f>H72/4</f>
        <v>#DIV/0!</v>
      </c>
      <c r="K72" s="136"/>
      <c r="L72" s="91" t="e">
        <f>E72*$C$60+$D$60</f>
        <v>#DIV/0!</v>
      </c>
      <c r="M72" s="91" t="e">
        <f>F72-L72</f>
        <v>#DIV/0!</v>
      </c>
      <c r="N72" s="134" t="e">
        <f>C72+M72</f>
        <v>#VALUE!</v>
      </c>
      <c r="O72" s="396" t="e">
        <f>M72/4</f>
        <v>#DIV/0!</v>
      </c>
    </row>
    <row r="73" spans="1:24" outlineLevel="1">
      <c r="A73" s="74" t="str">
        <f>D16</f>
        <v>Set Point 5</v>
      </c>
      <c r="B73" s="138">
        <f>SetPnt_N_5</f>
        <v>-2000</v>
      </c>
      <c r="C73" s="91" t="e">
        <f>B73*$G$71+$H$71</f>
        <v>#VALUE!</v>
      </c>
      <c r="D73" s="91" t="e">
        <f>B73*$C$60+$D$60</f>
        <v>#DIV/0!</v>
      </c>
      <c r="E73" s="133">
        <f>D41</f>
        <v>0</v>
      </c>
      <c r="F73" s="133" t="e">
        <f>E41</f>
        <v>#DIV/0!</v>
      </c>
      <c r="G73" s="91" t="e">
        <f>E73*$G$71+$H$71</f>
        <v>#VALUE!</v>
      </c>
      <c r="H73" s="91" t="e">
        <f>F73-G73</f>
        <v>#DIV/0!</v>
      </c>
      <c r="I73" s="134" t="e">
        <f>C73+H73</f>
        <v>#VALUE!</v>
      </c>
      <c r="J73" s="135" t="e">
        <f>H73/4</f>
        <v>#DIV/0!</v>
      </c>
      <c r="K73" s="136"/>
      <c r="L73" s="91" t="e">
        <f>E73*$C$60+$D$60</f>
        <v>#DIV/0!</v>
      </c>
      <c r="M73" s="91" t="e">
        <f>F73-L73</f>
        <v>#DIV/0!</v>
      </c>
      <c r="N73" s="134" t="e">
        <f>C73+M73</f>
        <v>#VALUE!</v>
      </c>
      <c r="O73" s="396" t="e">
        <f>M73/4</f>
        <v>#DIV/0!</v>
      </c>
    </row>
    <row r="74" spans="1:24" outlineLevel="1"/>
    <row r="75" spans="1:24" ht="15" customHeight="1" outlineLevel="1" thickBot="1">
      <c r="F75" t="s">
        <v>147</v>
      </c>
    </row>
    <row r="76" spans="1:24" ht="18" customHeight="1" outlineLevel="1">
      <c r="F76" s="108" t="s">
        <v>126</v>
      </c>
      <c r="G76" s="109" t="s">
        <v>24</v>
      </c>
      <c r="H76" s="96" t="s">
        <v>25</v>
      </c>
    </row>
    <row r="77" spans="1:24" ht="15" customHeight="1" outlineLevel="1" thickBot="1">
      <c r="F77" s="111" t="s">
        <v>144</v>
      </c>
      <c r="G77" s="112" t="e">
        <f>LINEST(E79:E80,F79:F80)</f>
        <v>#VALUE!</v>
      </c>
      <c r="H77" s="106" t="e">
        <f>INTERCEPT(E79:E80,F79:F80)</f>
        <v>#DIV/0!</v>
      </c>
    </row>
    <row r="78" spans="1:24">
      <c r="A78" t="s">
        <v>148</v>
      </c>
      <c r="F78" s="120" t="s">
        <v>146</v>
      </c>
      <c r="G78" s="121" t="e">
        <f>LINEST(F79:F80,E79:E80)</f>
        <v>#VALUE!</v>
      </c>
      <c r="H78" s="122" t="e">
        <f>INTERCEPT(F79:F80,E79:E80)</f>
        <v>#DIV/0!</v>
      </c>
    </row>
    <row r="79" spans="1:24" outlineLevel="1">
      <c r="A79" s="74" t="str">
        <f>D11</f>
        <v>Set Point 0</v>
      </c>
      <c r="B79" s="132">
        <f>SetPnt_N_0</f>
        <v>0</v>
      </c>
      <c r="C79" s="91" t="e">
        <f>B79*$G$78+$H$78</f>
        <v>#VALUE!</v>
      </c>
      <c r="D79" s="91" t="e">
        <f>B79*$C$60+$D$60</f>
        <v>#DIV/0!</v>
      </c>
      <c r="E79" s="133">
        <f>D42</f>
        <v>0</v>
      </c>
      <c r="F79" s="133" t="e">
        <f>E42</f>
        <v>#DIV/0!</v>
      </c>
      <c r="G79" s="91" t="e">
        <f>E79*$G$94+$H$94</f>
        <v>#VALUE!</v>
      </c>
      <c r="H79" s="91" t="e">
        <f>F79-G79</f>
        <v>#DIV/0!</v>
      </c>
      <c r="I79" s="134" t="e">
        <f>C79+H79</f>
        <v>#VALUE!</v>
      </c>
      <c r="J79" s="135" t="e">
        <f>H79/4</f>
        <v>#DIV/0!</v>
      </c>
      <c r="K79" s="136"/>
      <c r="L79" s="91" t="e">
        <f>E79*$C$60+$D$60</f>
        <v>#DIV/0!</v>
      </c>
      <c r="M79" s="91" t="e">
        <f>F79-L79</f>
        <v>#DIV/0!</v>
      </c>
      <c r="N79" s="134" t="e">
        <f>C79+M79</f>
        <v>#VALUE!</v>
      </c>
      <c r="O79" s="396" t="e">
        <f>M79/4</f>
        <v>#DIV/0!</v>
      </c>
    </row>
    <row r="80" spans="1:24" outlineLevel="1">
      <c r="A80" s="74" t="str">
        <f>D16</f>
        <v>Set Point 5</v>
      </c>
      <c r="B80" s="138">
        <f>SetPnt_N_5</f>
        <v>-2000</v>
      </c>
      <c r="C80" s="91" t="e">
        <f>B80*$G$78+$H$78</f>
        <v>#VALUE!</v>
      </c>
      <c r="D80" s="91" t="e">
        <f>B80*$C$60+$D$60</f>
        <v>#DIV/0!</v>
      </c>
      <c r="E80" s="133">
        <f>D43</f>
        <v>0</v>
      </c>
      <c r="F80" s="133" t="e">
        <f>E43</f>
        <v>#DIV/0!</v>
      </c>
      <c r="G80" s="91" t="e">
        <f>E80*$G$78+$H$78</f>
        <v>#VALUE!</v>
      </c>
      <c r="H80" s="91" t="e">
        <f>F80-G80</f>
        <v>#DIV/0!</v>
      </c>
      <c r="I80" s="134" t="e">
        <f>C80+H80</f>
        <v>#VALUE!</v>
      </c>
      <c r="J80" s="135" t="e">
        <f>H80/4</f>
        <v>#DIV/0!</v>
      </c>
      <c r="K80" s="136"/>
      <c r="L80" s="91" t="e">
        <f>E80*$C$60+$D$60</f>
        <v>#DIV/0!</v>
      </c>
      <c r="M80" s="91" t="e">
        <f>F80-L80</f>
        <v>#DIV/0!</v>
      </c>
      <c r="N80" s="134" t="e">
        <f>C80+M80</f>
        <v>#VALUE!</v>
      </c>
      <c r="O80" s="396" t="e">
        <f>M80/4</f>
        <v>#DIV/0!</v>
      </c>
    </row>
    <row r="81" spans="1:15" outlineLevel="1"/>
    <row r="82" spans="1:15" ht="15" customHeight="1" outlineLevel="1" thickBot="1">
      <c r="F82" t="s">
        <v>149</v>
      </c>
    </row>
    <row r="83" spans="1:15" ht="18" customHeight="1" outlineLevel="1">
      <c r="F83" s="108" t="s">
        <v>126</v>
      </c>
      <c r="G83" s="109" t="s">
        <v>24</v>
      </c>
      <c r="H83" s="96" t="s">
        <v>25</v>
      </c>
    </row>
    <row r="84" spans="1:15" ht="15" customHeight="1" outlineLevel="1" thickBot="1">
      <c r="F84" s="111" t="s">
        <v>144</v>
      </c>
      <c r="G84" s="112" t="e">
        <f>LINEST(E86:E87,F86:F87)</f>
        <v>#VALUE!</v>
      </c>
      <c r="H84" s="106" t="e">
        <f>INTERCEPT(E86:E87,F86:F87)</f>
        <v>#DIV/0!</v>
      </c>
    </row>
    <row r="85" spans="1:15">
      <c r="A85" t="s">
        <v>150</v>
      </c>
      <c r="F85" s="120" t="s">
        <v>146</v>
      </c>
      <c r="G85" s="121" t="e">
        <f>LINEST(F86:F87,E86:E87)</f>
        <v>#VALUE!</v>
      </c>
      <c r="H85" s="122" t="e">
        <f>INTERCEPT(F86:F87,E86:E87)</f>
        <v>#DIV/0!</v>
      </c>
    </row>
    <row r="86" spans="1:15" outlineLevel="1">
      <c r="A86" s="74" t="str">
        <f>D11</f>
        <v>Set Point 0</v>
      </c>
      <c r="B86" s="132">
        <f>SetPnt_N_0</f>
        <v>0</v>
      </c>
      <c r="C86" s="91" t="e">
        <f>B86*$G$85+$H$85</f>
        <v>#VALUE!</v>
      </c>
      <c r="D86" s="91" t="e">
        <f>B86*$C$60+$D$60</f>
        <v>#DIV/0!</v>
      </c>
      <c r="E86" s="133">
        <f>D44</f>
        <v>0</v>
      </c>
      <c r="F86" s="133" t="e">
        <f>E44</f>
        <v>#DIV/0!</v>
      </c>
      <c r="G86" s="91" t="e">
        <f>E86*$G$94+$H$94</f>
        <v>#VALUE!</v>
      </c>
      <c r="H86" s="91" t="e">
        <f>F86-G86</f>
        <v>#DIV/0!</v>
      </c>
      <c r="I86" s="134" t="e">
        <f>C86+H86</f>
        <v>#VALUE!</v>
      </c>
      <c r="J86" s="135" t="e">
        <f>H86/4</f>
        <v>#DIV/0!</v>
      </c>
      <c r="K86" s="136"/>
      <c r="L86" s="91" t="e">
        <f>E86*$C$60+$D$60</f>
        <v>#DIV/0!</v>
      </c>
      <c r="M86" s="91" t="e">
        <f>F86-L86</f>
        <v>#DIV/0!</v>
      </c>
      <c r="N86" s="134" t="e">
        <f>C86+M86</f>
        <v>#VALUE!</v>
      </c>
      <c r="O86" s="396" t="e">
        <f>M86/4</f>
        <v>#DIV/0!</v>
      </c>
    </row>
    <row r="87" spans="1:15" outlineLevel="1">
      <c r="A87" s="74" t="str">
        <f>D16</f>
        <v>Set Point 5</v>
      </c>
      <c r="B87" s="138">
        <f>SetPnt_N_5</f>
        <v>-2000</v>
      </c>
      <c r="C87" s="91" t="e">
        <f>B87*$G$85+$H$85</f>
        <v>#VALUE!</v>
      </c>
      <c r="D87" s="91" t="e">
        <f>B87*$C$60+$D$60</f>
        <v>#DIV/0!</v>
      </c>
      <c r="E87" s="133">
        <f>D45</f>
        <v>0</v>
      </c>
      <c r="F87" s="133" t="e">
        <f>E45</f>
        <v>#DIV/0!</v>
      </c>
      <c r="G87" s="91" t="e">
        <f>E87*$G$85+$H$85</f>
        <v>#VALUE!</v>
      </c>
      <c r="H87" s="91" t="e">
        <f>F87-G87</f>
        <v>#DIV/0!</v>
      </c>
      <c r="I87" s="134" t="e">
        <f>C87+H87</f>
        <v>#VALUE!</v>
      </c>
      <c r="J87" s="135" t="e">
        <f>H87/4</f>
        <v>#DIV/0!</v>
      </c>
      <c r="K87" s="136"/>
      <c r="L87" s="91" t="e">
        <f>E87*$C$60+$D$60</f>
        <v>#DIV/0!</v>
      </c>
      <c r="M87" s="91" t="e">
        <f>F87-L87</f>
        <v>#DIV/0!</v>
      </c>
      <c r="N87" s="134" t="e">
        <f>C87+M87</f>
        <v>#VALUE!</v>
      </c>
      <c r="O87" s="396" t="e">
        <f>M87/4</f>
        <v>#DIV/0!</v>
      </c>
    </row>
    <row r="88" spans="1:15" outlineLevel="1"/>
    <row r="89" spans="1:15" outlineLevel="1"/>
    <row r="90" spans="1:15" outlineLevel="1"/>
    <row r="91" spans="1:15" ht="15" customHeight="1" outlineLevel="1" thickBot="1">
      <c r="F91" t="s">
        <v>151</v>
      </c>
    </row>
    <row r="92" spans="1:15" ht="18" customHeight="1" outlineLevel="1">
      <c r="F92" s="108" t="s">
        <v>227</v>
      </c>
      <c r="G92" s="109" t="s">
        <v>24</v>
      </c>
      <c r="H92" s="96" t="s">
        <v>25</v>
      </c>
    </row>
    <row r="93" spans="1:15" ht="15" customHeight="1" outlineLevel="1" thickBot="1">
      <c r="F93" s="111" t="s">
        <v>144</v>
      </c>
      <c r="G93" s="112" t="e">
        <f>LINEST(E96:E101,F96:F101)</f>
        <v>#VALUE!</v>
      </c>
      <c r="H93" s="106" t="e">
        <f>INTERCEPT(E96:E101,F96:F101)</f>
        <v>#DIV/0!</v>
      </c>
    </row>
    <row r="94" spans="1:15" ht="15" customHeight="1" outlineLevel="1" thickBot="1">
      <c r="F94" s="120" t="s">
        <v>146</v>
      </c>
      <c r="G94" s="121" t="e">
        <f>LINEST(F96:F101,E96:E101)</f>
        <v>#VALUE!</v>
      </c>
      <c r="H94" s="122" t="e">
        <f>INTERCEPT(F96:F101,E96:E101)</f>
        <v>#DIV/0!</v>
      </c>
    </row>
    <row r="95" spans="1:15" ht="38.4" customHeight="1" outlineLevel="1" thickBot="1">
      <c r="A95" s="123" t="s">
        <v>33</v>
      </c>
      <c r="B95" s="124" t="s">
        <v>152</v>
      </c>
      <c r="C95" s="125" t="s">
        <v>153</v>
      </c>
      <c r="D95" s="125" t="s">
        <v>154</v>
      </c>
      <c r="E95" s="126" t="s">
        <v>155</v>
      </c>
      <c r="F95" s="126" t="s">
        <v>156</v>
      </c>
      <c r="G95" s="125" t="s">
        <v>157</v>
      </c>
      <c r="H95" s="125" t="s">
        <v>158</v>
      </c>
      <c r="I95" s="127" t="s">
        <v>159</v>
      </c>
      <c r="J95" s="128" t="s">
        <v>160</v>
      </c>
      <c r="K95" s="129"/>
      <c r="L95" s="125" t="s">
        <v>161</v>
      </c>
      <c r="M95" s="125" t="s">
        <v>162</v>
      </c>
      <c r="N95" s="130" t="s">
        <v>163</v>
      </c>
      <c r="O95" s="131" t="s">
        <v>160</v>
      </c>
    </row>
    <row r="96" spans="1:15" ht="15" customHeight="1" outlineLevel="1" thickTop="1">
      <c r="A96" s="74" t="str">
        <f t="shared" ref="A96:A101" si="5">D11</f>
        <v>Set Point 0</v>
      </c>
      <c r="B96" s="132">
        <f>SetPnt_N_0</f>
        <v>0</v>
      </c>
      <c r="C96" s="91" t="e">
        <f t="shared" ref="C96:C101" si="6">B96*$G$94+$H$94</f>
        <v>#VALUE!</v>
      </c>
      <c r="D96" s="91" t="e">
        <f t="shared" ref="D96:D101" si="7">B96*$C$60+$D$60</f>
        <v>#DIV/0!</v>
      </c>
      <c r="E96" s="133">
        <f t="shared" ref="E96:F101" si="8">I40</f>
        <v>0</v>
      </c>
      <c r="F96" s="133" t="e">
        <f t="shared" si="8"/>
        <v>#DIV/0!</v>
      </c>
      <c r="G96" s="91" t="e">
        <f t="shared" ref="G96:G101" si="9">E96*$G$94+$H$94</f>
        <v>#VALUE!</v>
      </c>
      <c r="H96" s="91" t="e">
        <f t="shared" ref="H96:H101" si="10">F96-G96</f>
        <v>#DIV/0!</v>
      </c>
      <c r="I96" s="134" t="e">
        <f t="shared" ref="I96:I101" si="11">C96+H96</f>
        <v>#VALUE!</v>
      </c>
      <c r="J96" s="135" t="e">
        <f t="shared" ref="J96:J101" si="12">H96/4</f>
        <v>#DIV/0!</v>
      </c>
      <c r="K96" s="136"/>
      <c r="L96" s="91" t="e">
        <f t="shared" ref="L96:L101" si="13">E96*$C$60+$D$60</f>
        <v>#DIV/0!</v>
      </c>
      <c r="M96" s="91" t="e">
        <f t="shared" ref="M96:M101" si="14">F96-L96</f>
        <v>#DIV/0!</v>
      </c>
      <c r="N96" s="134" t="e">
        <f t="shared" ref="N96:N101" si="15">C96+M96</f>
        <v>#VALUE!</v>
      </c>
      <c r="O96" s="137" t="e">
        <f t="shared" ref="O96:O101" si="16">M96/4</f>
        <v>#DIV/0!</v>
      </c>
    </row>
    <row r="97" spans="1:15" outlineLevel="1">
      <c r="A97" s="74" t="str">
        <f t="shared" si="5"/>
        <v>Set Point 1</v>
      </c>
      <c r="B97" s="138">
        <f>SetPnt_N_1</f>
        <v>-400</v>
      </c>
      <c r="C97" s="91" t="e">
        <f t="shared" si="6"/>
        <v>#VALUE!</v>
      </c>
      <c r="D97" s="91" t="e">
        <f t="shared" si="7"/>
        <v>#DIV/0!</v>
      </c>
      <c r="E97" s="133">
        <f t="shared" si="8"/>
        <v>0</v>
      </c>
      <c r="F97" s="133" t="e">
        <f t="shared" si="8"/>
        <v>#DIV/0!</v>
      </c>
      <c r="G97" s="91" t="e">
        <f t="shared" si="9"/>
        <v>#VALUE!</v>
      </c>
      <c r="H97" s="91" t="e">
        <f t="shared" si="10"/>
        <v>#DIV/0!</v>
      </c>
      <c r="I97" s="134" t="e">
        <f t="shared" si="11"/>
        <v>#VALUE!</v>
      </c>
      <c r="J97" s="135" t="e">
        <f t="shared" si="12"/>
        <v>#DIV/0!</v>
      </c>
      <c r="K97" s="136"/>
      <c r="L97" s="91" t="e">
        <f t="shared" si="13"/>
        <v>#DIV/0!</v>
      </c>
      <c r="M97" s="91" t="e">
        <f t="shared" si="14"/>
        <v>#DIV/0!</v>
      </c>
      <c r="N97" s="134" t="e">
        <f t="shared" si="15"/>
        <v>#VALUE!</v>
      </c>
      <c r="O97" s="137" t="e">
        <f t="shared" si="16"/>
        <v>#DIV/0!</v>
      </c>
    </row>
    <row r="98" spans="1:15" outlineLevel="1">
      <c r="A98" s="74" t="str">
        <f t="shared" si="5"/>
        <v>Set Point 2</v>
      </c>
      <c r="B98" s="138">
        <f>SetPnt_N_2</f>
        <v>-800</v>
      </c>
      <c r="C98" s="91" t="e">
        <f t="shared" si="6"/>
        <v>#VALUE!</v>
      </c>
      <c r="D98" s="91" t="e">
        <f t="shared" si="7"/>
        <v>#DIV/0!</v>
      </c>
      <c r="E98" s="133">
        <f t="shared" si="8"/>
        <v>0</v>
      </c>
      <c r="F98" s="133" t="e">
        <f t="shared" si="8"/>
        <v>#DIV/0!</v>
      </c>
      <c r="G98" s="91" t="e">
        <f t="shared" si="9"/>
        <v>#VALUE!</v>
      </c>
      <c r="H98" s="91" t="e">
        <f t="shared" si="10"/>
        <v>#DIV/0!</v>
      </c>
      <c r="I98" s="134" t="e">
        <f t="shared" si="11"/>
        <v>#VALUE!</v>
      </c>
      <c r="J98" s="135" t="e">
        <f t="shared" si="12"/>
        <v>#DIV/0!</v>
      </c>
      <c r="K98" s="136"/>
      <c r="L98" s="91" t="e">
        <f t="shared" si="13"/>
        <v>#DIV/0!</v>
      </c>
      <c r="M98" s="91" t="e">
        <f t="shared" si="14"/>
        <v>#DIV/0!</v>
      </c>
      <c r="N98" s="134" t="e">
        <f t="shared" si="15"/>
        <v>#VALUE!</v>
      </c>
      <c r="O98" s="137" t="e">
        <f t="shared" si="16"/>
        <v>#DIV/0!</v>
      </c>
    </row>
    <row r="99" spans="1:15" outlineLevel="1">
      <c r="A99" s="74" t="str">
        <f t="shared" si="5"/>
        <v>Set Point 3</v>
      </c>
      <c r="B99" s="138">
        <f>SetPnt_N_3</f>
        <v>-1200</v>
      </c>
      <c r="C99" s="91" t="e">
        <f t="shared" si="6"/>
        <v>#VALUE!</v>
      </c>
      <c r="D99" s="91" t="e">
        <f t="shared" si="7"/>
        <v>#DIV/0!</v>
      </c>
      <c r="E99" s="133">
        <f t="shared" si="8"/>
        <v>0</v>
      </c>
      <c r="F99" s="133" t="e">
        <f t="shared" si="8"/>
        <v>#DIV/0!</v>
      </c>
      <c r="G99" s="91" t="e">
        <f t="shared" si="9"/>
        <v>#VALUE!</v>
      </c>
      <c r="H99" s="91" t="e">
        <f t="shared" si="10"/>
        <v>#DIV/0!</v>
      </c>
      <c r="I99" s="134" t="e">
        <f t="shared" si="11"/>
        <v>#VALUE!</v>
      </c>
      <c r="J99" s="135" t="e">
        <f t="shared" si="12"/>
        <v>#DIV/0!</v>
      </c>
      <c r="K99" s="136"/>
      <c r="L99" s="91" t="e">
        <f t="shared" si="13"/>
        <v>#DIV/0!</v>
      </c>
      <c r="M99" s="91" t="e">
        <f t="shared" si="14"/>
        <v>#DIV/0!</v>
      </c>
      <c r="N99" s="134" t="e">
        <f t="shared" si="15"/>
        <v>#VALUE!</v>
      </c>
      <c r="O99" s="137" t="e">
        <f t="shared" si="16"/>
        <v>#DIV/0!</v>
      </c>
    </row>
    <row r="100" spans="1:15" outlineLevel="1">
      <c r="A100" s="74" t="str">
        <f t="shared" si="5"/>
        <v>Set Point 4</v>
      </c>
      <c r="B100" s="138">
        <f>SetPnt_N_4</f>
        <v>-1600</v>
      </c>
      <c r="C100" s="91" t="e">
        <f t="shared" si="6"/>
        <v>#VALUE!</v>
      </c>
      <c r="D100" s="91" t="e">
        <f t="shared" si="7"/>
        <v>#DIV/0!</v>
      </c>
      <c r="E100" s="133">
        <f t="shared" si="8"/>
        <v>0</v>
      </c>
      <c r="F100" s="133" t="e">
        <f t="shared" si="8"/>
        <v>#DIV/0!</v>
      </c>
      <c r="G100" s="91" t="e">
        <f t="shared" si="9"/>
        <v>#VALUE!</v>
      </c>
      <c r="H100" s="91" t="e">
        <f t="shared" si="10"/>
        <v>#DIV/0!</v>
      </c>
      <c r="I100" s="134" t="e">
        <f t="shared" si="11"/>
        <v>#VALUE!</v>
      </c>
      <c r="J100" s="135" t="e">
        <f t="shared" si="12"/>
        <v>#DIV/0!</v>
      </c>
      <c r="K100" s="136"/>
      <c r="L100" s="91" t="e">
        <f t="shared" si="13"/>
        <v>#DIV/0!</v>
      </c>
      <c r="M100" s="91" t="e">
        <f t="shared" si="14"/>
        <v>#DIV/0!</v>
      </c>
      <c r="N100" s="134" t="e">
        <f t="shared" si="15"/>
        <v>#VALUE!</v>
      </c>
      <c r="O100" s="137" t="e">
        <f t="shared" si="16"/>
        <v>#DIV/0!</v>
      </c>
    </row>
    <row r="101" spans="1:15" ht="15" customHeight="1" outlineLevel="1" thickBot="1">
      <c r="A101" s="66" t="str">
        <f t="shared" si="5"/>
        <v>Set Point 5</v>
      </c>
      <c r="B101" s="139">
        <f>SetPnt_N_5</f>
        <v>-2000</v>
      </c>
      <c r="C101" s="140" t="e">
        <f t="shared" si="6"/>
        <v>#VALUE!</v>
      </c>
      <c r="D101" s="140" t="e">
        <f t="shared" si="7"/>
        <v>#DIV/0!</v>
      </c>
      <c r="E101" s="141">
        <f t="shared" si="8"/>
        <v>0</v>
      </c>
      <c r="F101" s="141" t="e">
        <f t="shared" si="8"/>
        <v>#DIV/0!</v>
      </c>
      <c r="G101" s="140" t="e">
        <f t="shared" si="9"/>
        <v>#VALUE!</v>
      </c>
      <c r="H101" s="140" t="e">
        <f t="shared" si="10"/>
        <v>#DIV/0!</v>
      </c>
      <c r="I101" s="142" t="e">
        <f t="shared" si="11"/>
        <v>#VALUE!</v>
      </c>
      <c r="J101" s="143" t="e">
        <f t="shared" si="12"/>
        <v>#DIV/0!</v>
      </c>
      <c r="K101" s="144"/>
      <c r="L101" s="140" t="e">
        <f t="shared" si="13"/>
        <v>#DIV/0!</v>
      </c>
      <c r="M101" s="140" t="e">
        <f t="shared" si="14"/>
        <v>#DIV/0!</v>
      </c>
      <c r="N101" s="142" t="e">
        <f t="shared" si="15"/>
        <v>#VALUE!</v>
      </c>
      <c r="O101" s="145" t="e">
        <f t="shared" si="16"/>
        <v>#DIV/0!</v>
      </c>
    </row>
    <row r="102" spans="1:15" ht="15" customHeight="1" outlineLevel="1" thickBot="1">
      <c r="F102" t="s">
        <v>164</v>
      </c>
    </row>
    <row r="103" spans="1:15" ht="18" customHeight="1" outlineLevel="1">
      <c r="F103" s="108" t="s">
        <v>228</v>
      </c>
      <c r="G103" s="109" t="s">
        <v>24</v>
      </c>
      <c r="H103" s="96" t="s">
        <v>25</v>
      </c>
    </row>
    <row r="104" spans="1:15" ht="15" customHeight="1" outlineLevel="1" thickBot="1">
      <c r="F104" s="111" t="s">
        <v>144</v>
      </c>
      <c r="G104" s="112" t="e">
        <f>LINEST(E107:E112,F107:F112)</f>
        <v>#VALUE!</v>
      </c>
      <c r="H104" s="106" t="e">
        <f>INTERCEPT(E107:E112,F107:F112)</f>
        <v>#DIV/0!</v>
      </c>
    </row>
    <row r="105" spans="1:15" ht="15" customHeight="1" outlineLevel="1" thickBot="1">
      <c r="F105" s="113" t="s">
        <v>146</v>
      </c>
      <c r="G105" s="146" t="e">
        <f>LINEST(F107:F112,E107:E112)</f>
        <v>#VALUE!</v>
      </c>
      <c r="H105" s="147" t="e">
        <f>INTERCEPT(F107:F112,E107:E112)</f>
        <v>#DIV/0!</v>
      </c>
    </row>
    <row r="106" spans="1:15" ht="31.8" customHeight="1" outlineLevel="1" thickBot="1">
      <c r="A106" s="123" t="s">
        <v>165</v>
      </c>
      <c r="B106" s="124" t="s">
        <v>166</v>
      </c>
      <c r="C106" s="125" t="s">
        <v>167</v>
      </c>
      <c r="D106" s="125" t="s">
        <v>168</v>
      </c>
      <c r="E106" s="126" t="s">
        <v>155</v>
      </c>
      <c r="F106" s="126" t="s">
        <v>156</v>
      </c>
      <c r="G106" s="125" t="s">
        <v>169</v>
      </c>
      <c r="H106" s="125" t="s">
        <v>170</v>
      </c>
      <c r="I106" s="127" t="s">
        <v>159</v>
      </c>
      <c r="J106" s="128" t="s">
        <v>171</v>
      </c>
      <c r="K106" s="129"/>
      <c r="L106" s="125" t="s">
        <v>172</v>
      </c>
      <c r="M106" s="125" t="s">
        <v>173</v>
      </c>
      <c r="N106" s="130" t="s">
        <v>174</v>
      </c>
      <c r="O106" s="131" t="s">
        <v>171</v>
      </c>
    </row>
    <row r="107" spans="1:15" ht="15" customHeight="1" outlineLevel="1" thickTop="1">
      <c r="A107" s="74" t="str">
        <f t="shared" ref="A107:A112" si="17">D11</f>
        <v>Set Point 0</v>
      </c>
      <c r="B107" s="132">
        <f>SetPnt_N_0</f>
        <v>0</v>
      </c>
      <c r="C107" s="91" t="e">
        <f t="shared" ref="C107:C112" si="18">B107*$G$105+$H$105</f>
        <v>#VALUE!</v>
      </c>
      <c r="D107" s="91" t="e">
        <f t="shared" ref="D107:D112" si="19">B107*$C$60+$D$60</f>
        <v>#DIV/0!</v>
      </c>
      <c r="E107" s="133">
        <f t="shared" ref="E107:F112" si="20">N40</f>
        <v>0</v>
      </c>
      <c r="F107" s="133" t="e">
        <f t="shared" si="20"/>
        <v>#DIV/0!</v>
      </c>
      <c r="G107" s="91" t="e">
        <f t="shared" ref="G107:G112" si="21">E107*$G$105+$H$105</f>
        <v>#VALUE!</v>
      </c>
      <c r="H107" s="91" t="e">
        <f t="shared" ref="H107:H112" si="22">F107-G107</f>
        <v>#DIV/0!</v>
      </c>
      <c r="I107" s="134" t="e">
        <f t="shared" ref="I107:I112" si="23">C107+H107</f>
        <v>#VALUE!</v>
      </c>
      <c r="J107" s="135" t="e">
        <f t="shared" ref="J107:J112" si="24">H107/4</f>
        <v>#DIV/0!</v>
      </c>
      <c r="K107" s="136"/>
      <c r="L107" s="91" t="e">
        <f t="shared" ref="L107:L112" si="25">E107*$C$60+$D$60</f>
        <v>#DIV/0!</v>
      </c>
      <c r="M107" s="91" t="e">
        <f t="shared" ref="M107:M112" si="26">F107-L107</f>
        <v>#DIV/0!</v>
      </c>
      <c r="N107" s="134" t="e">
        <f t="shared" ref="N107:N112" si="27">C107+M107</f>
        <v>#VALUE!</v>
      </c>
      <c r="O107" s="137" t="e">
        <f t="shared" ref="O107:O112" si="28">M107/4</f>
        <v>#DIV/0!</v>
      </c>
    </row>
    <row r="108" spans="1:15" outlineLevel="1">
      <c r="A108" s="74" t="str">
        <f t="shared" si="17"/>
        <v>Set Point 1</v>
      </c>
      <c r="B108" s="138">
        <f>SetPnt_N_1</f>
        <v>-400</v>
      </c>
      <c r="C108" s="91" t="e">
        <f t="shared" si="18"/>
        <v>#VALUE!</v>
      </c>
      <c r="D108" s="91" t="e">
        <f t="shared" si="19"/>
        <v>#DIV/0!</v>
      </c>
      <c r="E108" s="133">
        <f t="shared" si="20"/>
        <v>0</v>
      </c>
      <c r="F108" s="133" t="e">
        <f t="shared" si="20"/>
        <v>#DIV/0!</v>
      </c>
      <c r="G108" s="91" t="e">
        <f t="shared" si="21"/>
        <v>#VALUE!</v>
      </c>
      <c r="H108" s="91" t="e">
        <f t="shared" si="22"/>
        <v>#DIV/0!</v>
      </c>
      <c r="I108" s="134" t="e">
        <f t="shared" si="23"/>
        <v>#VALUE!</v>
      </c>
      <c r="J108" s="135" t="e">
        <f t="shared" si="24"/>
        <v>#DIV/0!</v>
      </c>
      <c r="K108" s="136"/>
      <c r="L108" s="91" t="e">
        <f t="shared" si="25"/>
        <v>#DIV/0!</v>
      </c>
      <c r="M108" s="91" t="e">
        <f t="shared" si="26"/>
        <v>#DIV/0!</v>
      </c>
      <c r="N108" s="134" t="e">
        <f t="shared" si="27"/>
        <v>#VALUE!</v>
      </c>
      <c r="O108" s="137" t="e">
        <f t="shared" si="28"/>
        <v>#DIV/0!</v>
      </c>
    </row>
    <row r="109" spans="1:15" outlineLevel="1">
      <c r="A109" s="74" t="str">
        <f t="shared" si="17"/>
        <v>Set Point 2</v>
      </c>
      <c r="B109" s="138">
        <f>SetPnt_N_2</f>
        <v>-800</v>
      </c>
      <c r="C109" s="91" t="e">
        <f t="shared" si="18"/>
        <v>#VALUE!</v>
      </c>
      <c r="D109" s="91" t="e">
        <f t="shared" si="19"/>
        <v>#DIV/0!</v>
      </c>
      <c r="E109" s="133">
        <f t="shared" si="20"/>
        <v>0</v>
      </c>
      <c r="F109" s="133" t="e">
        <f t="shared" si="20"/>
        <v>#DIV/0!</v>
      </c>
      <c r="G109" s="91" t="e">
        <f t="shared" si="21"/>
        <v>#VALUE!</v>
      </c>
      <c r="H109" s="91" t="e">
        <f t="shared" si="22"/>
        <v>#DIV/0!</v>
      </c>
      <c r="I109" s="134" t="e">
        <f t="shared" si="23"/>
        <v>#VALUE!</v>
      </c>
      <c r="J109" s="135" t="e">
        <f t="shared" si="24"/>
        <v>#DIV/0!</v>
      </c>
      <c r="K109" s="136"/>
      <c r="L109" s="91" t="e">
        <f t="shared" si="25"/>
        <v>#DIV/0!</v>
      </c>
      <c r="M109" s="91" t="e">
        <f t="shared" si="26"/>
        <v>#DIV/0!</v>
      </c>
      <c r="N109" s="134" t="e">
        <f t="shared" si="27"/>
        <v>#VALUE!</v>
      </c>
      <c r="O109" s="137" t="e">
        <f t="shared" si="28"/>
        <v>#DIV/0!</v>
      </c>
    </row>
    <row r="110" spans="1:15" outlineLevel="1">
      <c r="A110" s="74" t="str">
        <f t="shared" si="17"/>
        <v>Set Point 3</v>
      </c>
      <c r="B110" s="138">
        <f>SetPnt_N_3</f>
        <v>-1200</v>
      </c>
      <c r="C110" s="91" t="e">
        <f t="shared" si="18"/>
        <v>#VALUE!</v>
      </c>
      <c r="D110" s="91" t="e">
        <f t="shared" si="19"/>
        <v>#DIV/0!</v>
      </c>
      <c r="E110" s="133">
        <f t="shared" si="20"/>
        <v>0</v>
      </c>
      <c r="F110" s="133" t="e">
        <f t="shared" si="20"/>
        <v>#DIV/0!</v>
      </c>
      <c r="G110" s="91" t="e">
        <f t="shared" si="21"/>
        <v>#VALUE!</v>
      </c>
      <c r="H110" s="91" t="e">
        <f t="shared" si="22"/>
        <v>#DIV/0!</v>
      </c>
      <c r="I110" s="134" t="e">
        <f t="shared" si="23"/>
        <v>#VALUE!</v>
      </c>
      <c r="J110" s="135" t="e">
        <f t="shared" si="24"/>
        <v>#DIV/0!</v>
      </c>
      <c r="K110" s="136"/>
      <c r="L110" s="91" t="e">
        <f t="shared" si="25"/>
        <v>#DIV/0!</v>
      </c>
      <c r="M110" s="91" t="e">
        <f t="shared" si="26"/>
        <v>#DIV/0!</v>
      </c>
      <c r="N110" s="134" t="e">
        <f t="shared" si="27"/>
        <v>#VALUE!</v>
      </c>
      <c r="O110" s="137" t="e">
        <f t="shared" si="28"/>
        <v>#DIV/0!</v>
      </c>
    </row>
    <row r="111" spans="1:15" outlineLevel="1">
      <c r="A111" s="74" t="str">
        <f t="shared" si="17"/>
        <v>Set Point 4</v>
      </c>
      <c r="B111" s="138">
        <f>SetPnt_N_4</f>
        <v>-1600</v>
      </c>
      <c r="C111" s="91" t="e">
        <f t="shared" si="18"/>
        <v>#VALUE!</v>
      </c>
      <c r="D111" s="91" t="e">
        <f t="shared" si="19"/>
        <v>#DIV/0!</v>
      </c>
      <c r="E111" s="133">
        <f t="shared" si="20"/>
        <v>0</v>
      </c>
      <c r="F111" s="133" t="e">
        <f t="shared" si="20"/>
        <v>#DIV/0!</v>
      </c>
      <c r="G111" s="91" t="e">
        <f t="shared" si="21"/>
        <v>#VALUE!</v>
      </c>
      <c r="H111" s="91" t="e">
        <f t="shared" si="22"/>
        <v>#DIV/0!</v>
      </c>
      <c r="I111" s="134" t="e">
        <f t="shared" si="23"/>
        <v>#VALUE!</v>
      </c>
      <c r="J111" s="135" t="e">
        <f t="shared" si="24"/>
        <v>#DIV/0!</v>
      </c>
      <c r="K111" s="136"/>
      <c r="L111" s="91" t="e">
        <f t="shared" si="25"/>
        <v>#DIV/0!</v>
      </c>
      <c r="M111" s="91" t="e">
        <f t="shared" si="26"/>
        <v>#DIV/0!</v>
      </c>
      <c r="N111" s="134" t="e">
        <f t="shared" si="27"/>
        <v>#VALUE!</v>
      </c>
      <c r="O111" s="137" t="e">
        <f t="shared" si="28"/>
        <v>#DIV/0!</v>
      </c>
    </row>
    <row r="112" spans="1:15" ht="15" customHeight="1" outlineLevel="1" thickBot="1">
      <c r="A112" s="66" t="str">
        <f t="shared" si="17"/>
        <v>Set Point 5</v>
      </c>
      <c r="B112" s="139">
        <f>SetPnt_N_5</f>
        <v>-2000</v>
      </c>
      <c r="C112" s="140" t="e">
        <f t="shared" si="18"/>
        <v>#VALUE!</v>
      </c>
      <c r="D112" s="140" t="e">
        <f t="shared" si="19"/>
        <v>#DIV/0!</v>
      </c>
      <c r="E112" s="141">
        <f t="shared" si="20"/>
        <v>0</v>
      </c>
      <c r="F112" s="141" t="e">
        <f t="shared" si="20"/>
        <v>#DIV/0!</v>
      </c>
      <c r="G112" s="140" t="e">
        <f t="shared" si="21"/>
        <v>#VALUE!</v>
      </c>
      <c r="H112" s="140" t="e">
        <f t="shared" si="22"/>
        <v>#DIV/0!</v>
      </c>
      <c r="I112" s="142" t="e">
        <f t="shared" si="23"/>
        <v>#VALUE!</v>
      </c>
      <c r="J112" s="143" t="e">
        <f t="shared" si="24"/>
        <v>#DIV/0!</v>
      </c>
      <c r="K112" s="144"/>
      <c r="L112" s="140" t="e">
        <f t="shared" si="25"/>
        <v>#DIV/0!</v>
      </c>
      <c r="M112" s="140" t="e">
        <f t="shared" si="26"/>
        <v>#DIV/0!</v>
      </c>
      <c r="N112" s="142" t="e">
        <f t="shared" si="27"/>
        <v>#VALUE!</v>
      </c>
      <c r="O112" s="145" t="e">
        <f t="shared" si="28"/>
        <v>#DIV/0!</v>
      </c>
    </row>
    <row r="114" spans="1:24" ht="25.8" customHeight="1">
      <c r="A114" s="246" t="s">
        <v>175</v>
      </c>
      <c r="B114" s="247"/>
      <c r="C114" s="247"/>
      <c r="D114" s="247"/>
      <c r="E114" s="247"/>
      <c r="F114" s="247"/>
      <c r="G114" s="247"/>
      <c r="H114" s="247"/>
      <c r="I114" s="247"/>
      <c r="J114" s="247"/>
      <c r="K114" s="247"/>
      <c r="L114" s="247"/>
      <c r="M114" s="247"/>
      <c r="N114" s="247"/>
      <c r="O114" s="247"/>
      <c r="P114" s="247"/>
      <c r="Q114" s="247"/>
      <c r="R114" s="247"/>
      <c r="S114" s="247"/>
      <c r="T114" s="247"/>
      <c r="U114" s="247"/>
      <c r="V114" s="247"/>
      <c r="W114" s="247"/>
      <c r="X114" s="247"/>
    </row>
    <row r="115" spans="1:24" ht="15" customHeight="1" outlineLevel="1" thickBot="1"/>
    <row r="116" spans="1:24" ht="18" customHeight="1" outlineLevel="1">
      <c r="A116" s="148" t="s">
        <v>229</v>
      </c>
      <c r="B116" s="149" t="s">
        <v>138</v>
      </c>
      <c r="C116" s="149" t="s">
        <v>139</v>
      </c>
      <c r="D116" s="150" t="s">
        <v>140</v>
      </c>
      <c r="E116" s="151"/>
      <c r="F116" s="148" t="s">
        <v>229</v>
      </c>
      <c r="G116" s="149" t="s">
        <v>24</v>
      </c>
      <c r="H116" s="150" t="s">
        <v>25</v>
      </c>
      <c r="M116" s="152"/>
      <c r="N116" s="152"/>
      <c r="O116" s="152"/>
    </row>
    <row r="117" spans="1:24" outlineLevel="1">
      <c r="A117" s="153" t="str">
        <f>CONCATENATE("Cert [",EUnits,"/V]")</f>
        <v>Cert [Nm/V]</v>
      </c>
      <c r="B117" s="154" t="e">
        <f>INDEX(LINEST(T123:T134,(S123:S134)^{1,2}),1)</f>
        <v>#VALUE!</v>
      </c>
      <c r="C117" s="154" t="e">
        <f>INDEX(LINEST(T123:T134,(S123:S134)^{1,2}),1,2)</f>
        <v>#VALUE!</v>
      </c>
      <c r="D117" s="155" t="e">
        <f>INDEX(LINEST(T123:T134,(S123:S134)^{1,2}),1,3)</f>
        <v>#VALUE!</v>
      </c>
      <c r="F117" s="156" t="str">
        <f>CONCATENATE("Cert [",EUnits,"/V]")</f>
        <v>Cert [Nm/V]</v>
      </c>
      <c r="G117" s="157" t="e">
        <f>LINEST(T123:T134,S123:S134)</f>
        <v>#VALUE!</v>
      </c>
      <c r="H117" s="158" t="e">
        <f>INTERCEPT(T123:T134,S123:S134)</f>
        <v>#VALUE!</v>
      </c>
      <c r="O117" s="152"/>
    </row>
    <row r="118" spans="1:24" outlineLevel="1">
      <c r="A118" s="113" t="str">
        <f>CONCATENATE("Cert [V/",EUnits,"]")</f>
        <v>Cert [V/Nm]</v>
      </c>
      <c r="B118" s="159" t="e">
        <f>INDEX(LINEST(S123:S134,(T123:T134)^{1,2}),1)</f>
        <v>#VALUE!</v>
      </c>
      <c r="C118" s="159" t="e">
        <f>INDEX(LINEST(S123:S134,(T123:T134)^{1,2}),1,2)</f>
        <v>#VALUE!</v>
      </c>
      <c r="D118" s="160" t="e">
        <f>INDEX(LINEST(S123:S134,(T123:T134)^{1,2}),1,3)</f>
        <v>#VALUE!</v>
      </c>
      <c r="F118" s="113" t="str">
        <f>CONCATENATE("Cert [V/",EUnits,"]")</f>
        <v>Cert [V/Nm]</v>
      </c>
      <c r="G118" s="161" t="e">
        <f>LINEST(S123:S134,T123:T134)</f>
        <v>#VALUE!</v>
      </c>
      <c r="H118" s="162" t="e">
        <f>INTERCEPT(S123:S134,T123:T134)</f>
        <v>#VALUE!</v>
      </c>
      <c r="O118" s="152"/>
    </row>
    <row r="119" spans="1:24" outlineLevel="1"/>
    <row r="120" spans="1:24" ht="18" customHeight="1" outlineLevel="1">
      <c r="A120" s="87" t="s">
        <v>177</v>
      </c>
      <c r="B120" s="163"/>
      <c r="C120" s="163"/>
      <c r="D120" s="163"/>
      <c r="P120" s="152"/>
    </row>
    <row r="121" spans="1:24" ht="16.2" customHeight="1" outlineLevel="1">
      <c r="A121" s="164" t="s">
        <v>178</v>
      </c>
      <c r="B121" s="165" t="s">
        <v>179</v>
      </c>
      <c r="C121" s="166" t="s">
        <v>179</v>
      </c>
      <c r="D121" s="167" t="s">
        <v>179</v>
      </c>
      <c r="E121" s="168" t="s">
        <v>180</v>
      </c>
      <c r="F121" s="166" t="s">
        <v>181</v>
      </c>
      <c r="G121" s="167" t="s">
        <v>182</v>
      </c>
      <c r="H121" s="484" t="s">
        <v>183</v>
      </c>
      <c r="I121" s="486" t="s">
        <v>184</v>
      </c>
      <c r="J121" s="169"/>
      <c r="K121" s="480" t="s">
        <v>185</v>
      </c>
      <c r="L121" s="480" t="s">
        <v>186</v>
      </c>
      <c r="M121" s="480" t="s">
        <v>187</v>
      </c>
      <c r="N121" s="480" t="s">
        <v>188</v>
      </c>
      <c r="O121" s="480" t="s">
        <v>189</v>
      </c>
      <c r="P121" s="480" t="s">
        <v>190</v>
      </c>
      <c r="R121" s="476" t="s">
        <v>121</v>
      </c>
      <c r="S121" s="477"/>
      <c r="T121" s="477"/>
    </row>
    <row r="122" spans="1:24" ht="28.8" customHeight="1" outlineLevel="1">
      <c r="A122" s="170"/>
      <c r="B122" s="171" t="s">
        <v>191</v>
      </c>
      <c r="C122" s="172" t="s">
        <v>191</v>
      </c>
      <c r="D122" s="173" t="s">
        <v>191</v>
      </c>
      <c r="E122" s="174" t="s">
        <v>192</v>
      </c>
      <c r="F122" s="172" t="s">
        <v>193</v>
      </c>
      <c r="G122" s="173" t="s">
        <v>192</v>
      </c>
      <c r="H122" s="485"/>
      <c r="I122" s="464"/>
      <c r="J122" s="169"/>
      <c r="K122" s="464"/>
      <c r="L122" s="464"/>
      <c r="M122" s="464"/>
      <c r="N122" s="464"/>
      <c r="O122" s="464"/>
      <c r="P122" s="464"/>
      <c r="R122" s="175"/>
      <c r="S122" s="176" t="s">
        <v>123</v>
      </c>
      <c r="T122" s="176" t="s">
        <v>194</v>
      </c>
    </row>
    <row r="123" spans="1:24" ht="15.6" customHeight="1" outlineLevel="1">
      <c r="A123" s="177" t="s">
        <v>195</v>
      </c>
      <c r="B123" s="178" t="s">
        <v>196</v>
      </c>
      <c r="C123" s="179" t="s">
        <v>196</v>
      </c>
      <c r="D123" s="180" t="s">
        <v>196</v>
      </c>
      <c r="E123" s="181" t="s">
        <v>196</v>
      </c>
      <c r="F123" s="179" t="s">
        <v>196</v>
      </c>
      <c r="G123" s="180" t="s">
        <v>196</v>
      </c>
      <c r="H123" s="485"/>
      <c r="I123" s="464"/>
      <c r="J123" s="169"/>
      <c r="K123" s="464"/>
      <c r="L123" s="464"/>
      <c r="M123" s="464"/>
      <c r="N123" s="464"/>
      <c r="O123" s="464"/>
      <c r="P123" s="464"/>
      <c r="R123" s="182" t="s">
        <v>197</v>
      </c>
      <c r="S123" s="183" t="e">
        <f t="shared" ref="S123:S128" si="29">E124</f>
        <v>#VALUE!</v>
      </c>
      <c r="T123" s="184">
        <f>SetPnt_N_0</f>
        <v>0</v>
      </c>
    </row>
    <row r="124" spans="1:24" ht="15.6" customHeight="1" outlineLevel="1">
      <c r="A124" s="185">
        <f>SetPnt_N_0</f>
        <v>0</v>
      </c>
      <c r="B124" s="248" t="e">
        <f>$I$72</f>
        <v>#VALUE!</v>
      </c>
      <c r="C124" s="248" t="e">
        <f>I79</f>
        <v>#VALUE!</v>
      </c>
      <c r="D124" s="248" t="e">
        <f>I86</f>
        <v>#VALUE!</v>
      </c>
      <c r="E124" s="248" t="e">
        <f t="shared" ref="E124:E129" si="30">I96</f>
        <v>#VALUE!</v>
      </c>
      <c r="F124" s="187" t="s">
        <v>198</v>
      </c>
      <c r="G124" s="248" t="e">
        <f t="shared" ref="G124:G129" si="31">I107</f>
        <v>#VALUE!</v>
      </c>
      <c r="H124" s="188" t="e">
        <f t="shared" ref="H124:H129" si="32">$B$118*A124^2 + $C$118*A124+$D$118</f>
        <v>#VALUE!</v>
      </c>
      <c r="I124" s="188" t="e">
        <f t="shared" ref="I124:I129" si="33">A124*$G$118+$H$118</f>
        <v>#VALUE!</v>
      </c>
      <c r="J124" s="188"/>
      <c r="K124" s="188" t="e">
        <f t="shared" ref="K124:K129" si="34">AVERAGE(E124:G124)</f>
        <v>#VALUE!</v>
      </c>
      <c r="L124" s="188" t="e">
        <f t="shared" ref="L124:L129" si="35">ABS(E124-G124)</f>
        <v>#VALUE!</v>
      </c>
      <c r="M124" s="188" t="e">
        <f t="shared" ref="M124:M129" si="36">SQRT((E124-K124)^2+(G124-K124)^2)</f>
        <v>#VALUE!</v>
      </c>
      <c r="N124" s="188" t="e">
        <f t="shared" ref="N124:N129" si="37">(ABS(E124-F124) )</f>
        <v>#VALUE!</v>
      </c>
      <c r="O124" s="188" t="e">
        <f>I124-K124</f>
        <v>#VALUE!</v>
      </c>
      <c r="P124" s="188" t="e">
        <f t="shared" ref="P124:P129" si="38">H124-K124</f>
        <v>#VALUE!</v>
      </c>
      <c r="R124" s="182"/>
      <c r="S124" s="183" t="e">
        <f t="shared" si="29"/>
        <v>#VALUE!</v>
      </c>
      <c r="T124" s="189">
        <f>SetPnt_N_1</f>
        <v>-400</v>
      </c>
    </row>
    <row r="125" spans="1:24" ht="15.6" customHeight="1" outlineLevel="1">
      <c r="A125" s="190">
        <f>SetPnt_N_1</f>
        <v>-400</v>
      </c>
      <c r="B125" s="249" t="s">
        <v>87</v>
      </c>
      <c r="C125" s="249" t="s">
        <v>87</v>
      </c>
      <c r="D125" s="249" t="s">
        <v>87</v>
      </c>
      <c r="E125" s="248" t="e">
        <f t="shared" si="30"/>
        <v>#VALUE!</v>
      </c>
      <c r="F125" s="187" t="s">
        <v>198</v>
      </c>
      <c r="G125" s="248" t="e">
        <f t="shared" si="31"/>
        <v>#VALUE!</v>
      </c>
      <c r="H125" s="188" t="e">
        <f t="shared" si="32"/>
        <v>#VALUE!</v>
      </c>
      <c r="I125" s="188" t="e">
        <f t="shared" si="33"/>
        <v>#VALUE!</v>
      </c>
      <c r="J125" s="188"/>
      <c r="K125" s="188" t="e">
        <f t="shared" si="34"/>
        <v>#VALUE!</v>
      </c>
      <c r="L125" s="188" t="e">
        <f t="shared" si="35"/>
        <v>#VALUE!</v>
      </c>
      <c r="M125" s="188" t="e">
        <f t="shared" si="36"/>
        <v>#VALUE!</v>
      </c>
      <c r="N125" s="188" t="e">
        <f t="shared" si="37"/>
        <v>#VALUE!</v>
      </c>
      <c r="O125" s="188" t="e">
        <f>H125-K125</f>
        <v>#VALUE!</v>
      </c>
      <c r="P125" s="188" t="e">
        <f t="shared" si="38"/>
        <v>#VALUE!</v>
      </c>
      <c r="R125" s="182"/>
      <c r="S125" s="183" t="e">
        <f t="shared" si="29"/>
        <v>#VALUE!</v>
      </c>
      <c r="T125" s="189">
        <f>SetPnt_N_2</f>
        <v>-800</v>
      </c>
    </row>
    <row r="126" spans="1:24" ht="15.6" customHeight="1" outlineLevel="1">
      <c r="A126" s="190">
        <f>SetPnt_N_2</f>
        <v>-800</v>
      </c>
      <c r="B126" s="249" t="s">
        <v>87</v>
      </c>
      <c r="C126" s="249" t="s">
        <v>87</v>
      </c>
      <c r="D126" s="249" t="s">
        <v>87</v>
      </c>
      <c r="E126" s="248" t="e">
        <f t="shared" si="30"/>
        <v>#VALUE!</v>
      </c>
      <c r="F126" s="187" t="s">
        <v>198</v>
      </c>
      <c r="G126" s="248" t="e">
        <f t="shared" si="31"/>
        <v>#VALUE!</v>
      </c>
      <c r="H126" s="188" t="e">
        <f t="shared" si="32"/>
        <v>#VALUE!</v>
      </c>
      <c r="I126" s="188" t="e">
        <f t="shared" si="33"/>
        <v>#VALUE!</v>
      </c>
      <c r="J126" s="188"/>
      <c r="K126" s="188" t="e">
        <f t="shared" si="34"/>
        <v>#VALUE!</v>
      </c>
      <c r="L126" s="188" t="e">
        <f t="shared" si="35"/>
        <v>#VALUE!</v>
      </c>
      <c r="M126" s="188" t="e">
        <f t="shared" si="36"/>
        <v>#VALUE!</v>
      </c>
      <c r="N126" s="188" t="e">
        <f t="shared" si="37"/>
        <v>#VALUE!</v>
      </c>
      <c r="O126" s="188" t="e">
        <f>H126-K126</f>
        <v>#VALUE!</v>
      </c>
      <c r="P126" s="188" t="e">
        <f t="shared" si="38"/>
        <v>#VALUE!</v>
      </c>
      <c r="R126" s="182"/>
      <c r="S126" s="183" t="e">
        <f t="shared" si="29"/>
        <v>#VALUE!</v>
      </c>
      <c r="T126" s="189">
        <f>SetPnt_N_3</f>
        <v>-1200</v>
      </c>
    </row>
    <row r="127" spans="1:24" ht="15.6" customHeight="1" outlineLevel="1">
      <c r="A127" s="190">
        <f>SetPnt_N_3</f>
        <v>-1200</v>
      </c>
      <c r="B127" s="249" t="s">
        <v>87</v>
      </c>
      <c r="C127" s="249" t="s">
        <v>87</v>
      </c>
      <c r="D127" s="249" t="s">
        <v>87</v>
      </c>
      <c r="E127" s="248" t="e">
        <f t="shared" si="30"/>
        <v>#VALUE!</v>
      </c>
      <c r="F127" s="187" t="s">
        <v>198</v>
      </c>
      <c r="G127" s="248" t="e">
        <f t="shared" si="31"/>
        <v>#VALUE!</v>
      </c>
      <c r="H127" s="188" t="e">
        <f t="shared" si="32"/>
        <v>#VALUE!</v>
      </c>
      <c r="I127" s="188" t="e">
        <f t="shared" si="33"/>
        <v>#VALUE!</v>
      </c>
      <c r="J127" s="188"/>
      <c r="K127" s="188" t="e">
        <f t="shared" si="34"/>
        <v>#VALUE!</v>
      </c>
      <c r="L127" s="188" t="e">
        <f t="shared" si="35"/>
        <v>#VALUE!</v>
      </c>
      <c r="M127" s="188" t="e">
        <f t="shared" si="36"/>
        <v>#VALUE!</v>
      </c>
      <c r="N127" s="188" t="e">
        <f t="shared" si="37"/>
        <v>#VALUE!</v>
      </c>
      <c r="O127" s="188" t="e">
        <f>H127-K127</f>
        <v>#VALUE!</v>
      </c>
      <c r="P127" s="188" t="e">
        <f t="shared" si="38"/>
        <v>#VALUE!</v>
      </c>
      <c r="R127" s="182"/>
      <c r="S127" s="183" t="e">
        <f t="shared" si="29"/>
        <v>#VALUE!</v>
      </c>
      <c r="T127" s="189">
        <f>SetPnt_N_4</f>
        <v>-1600</v>
      </c>
    </row>
    <row r="128" spans="1:24" ht="15.6" customHeight="1" outlineLevel="1">
      <c r="A128" s="190">
        <f>SetPnt_N_4</f>
        <v>-1600</v>
      </c>
      <c r="B128" s="249" t="s">
        <v>87</v>
      </c>
      <c r="C128" s="249" t="s">
        <v>87</v>
      </c>
      <c r="D128" s="249" t="s">
        <v>87</v>
      </c>
      <c r="E128" s="248" t="e">
        <f t="shared" si="30"/>
        <v>#VALUE!</v>
      </c>
      <c r="F128" s="187" t="s">
        <v>198</v>
      </c>
      <c r="G128" s="248" t="e">
        <f t="shared" si="31"/>
        <v>#VALUE!</v>
      </c>
      <c r="H128" s="188" t="e">
        <f t="shared" si="32"/>
        <v>#VALUE!</v>
      </c>
      <c r="I128" s="188" t="e">
        <f t="shared" si="33"/>
        <v>#VALUE!</v>
      </c>
      <c r="J128" s="188"/>
      <c r="K128" s="188" t="e">
        <f t="shared" si="34"/>
        <v>#VALUE!</v>
      </c>
      <c r="L128" s="188" t="e">
        <f t="shared" si="35"/>
        <v>#VALUE!</v>
      </c>
      <c r="M128" s="188" t="e">
        <f t="shared" si="36"/>
        <v>#VALUE!</v>
      </c>
      <c r="N128" s="188" t="e">
        <f t="shared" si="37"/>
        <v>#VALUE!</v>
      </c>
      <c r="O128" s="188" t="e">
        <f>H128-K128</f>
        <v>#VALUE!</v>
      </c>
      <c r="P128" s="188" t="e">
        <f t="shared" si="38"/>
        <v>#VALUE!</v>
      </c>
      <c r="R128" s="192"/>
      <c r="S128" s="193" t="e">
        <f t="shared" si="29"/>
        <v>#VALUE!</v>
      </c>
      <c r="T128" s="189">
        <f>SetPnt_N_5</f>
        <v>-2000</v>
      </c>
    </row>
    <row r="129" spans="1:24" ht="15.6" customHeight="1" outlineLevel="1">
      <c r="A129" s="190">
        <f>SetPnt_N_5</f>
        <v>-2000</v>
      </c>
      <c r="B129" s="248" t="e">
        <f>I73</f>
        <v>#VALUE!</v>
      </c>
      <c r="C129" s="248" t="e">
        <f>I80</f>
        <v>#VALUE!</v>
      </c>
      <c r="D129" s="248" t="e">
        <f>I87</f>
        <v>#VALUE!</v>
      </c>
      <c r="E129" s="248" t="e">
        <f t="shared" si="30"/>
        <v>#VALUE!</v>
      </c>
      <c r="F129" s="187" t="s">
        <v>198</v>
      </c>
      <c r="G129" s="248" t="e">
        <f t="shared" si="31"/>
        <v>#VALUE!</v>
      </c>
      <c r="H129" s="188" t="e">
        <f t="shared" si="32"/>
        <v>#VALUE!</v>
      </c>
      <c r="I129" s="188" t="e">
        <f t="shared" si="33"/>
        <v>#VALUE!</v>
      </c>
      <c r="J129" s="188"/>
      <c r="K129" s="188" t="e">
        <f t="shared" si="34"/>
        <v>#VALUE!</v>
      </c>
      <c r="L129" s="188" t="e">
        <f t="shared" si="35"/>
        <v>#VALUE!</v>
      </c>
      <c r="M129" s="188" t="e">
        <f t="shared" si="36"/>
        <v>#VALUE!</v>
      </c>
      <c r="N129" s="188" t="e">
        <f t="shared" si="37"/>
        <v>#VALUE!</v>
      </c>
      <c r="O129" s="188" t="e">
        <f>H129-K129</f>
        <v>#VALUE!</v>
      </c>
      <c r="P129" s="188" t="e">
        <f t="shared" si="38"/>
        <v>#VALUE!</v>
      </c>
      <c r="R129" s="182" t="s">
        <v>165</v>
      </c>
      <c r="S129" s="183" t="e">
        <f t="shared" ref="S129:S134" si="39">G124</f>
        <v>#VALUE!</v>
      </c>
      <c r="T129" s="184">
        <f>SetPnt_N_0</f>
        <v>0</v>
      </c>
    </row>
    <row r="130" spans="1:24" outlineLevel="1">
      <c r="P130" s="136"/>
      <c r="R130" s="195"/>
      <c r="S130" s="183" t="e">
        <f t="shared" si="39"/>
        <v>#VALUE!</v>
      </c>
      <c r="T130" s="189">
        <f>SetPnt_N_1</f>
        <v>-400</v>
      </c>
    </row>
    <row r="131" spans="1:24" ht="18" customHeight="1" outlineLevel="1">
      <c r="A131" s="87" t="s">
        <v>199</v>
      </c>
      <c r="P131" s="136"/>
      <c r="R131" s="195"/>
      <c r="S131" s="183" t="e">
        <f t="shared" si="39"/>
        <v>#VALUE!</v>
      </c>
      <c r="T131" s="189">
        <f>SetPnt_N_2</f>
        <v>-800</v>
      </c>
    </row>
    <row r="132" spans="1:24" outlineLevel="1">
      <c r="A132" s="250" t="s">
        <v>200</v>
      </c>
      <c r="B132" s="198" t="s">
        <v>201</v>
      </c>
      <c r="C132" s="198" t="s">
        <v>202</v>
      </c>
      <c r="D132" s="198" t="s">
        <v>203</v>
      </c>
      <c r="E132" s="198" t="s">
        <v>204</v>
      </c>
      <c r="F132" s="198" t="s">
        <v>205</v>
      </c>
      <c r="G132" s="198" t="s">
        <v>206</v>
      </c>
      <c r="H132" s="198" t="s">
        <v>207</v>
      </c>
      <c r="I132" s="198" t="s">
        <v>205</v>
      </c>
      <c r="J132" s="198" t="s">
        <v>206</v>
      </c>
      <c r="K132" s="74"/>
      <c r="M132" s="152"/>
      <c r="N132" s="198" t="s">
        <v>203</v>
      </c>
      <c r="P132" s="136"/>
      <c r="R132" s="110"/>
      <c r="S132" s="183" t="e">
        <f t="shared" si="39"/>
        <v>#VALUE!</v>
      </c>
      <c r="T132" s="189">
        <f>SetPnt_N_3</f>
        <v>-1200</v>
      </c>
    </row>
    <row r="133" spans="1:24" outlineLevel="1">
      <c r="A133" s="5">
        <f>SetPnt_N_0</f>
        <v>0</v>
      </c>
      <c r="B133" s="199" t="e">
        <f t="shared" ref="B133:B138" si="40">L124*100 / (SQRT(2)*K124)</f>
        <v>#VALUE!</v>
      </c>
      <c r="C133" s="199" t="e">
        <f t="shared" ref="C133:C138" si="41">M124*100 / (SQRT(2)*K124)</f>
        <v>#VALUE!</v>
      </c>
      <c r="D133" s="199">
        <v>0.46899999999999997</v>
      </c>
      <c r="E133" s="199" t="e">
        <f t="shared" ref="E133:E138" si="42">ABS(O124)*100 / (SQRT(6)*I124)</f>
        <v>#VALUE!</v>
      </c>
      <c r="F133" s="199" t="e">
        <f t="shared" ref="F133:F138" si="43">SQRT((B133^2 + C133^2+D133^2+E133^2))</f>
        <v>#VALUE!</v>
      </c>
      <c r="G133" s="398" t="e">
        <f t="shared" ref="G133:G138" si="44">F133*2</f>
        <v>#VALUE!</v>
      </c>
      <c r="H133" s="201" t="e">
        <f t="shared" ref="H133:H138" si="45">ABS(P124)*100 / (SQRT(6)*H124)</f>
        <v>#VALUE!</v>
      </c>
      <c r="I133" s="199" t="e">
        <f t="shared" ref="I133:I138" si="46">SQRT((B133^2 + C133^2+H133^2+D133^2))</f>
        <v>#VALUE!</v>
      </c>
      <c r="J133" s="199" t="e">
        <f t="shared" ref="J133:J138" si="47">I133*2</f>
        <v>#VALUE!</v>
      </c>
      <c r="M133" s="152"/>
      <c r="N133" s="202">
        <v>0.46899999999999997</v>
      </c>
      <c r="P133" s="136"/>
      <c r="R133" s="110"/>
      <c r="S133" s="183" t="e">
        <f t="shared" si="39"/>
        <v>#VALUE!</v>
      </c>
      <c r="T133" s="189">
        <f>SetPnt_N_4</f>
        <v>-1600</v>
      </c>
    </row>
    <row r="134" spans="1:24" outlineLevel="1">
      <c r="A134" s="190">
        <f>SetPnt_N_1</f>
        <v>-400</v>
      </c>
      <c r="B134" s="199" t="e">
        <f t="shared" si="40"/>
        <v>#VALUE!</v>
      </c>
      <c r="C134" s="199" t="e">
        <f t="shared" si="41"/>
        <v>#VALUE!</v>
      </c>
      <c r="D134" s="199">
        <v>0.109</v>
      </c>
      <c r="E134" s="199" t="e">
        <f t="shared" si="42"/>
        <v>#VALUE!</v>
      </c>
      <c r="F134" s="199" t="e">
        <f t="shared" si="43"/>
        <v>#VALUE!</v>
      </c>
      <c r="G134" s="398" t="e">
        <f t="shared" si="44"/>
        <v>#VALUE!</v>
      </c>
      <c r="H134" s="201" t="e">
        <f t="shared" si="45"/>
        <v>#VALUE!</v>
      </c>
      <c r="I134" s="199" t="e">
        <f t="shared" si="46"/>
        <v>#VALUE!</v>
      </c>
      <c r="J134" s="203" t="e">
        <f t="shared" si="47"/>
        <v>#VALUE!</v>
      </c>
      <c r="M134" s="152"/>
      <c r="N134" s="202">
        <v>0.46899999999999997</v>
      </c>
      <c r="P134" s="136"/>
      <c r="R134" s="110"/>
      <c r="S134" s="183" t="e">
        <f t="shared" si="39"/>
        <v>#VALUE!</v>
      </c>
      <c r="T134" s="189">
        <f>SetPnt_N_5</f>
        <v>-2000</v>
      </c>
    </row>
    <row r="135" spans="1:24" outlineLevel="1">
      <c r="A135" s="190">
        <f>SetPnt_N_2</f>
        <v>-800</v>
      </c>
      <c r="B135" s="199" t="e">
        <f t="shared" si="40"/>
        <v>#VALUE!</v>
      </c>
      <c r="C135" s="199" t="e">
        <f t="shared" si="41"/>
        <v>#VALUE!</v>
      </c>
      <c r="D135" s="199">
        <v>0.109</v>
      </c>
      <c r="E135" s="199" t="e">
        <f t="shared" si="42"/>
        <v>#VALUE!</v>
      </c>
      <c r="F135" s="199" t="e">
        <f t="shared" si="43"/>
        <v>#VALUE!</v>
      </c>
      <c r="G135" s="398" t="e">
        <f t="shared" si="44"/>
        <v>#VALUE!</v>
      </c>
      <c r="H135" s="201" t="e">
        <f t="shared" si="45"/>
        <v>#VALUE!</v>
      </c>
      <c r="I135" s="199" t="e">
        <f t="shared" si="46"/>
        <v>#VALUE!</v>
      </c>
      <c r="J135" s="203" t="e">
        <f t="shared" si="47"/>
        <v>#VALUE!</v>
      </c>
      <c r="M135" s="152"/>
      <c r="N135" s="202">
        <v>0.109</v>
      </c>
      <c r="P135" s="136"/>
    </row>
    <row r="136" spans="1:24" outlineLevel="1">
      <c r="A136" s="190">
        <f>SetPnt_N_3</f>
        <v>-1200</v>
      </c>
      <c r="B136" s="199" t="e">
        <f t="shared" si="40"/>
        <v>#VALUE!</v>
      </c>
      <c r="C136" s="199" t="e">
        <f t="shared" si="41"/>
        <v>#VALUE!</v>
      </c>
      <c r="D136" s="199">
        <v>0.109</v>
      </c>
      <c r="E136" s="199" t="e">
        <f t="shared" si="42"/>
        <v>#VALUE!</v>
      </c>
      <c r="F136" s="199" t="e">
        <f t="shared" si="43"/>
        <v>#VALUE!</v>
      </c>
      <c r="G136" s="398" t="e">
        <f t="shared" si="44"/>
        <v>#VALUE!</v>
      </c>
      <c r="H136" s="201" t="e">
        <f t="shared" si="45"/>
        <v>#VALUE!</v>
      </c>
      <c r="I136" s="199" t="e">
        <f t="shared" si="46"/>
        <v>#VALUE!</v>
      </c>
      <c r="J136" s="203" t="e">
        <f t="shared" si="47"/>
        <v>#VALUE!</v>
      </c>
      <c r="M136" s="152"/>
      <c r="N136" s="202">
        <v>0.109</v>
      </c>
      <c r="P136" s="136"/>
    </row>
    <row r="137" spans="1:24" outlineLevel="1">
      <c r="A137" s="190">
        <f>SetPnt_N_4</f>
        <v>-1600</v>
      </c>
      <c r="B137" s="199" t="e">
        <f t="shared" si="40"/>
        <v>#VALUE!</v>
      </c>
      <c r="C137" s="199" t="e">
        <f t="shared" si="41"/>
        <v>#VALUE!</v>
      </c>
      <c r="D137" s="199">
        <v>0.108</v>
      </c>
      <c r="E137" s="199" t="e">
        <f t="shared" si="42"/>
        <v>#VALUE!</v>
      </c>
      <c r="F137" s="199" t="e">
        <f t="shared" si="43"/>
        <v>#VALUE!</v>
      </c>
      <c r="G137" s="398" t="e">
        <f t="shared" si="44"/>
        <v>#VALUE!</v>
      </c>
      <c r="H137" s="201" t="e">
        <f t="shared" si="45"/>
        <v>#VALUE!</v>
      </c>
      <c r="I137" s="199" t="e">
        <f t="shared" si="46"/>
        <v>#VALUE!</v>
      </c>
      <c r="J137" s="203" t="e">
        <f t="shared" si="47"/>
        <v>#VALUE!</v>
      </c>
      <c r="M137" s="152"/>
      <c r="N137" s="202">
        <v>0.108</v>
      </c>
      <c r="P137" s="136"/>
    </row>
    <row r="138" spans="1:24" outlineLevel="1">
      <c r="A138" s="190">
        <f>SetPnt_N_5</f>
        <v>-2000</v>
      </c>
      <c r="B138" s="199" t="e">
        <f t="shared" si="40"/>
        <v>#VALUE!</v>
      </c>
      <c r="C138" s="199" t="e">
        <f t="shared" si="41"/>
        <v>#VALUE!</v>
      </c>
      <c r="D138" s="199">
        <v>9.8000000000000004E-2</v>
      </c>
      <c r="E138" s="199" t="e">
        <f t="shared" si="42"/>
        <v>#VALUE!</v>
      </c>
      <c r="F138" s="199" t="e">
        <f t="shared" si="43"/>
        <v>#VALUE!</v>
      </c>
      <c r="G138" s="398" t="e">
        <f t="shared" si="44"/>
        <v>#VALUE!</v>
      </c>
      <c r="H138" s="201" t="e">
        <f t="shared" si="45"/>
        <v>#VALUE!</v>
      </c>
      <c r="I138" s="199" t="e">
        <f t="shared" si="46"/>
        <v>#VALUE!</v>
      </c>
      <c r="J138" s="203" t="e">
        <f t="shared" si="47"/>
        <v>#VALUE!</v>
      </c>
      <c r="M138" s="152"/>
      <c r="N138" s="202">
        <v>9.8000000000000004E-2</v>
      </c>
    </row>
    <row r="140" spans="1:24" ht="25.8" customHeight="1">
      <c r="A140" s="246" t="s">
        <v>208</v>
      </c>
      <c r="B140" s="247"/>
      <c r="C140" s="247"/>
      <c r="D140" s="247"/>
      <c r="E140" s="247"/>
      <c r="F140" s="247"/>
      <c r="G140" s="247"/>
      <c r="H140" s="247"/>
      <c r="I140" s="247"/>
      <c r="J140" s="247"/>
      <c r="K140" s="247"/>
      <c r="L140" s="247"/>
      <c r="M140" s="247"/>
      <c r="N140" s="247"/>
      <c r="O140" s="247"/>
      <c r="P140" s="247"/>
      <c r="Q140" s="247"/>
      <c r="R140" s="247"/>
      <c r="S140" s="247"/>
      <c r="T140" s="247"/>
      <c r="U140" s="247"/>
      <c r="V140" s="247"/>
      <c r="W140" s="247"/>
      <c r="X140" s="247"/>
    </row>
    <row r="141" spans="1:24" outlineLevel="1"/>
    <row r="142" spans="1:24" ht="15.75" customHeight="1" outlineLevel="1" thickBot="1">
      <c r="B142" s="204" t="s">
        <v>209</v>
      </c>
      <c r="C142" s="205"/>
      <c r="D142" s="205"/>
      <c r="E142" s="205"/>
      <c r="F142" s="205"/>
    </row>
    <row r="143" spans="1:24" ht="14.25" customHeight="1" outlineLevel="1">
      <c r="B143" s="206" t="s">
        <v>210</v>
      </c>
      <c r="C143" s="207"/>
      <c r="D143" s="208"/>
    </row>
    <row r="144" spans="1:24" ht="14.25" customHeight="1" outlineLevel="1">
      <c r="B144" s="209"/>
      <c r="C144" s="210" t="s">
        <v>211</v>
      </c>
      <c r="D144" s="211" t="s">
        <v>212</v>
      </c>
    </row>
    <row r="145" spans="2:10" outlineLevel="1">
      <c r="B145" s="212" t="s">
        <v>213</v>
      </c>
      <c r="C145" s="213">
        <v>0</v>
      </c>
      <c r="D145" s="214" t="e">
        <f>$C$59/1000</f>
        <v>#DIV/0!</v>
      </c>
    </row>
    <row r="146" spans="2:10" ht="15" customHeight="1" outlineLevel="1" thickBot="1">
      <c r="B146" s="215" t="s">
        <v>214</v>
      </c>
      <c r="C146" s="216" t="e">
        <f>$B$117/1000</f>
        <v>#VALUE!</v>
      </c>
      <c r="D146" s="217" t="e">
        <f>$C$117/1000</f>
        <v>#VALUE!</v>
      </c>
    </row>
    <row r="147" spans="2:10" outlineLevel="1">
      <c r="B147" s="218"/>
      <c r="C147" s="219"/>
      <c r="D147" s="219"/>
    </row>
    <row r="148" spans="2:10" ht="15.75" customHeight="1" outlineLevel="1" thickBot="1">
      <c r="B148" s="220" t="s">
        <v>215</v>
      </c>
      <c r="C148" s="221"/>
      <c r="D148" s="221"/>
      <c r="E148" s="221"/>
      <c r="F148" s="221"/>
    </row>
    <row r="149" spans="2:10" ht="14.25" customHeight="1" outlineLevel="1">
      <c r="B149" s="206" t="s">
        <v>216</v>
      </c>
      <c r="C149" s="207"/>
      <c r="D149" s="208"/>
    </row>
    <row r="150" spans="2:10" ht="14.25" customHeight="1" outlineLevel="1">
      <c r="B150" s="209"/>
      <c r="C150" s="210" t="s">
        <v>217</v>
      </c>
      <c r="D150" s="211" t="s">
        <v>218</v>
      </c>
    </row>
    <row r="151" spans="2:10" outlineLevel="1">
      <c r="B151" s="212" t="s">
        <v>213</v>
      </c>
      <c r="C151" s="213">
        <v>0</v>
      </c>
      <c r="D151" s="214" t="e">
        <f>$G$118*1000</f>
        <v>#VALUE!</v>
      </c>
      <c r="F151" s="222"/>
    </row>
    <row r="152" spans="2:10" ht="15" customHeight="1" outlineLevel="1" thickBot="1">
      <c r="B152" s="215" t="s">
        <v>214</v>
      </c>
      <c r="C152" s="216" t="e">
        <f>$B$118*1000</f>
        <v>#VALUE!</v>
      </c>
      <c r="D152" s="217" t="e">
        <f>$C$118*1000</f>
        <v>#VALUE!</v>
      </c>
      <c r="F152" s="222"/>
    </row>
    <row r="153" spans="2:10" outlineLevel="1"/>
    <row r="154" spans="2:10" ht="15" customHeight="1" outlineLevel="1" thickBot="1">
      <c r="B154" s="223" t="s">
        <v>219</v>
      </c>
    </row>
    <row r="155" spans="2:10" ht="14.25" customHeight="1" outlineLevel="1" thickBot="1">
      <c r="B155" s="224" t="s">
        <v>200</v>
      </c>
      <c r="C155" s="225" t="s">
        <v>191</v>
      </c>
      <c r="D155" s="225" t="s">
        <v>191</v>
      </c>
      <c r="E155" s="225" t="s">
        <v>191</v>
      </c>
      <c r="F155" s="225" t="s">
        <v>192</v>
      </c>
      <c r="G155" s="226" t="s">
        <v>192</v>
      </c>
      <c r="H155" s="227"/>
      <c r="I155" s="487" t="s">
        <v>200</v>
      </c>
      <c r="J155" s="472" t="s">
        <v>220</v>
      </c>
    </row>
    <row r="156" spans="2:10" outlineLevel="1">
      <c r="B156" s="228" t="s">
        <v>58</v>
      </c>
      <c r="C156" s="229" t="s">
        <v>221</v>
      </c>
      <c r="D156" s="229" t="s">
        <v>221</v>
      </c>
      <c r="E156" s="229" t="s">
        <v>221</v>
      </c>
      <c r="F156" s="229" t="s">
        <v>221</v>
      </c>
      <c r="G156" s="230" t="s">
        <v>221</v>
      </c>
      <c r="H156" s="231"/>
      <c r="I156" s="488"/>
      <c r="J156" s="473"/>
    </row>
    <row r="157" spans="2:10" outlineLevel="1">
      <c r="B157" s="232">
        <f>SetPnt_N_0</f>
        <v>0</v>
      </c>
      <c r="C157" s="233" t="e">
        <f>B124*1000</f>
        <v>#VALUE!</v>
      </c>
      <c r="D157" s="233" t="e">
        <f>C124*1000</f>
        <v>#VALUE!</v>
      </c>
      <c r="E157" s="233" t="e">
        <f>D124*1000</f>
        <v>#VALUE!</v>
      </c>
      <c r="F157" s="233" t="e">
        <f>E124*1000</f>
        <v>#VALUE!</v>
      </c>
      <c r="G157" s="234" t="e">
        <f t="shared" ref="G157:G162" si="48">G124*1000</f>
        <v>#VALUE!</v>
      </c>
      <c r="H157" s="235"/>
      <c r="I157" s="236">
        <f>SetPnt_N_1</f>
        <v>-400</v>
      </c>
      <c r="J157" s="237" t="e">
        <f>J134</f>
        <v>#VALUE!</v>
      </c>
    </row>
    <row r="158" spans="2:10" outlineLevel="1">
      <c r="B158" s="236">
        <f>SetPnt_N_1</f>
        <v>-400</v>
      </c>
      <c r="C158" s="238" t="str">
        <f t="shared" ref="C158:E161" si="49">B125</f>
        <v>-</v>
      </c>
      <c r="D158" s="238" t="str">
        <f t="shared" si="49"/>
        <v>-</v>
      </c>
      <c r="E158" s="238" t="str">
        <f t="shared" si="49"/>
        <v>-</v>
      </c>
      <c r="F158" s="239" t="e">
        <f>E125*1000</f>
        <v>#VALUE!</v>
      </c>
      <c r="G158" s="240" t="e">
        <f t="shared" si="48"/>
        <v>#VALUE!</v>
      </c>
      <c r="H158" s="235"/>
      <c r="I158" s="236">
        <f>SetPnt_N_2</f>
        <v>-800</v>
      </c>
      <c r="J158" s="237" t="e">
        <f>J135</f>
        <v>#VALUE!</v>
      </c>
    </row>
    <row r="159" spans="2:10" outlineLevel="1">
      <c r="B159" s="236">
        <f>SetPnt_N_2</f>
        <v>-800</v>
      </c>
      <c r="C159" s="238" t="str">
        <f t="shared" si="49"/>
        <v>-</v>
      </c>
      <c r="D159" s="238" t="str">
        <f t="shared" si="49"/>
        <v>-</v>
      </c>
      <c r="E159" s="238" t="str">
        <f t="shared" si="49"/>
        <v>-</v>
      </c>
      <c r="F159" s="239" t="e">
        <f>E126*1000</f>
        <v>#VALUE!</v>
      </c>
      <c r="G159" s="240" t="e">
        <f t="shared" si="48"/>
        <v>#VALUE!</v>
      </c>
      <c r="H159" s="235"/>
      <c r="I159" s="236">
        <f>SetPnt_N_3</f>
        <v>-1200</v>
      </c>
      <c r="J159" s="237" t="e">
        <f>J136</f>
        <v>#VALUE!</v>
      </c>
    </row>
    <row r="160" spans="2:10" outlineLevel="1">
      <c r="B160" s="236">
        <f>SetPnt_N_3</f>
        <v>-1200</v>
      </c>
      <c r="C160" s="238" t="str">
        <f t="shared" si="49"/>
        <v>-</v>
      </c>
      <c r="D160" s="238" t="str">
        <f t="shared" si="49"/>
        <v>-</v>
      </c>
      <c r="E160" s="238" t="str">
        <f t="shared" si="49"/>
        <v>-</v>
      </c>
      <c r="F160" s="239" t="e">
        <f>E127*1000</f>
        <v>#VALUE!</v>
      </c>
      <c r="G160" s="240" t="e">
        <f t="shared" si="48"/>
        <v>#VALUE!</v>
      </c>
      <c r="H160" s="235"/>
      <c r="I160" s="236">
        <f>SetPnt_N_4</f>
        <v>-1600</v>
      </c>
      <c r="J160" s="237" t="e">
        <f>J137</f>
        <v>#VALUE!</v>
      </c>
    </row>
    <row r="161" spans="1:24" ht="15" customHeight="1" outlineLevel="1" thickBot="1">
      <c r="B161" s="236">
        <f>SetPnt_N_4</f>
        <v>-1600</v>
      </c>
      <c r="C161" s="238" t="str">
        <f t="shared" si="49"/>
        <v>-</v>
      </c>
      <c r="D161" s="238" t="str">
        <f t="shared" si="49"/>
        <v>-</v>
      </c>
      <c r="E161" s="238" t="str">
        <f t="shared" si="49"/>
        <v>-</v>
      </c>
      <c r="F161" s="239" t="e">
        <f>E128*1000</f>
        <v>#VALUE!</v>
      </c>
      <c r="G161" s="240" t="e">
        <f t="shared" si="48"/>
        <v>#VALUE!</v>
      </c>
      <c r="H161" s="235"/>
      <c r="I161" s="241">
        <f>SetPnt_N_5</f>
        <v>-2000</v>
      </c>
      <c r="J161" s="242" t="e">
        <f>J138</f>
        <v>#VALUE!</v>
      </c>
    </row>
    <row r="162" spans="1:24" ht="15" customHeight="1" outlineLevel="1" thickBot="1">
      <c r="B162" s="241">
        <f>SetPnt_N_5</f>
        <v>-2000</v>
      </c>
      <c r="C162" s="243" t="e">
        <f>B129*1000</f>
        <v>#VALUE!</v>
      </c>
      <c r="D162" s="243" t="e">
        <f>C129*1000</f>
        <v>#VALUE!</v>
      </c>
      <c r="E162" s="243" t="e">
        <f>D129*1000</f>
        <v>#VALUE!</v>
      </c>
      <c r="F162" s="243" t="e">
        <f>E129*1000</f>
        <v>#VALUE!</v>
      </c>
      <c r="G162" s="244" t="e">
        <f t="shared" si="48"/>
        <v>#VALUE!</v>
      </c>
      <c r="H162" s="235"/>
      <c r="I162" s="245"/>
      <c r="J162" s="245"/>
    </row>
    <row r="163" spans="1:24" outlineLevel="1"/>
    <row r="165" spans="1:24" ht="25.8" customHeight="1">
      <c r="A165" s="246" t="s">
        <v>222</v>
      </c>
      <c r="B165" s="247"/>
      <c r="C165" s="247"/>
      <c r="D165" s="247"/>
      <c r="E165" s="247"/>
      <c r="F165" s="247"/>
      <c r="G165" s="247"/>
      <c r="H165" s="247"/>
      <c r="I165" s="247"/>
      <c r="J165" s="247"/>
      <c r="K165" s="247"/>
      <c r="L165" s="247"/>
      <c r="M165" s="247"/>
      <c r="N165" s="247"/>
      <c r="O165" s="247"/>
      <c r="P165" s="247"/>
      <c r="Q165" s="247"/>
      <c r="R165" s="247"/>
      <c r="S165" s="247"/>
      <c r="T165" s="247"/>
      <c r="U165" s="247"/>
      <c r="V165" s="247"/>
      <c r="W165" s="247"/>
      <c r="X165" s="247"/>
    </row>
    <row r="166" spans="1:24" ht="15" customHeight="1" outlineLevel="1" thickBot="1"/>
    <row r="167" spans="1:24" ht="18.600000000000001" customHeight="1" outlineLevel="1" thickBot="1">
      <c r="A167" s="148" t="s">
        <v>223</v>
      </c>
      <c r="B167" s="149" t="s">
        <v>138</v>
      </c>
      <c r="C167" s="149" t="s">
        <v>139</v>
      </c>
      <c r="D167" s="150" t="s">
        <v>140</v>
      </c>
      <c r="E167" s="151"/>
      <c r="F167" s="148" t="s">
        <v>223</v>
      </c>
      <c r="G167" s="149" t="s">
        <v>24</v>
      </c>
      <c r="H167" s="150" t="s">
        <v>25</v>
      </c>
      <c r="M167" s="152"/>
      <c r="N167" s="152"/>
      <c r="O167" s="152"/>
    </row>
    <row r="168" spans="1:24" ht="15" customHeight="1" outlineLevel="1" thickTop="1">
      <c r="A168" s="153" t="str">
        <f>CONCATENATE("Cert [",EUnits,"/V]")</f>
        <v>Cert [Nm/V]</v>
      </c>
      <c r="B168" s="154" t="e">
        <f>'Check Q1 vs Q3 '!P17</f>
        <v>#VALUE!</v>
      </c>
      <c r="C168" s="154" t="e">
        <f>'Check Q1 vs Q3 '!Q17</f>
        <v>#VALUE!</v>
      </c>
      <c r="D168" s="154" t="e">
        <f>'Check Q1 vs Q3 '!R17</f>
        <v>#VALUE!</v>
      </c>
      <c r="F168" s="156" t="str">
        <f>CONCATENATE("Cert [",EUnits,"/V]")</f>
        <v>Cert [Nm/V]</v>
      </c>
      <c r="G168" s="157" t="e">
        <f>'Check Q1 vs Q3 '!P13</f>
        <v>#DIV/0!</v>
      </c>
      <c r="H168" s="158" t="e">
        <f>'Check Q1 vs Q3 '!Q13</f>
        <v>#DIV/0!</v>
      </c>
      <c r="O168" s="152"/>
    </row>
    <row r="169" spans="1:24" ht="15" customHeight="1" outlineLevel="1" thickBot="1">
      <c r="A169" s="113" t="str">
        <f>CONCATENATE("Cert [V/",EUnits,"]")</f>
        <v>Cert [V/Nm]</v>
      </c>
      <c r="B169" s="159" t="e">
        <f>'Check Q1 vs Q3 '!P18</f>
        <v>#VALUE!</v>
      </c>
      <c r="C169" s="159" t="e">
        <f>'Check Q1 vs Q3 '!Q18</f>
        <v>#VALUE!</v>
      </c>
      <c r="D169" s="160" t="e">
        <f>'Check Q1 vs Q3 '!R18</f>
        <v>#VALUE!</v>
      </c>
      <c r="F169" s="113" t="str">
        <f>CONCATENATE("Cert [V/",EUnits,"]")</f>
        <v>Cert [V/Nm]</v>
      </c>
      <c r="G169" s="161" t="e">
        <f>'Check Q1 vs Q3 '!P14</f>
        <v>#DIV/0!</v>
      </c>
      <c r="H169" s="162" t="e">
        <f>'Check Q1 vs Q3 '!Q14</f>
        <v>#DIV/0!</v>
      </c>
      <c r="O169" s="152"/>
    </row>
    <row r="170" spans="1:24" outlineLevel="1"/>
    <row r="171" spans="1:24" ht="18.600000000000001" customHeight="1" outlineLevel="1" thickBot="1">
      <c r="A171" s="87" t="s">
        <v>224</v>
      </c>
      <c r="B171" s="163"/>
      <c r="C171" s="163"/>
      <c r="D171" s="163"/>
      <c r="P171" s="152"/>
    </row>
    <row r="172" spans="1:24" ht="16.2" customHeight="1" outlineLevel="1" thickBot="1">
      <c r="A172" s="164" t="s">
        <v>178</v>
      </c>
      <c r="B172" s="165" t="s">
        <v>179</v>
      </c>
      <c r="C172" s="166" t="s">
        <v>179</v>
      </c>
      <c r="D172" s="167" t="s">
        <v>179</v>
      </c>
      <c r="E172" s="168" t="s">
        <v>180</v>
      </c>
      <c r="F172" s="166" t="s">
        <v>181</v>
      </c>
      <c r="G172" s="167" t="s">
        <v>182</v>
      </c>
      <c r="H172" s="484" t="s">
        <v>183</v>
      </c>
      <c r="I172" s="486" t="s">
        <v>184</v>
      </c>
      <c r="J172" s="169"/>
      <c r="K172" s="480" t="s">
        <v>185</v>
      </c>
      <c r="L172" s="480" t="s">
        <v>186</v>
      </c>
      <c r="M172" s="480" t="s">
        <v>187</v>
      </c>
      <c r="N172" s="480" t="s">
        <v>188</v>
      </c>
      <c r="O172" s="480" t="s">
        <v>189</v>
      </c>
      <c r="P172" s="480" t="s">
        <v>190</v>
      </c>
      <c r="R172" s="476" t="s">
        <v>121</v>
      </c>
      <c r="S172" s="477"/>
      <c r="T172" s="477"/>
    </row>
    <row r="173" spans="1:24" ht="29.4" customHeight="1" outlineLevel="1" thickTop="1">
      <c r="A173" s="170"/>
      <c r="B173" s="171" t="s">
        <v>191</v>
      </c>
      <c r="C173" s="172" t="s">
        <v>191</v>
      </c>
      <c r="D173" s="173" t="s">
        <v>191</v>
      </c>
      <c r="E173" s="174" t="s">
        <v>192</v>
      </c>
      <c r="F173" s="172" t="s">
        <v>193</v>
      </c>
      <c r="G173" s="173" t="s">
        <v>192</v>
      </c>
      <c r="H173" s="485"/>
      <c r="I173" s="464"/>
      <c r="J173" s="169"/>
      <c r="K173" s="464"/>
      <c r="L173" s="464"/>
      <c r="M173" s="464"/>
      <c r="N173" s="464"/>
      <c r="O173" s="464"/>
      <c r="P173" s="464"/>
      <c r="R173" s="175"/>
      <c r="S173" s="176" t="s">
        <v>123</v>
      </c>
      <c r="T173" s="176" t="s">
        <v>194</v>
      </c>
    </row>
    <row r="174" spans="1:24" ht="16.2" customHeight="1" outlineLevel="1" thickBot="1">
      <c r="A174" s="177" t="s">
        <v>195</v>
      </c>
      <c r="B174" s="178" t="s">
        <v>196</v>
      </c>
      <c r="C174" s="179" t="s">
        <v>196</v>
      </c>
      <c r="D174" s="180" t="s">
        <v>196</v>
      </c>
      <c r="E174" s="181" t="s">
        <v>196</v>
      </c>
      <c r="F174" s="179" t="s">
        <v>196</v>
      </c>
      <c r="G174" s="180" t="s">
        <v>196</v>
      </c>
      <c r="H174" s="485"/>
      <c r="I174" s="464"/>
      <c r="J174" s="169"/>
      <c r="K174" s="464"/>
      <c r="L174" s="464"/>
      <c r="M174" s="464"/>
      <c r="N174" s="464"/>
      <c r="O174" s="464"/>
      <c r="P174" s="464"/>
      <c r="R174" s="182" t="s">
        <v>197</v>
      </c>
      <c r="S174" s="183" t="e">
        <f t="shared" ref="S174:S179" si="50">E175</f>
        <v>#VALUE!</v>
      </c>
      <c r="T174" s="184">
        <f>SetPnt_N_0</f>
        <v>0</v>
      </c>
    </row>
    <row r="175" spans="1:24" ht="15.6" customHeight="1" outlineLevel="1">
      <c r="A175" s="185">
        <f t="shared" ref="A175:G180" si="51">A124</f>
        <v>0</v>
      </c>
      <c r="B175" s="248" t="e">
        <f t="shared" si="51"/>
        <v>#VALUE!</v>
      </c>
      <c r="C175" s="248" t="e">
        <f t="shared" si="51"/>
        <v>#VALUE!</v>
      </c>
      <c r="D175" s="248" t="e">
        <f t="shared" si="51"/>
        <v>#VALUE!</v>
      </c>
      <c r="E175" s="248" t="e">
        <f t="shared" si="51"/>
        <v>#VALUE!</v>
      </c>
      <c r="F175" s="187" t="str">
        <f t="shared" si="51"/>
        <v>x</v>
      </c>
      <c r="G175" s="248" t="e">
        <f t="shared" si="51"/>
        <v>#VALUE!</v>
      </c>
      <c r="H175" s="188" t="e">
        <f t="shared" ref="H175:H180" si="52">$B$169*A175^2 + $C$169*A175+$D$169</f>
        <v>#VALUE!</v>
      </c>
      <c r="I175" s="188" t="e">
        <f t="shared" ref="I175:I180" si="53">A175*$G$169+$H$169</f>
        <v>#DIV/0!</v>
      </c>
      <c r="J175" s="188"/>
      <c r="K175" s="188" t="e">
        <f t="shared" ref="K175:K180" si="54">AVERAGE(E175:G175)</f>
        <v>#VALUE!</v>
      </c>
      <c r="L175" s="188" t="e">
        <f t="shared" ref="L175:L180" si="55">ABS(E175-G175)</f>
        <v>#VALUE!</v>
      </c>
      <c r="M175" s="188" t="e">
        <f t="shared" ref="M175:M180" si="56">SQRT((E175-K175)^2+(G175-K175)^2)</f>
        <v>#VALUE!</v>
      </c>
      <c r="N175" s="188" t="e">
        <f t="shared" ref="N175:N180" si="57">(ABS(E175-F175) )</f>
        <v>#VALUE!</v>
      </c>
      <c r="O175" s="188" t="e">
        <f t="shared" ref="O175:O180" si="58">I175-K175</f>
        <v>#DIV/0!</v>
      </c>
      <c r="P175" s="188" t="e">
        <f t="shared" ref="P175:P180" si="59">H175-K175</f>
        <v>#VALUE!</v>
      </c>
      <c r="R175" s="182"/>
      <c r="S175" s="183" t="e">
        <f t="shared" si="50"/>
        <v>#VALUE!</v>
      </c>
      <c r="T175" s="189">
        <f>SetPnt_N_1</f>
        <v>-400</v>
      </c>
    </row>
    <row r="176" spans="1:24" ht="15.6" customHeight="1" outlineLevel="1">
      <c r="A176" s="190">
        <f t="shared" si="51"/>
        <v>-400</v>
      </c>
      <c r="B176" s="249" t="str">
        <f t="shared" si="51"/>
        <v>-</v>
      </c>
      <c r="C176" s="249" t="str">
        <f t="shared" si="51"/>
        <v>-</v>
      </c>
      <c r="D176" s="249" t="str">
        <f t="shared" si="51"/>
        <v>-</v>
      </c>
      <c r="E176" s="248" t="e">
        <f t="shared" si="51"/>
        <v>#VALUE!</v>
      </c>
      <c r="F176" s="187" t="str">
        <f t="shared" si="51"/>
        <v>x</v>
      </c>
      <c r="G176" s="248" t="e">
        <f t="shared" si="51"/>
        <v>#VALUE!</v>
      </c>
      <c r="H176" s="188" t="e">
        <f t="shared" si="52"/>
        <v>#VALUE!</v>
      </c>
      <c r="I176" s="188" t="e">
        <f t="shared" si="53"/>
        <v>#DIV/0!</v>
      </c>
      <c r="J176" s="188"/>
      <c r="K176" s="188" t="e">
        <f t="shared" si="54"/>
        <v>#VALUE!</v>
      </c>
      <c r="L176" s="188" t="e">
        <f t="shared" si="55"/>
        <v>#VALUE!</v>
      </c>
      <c r="M176" s="188" t="e">
        <f t="shared" si="56"/>
        <v>#VALUE!</v>
      </c>
      <c r="N176" s="188" t="e">
        <f t="shared" si="57"/>
        <v>#VALUE!</v>
      </c>
      <c r="O176" s="188" t="e">
        <f t="shared" si="58"/>
        <v>#DIV/0!</v>
      </c>
      <c r="P176" s="188" t="e">
        <f t="shared" si="59"/>
        <v>#VALUE!</v>
      </c>
      <c r="R176" s="182"/>
      <c r="S176" s="183" t="e">
        <f t="shared" si="50"/>
        <v>#VALUE!</v>
      </c>
      <c r="T176" s="189">
        <f>SetPnt_N_2</f>
        <v>-800</v>
      </c>
    </row>
    <row r="177" spans="1:20" ht="15.6" customHeight="1" outlineLevel="1">
      <c r="A177" s="190">
        <f t="shared" si="51"/>
        <v>-800</v>
      </c>
      <c r="B177" s="249" t="str">
        <f t="shared" si="51"/>
        <v>-</v>
      </c>
      <c r="C177" s="249" t="str">
        <f t="shared" si="51"/>
        <v>-</v>
      </c>
      <c r="D177" s="249" t="str">
        <f t="shared" si="51"/>
        <v>-</v>
      </c>
      <c r="E177" s="248" t="e">
        <f t="shared" si="51"/>
        <v>#VALUE!</v>
      </c>
      <c r="F177" s="187" t="str">
        <f t="shared" si="51"/>
        <v>x</v>
      </c>
      <c r="G177" s="248" t="e">
        <f t="shared" si="51"/>
        <v>#VALUE!</v>
      </c>
      <c r="H177" s="188" t="e">
        <f t="shared" si="52"/>
        <v>#VALUE!</v>
      </c>
      <c r="I177" s="188" t="e">
        <f t="shared" si="53"/>
        <v>#DIV/0!</v>
      </c>
      <c r="J177" s="188"/>
      <c r="K177" s="188" t="e">
        <f t="shared" si="54"/>
        <v>#VALUE!</v>
      </c>
      <c r="L177" s="188" t="e">
        <f t="shared" si="55"/>
        <v>#VALUE!</v>
      </c>
      <c r="M177" s="188" t="e">
        <f t="shared" si="56"/>
        <v>#VALUE!</v>
      </c>
      <c r="N177" s="188" t="e">
        <f t="shared" si="57"/>
        <v>#VALUE!</v>
      </c>
      <c r="O177" s="188" t="e">
        <f t="shared" si="58"/>
        <v>#DIV/0!</v>
      </c>
      <c r="P177" s="188" t="e">
        <f t="shared" si="59"/>
        <v>#VALUE!</v>
      </c>
      <c r="R177" s="182"/>
      <c r="S177" s="183" t="e">
        <f t="shared" si="50"/>
        <v>#VALUE!</v>
      </c>
      <c r="T177" s="189">
        <f>SetPnt_N_3</f>
        <v>-1200</v>
      </c>
    </row>
    <row r="178" spans="1:20" ht="15.6" customHeight="1" outlineLevel="1">
      <c r="A178" s="190">
        <f t="shared" si="51"/>
        <v>-1200</v>
      </c>
      <c r="B178" s="249" t="str">
        <f t="shared" si="51"/>
        <v>-</v>
      </c>
      <c r="C178" s="249" t="str">
        <f t="shared" si="51"/>
        <v>-</v>
      </c>
      <c r="D178" s="249" t="str">
        <f t="shared" si="51"/>
        <v>-</v>
      </c>
      <c r="E178" s="248" t="e">
        <f t="shared" si="51"/>
        <v>#VALUE!</v>
      </c>
      <c r="F178" s="187" t="str">
        <f t="shared" si="51"/>
        <v>x</v>
      </c>
      <c r="G178" s="248" t="e">
        <f t="shared" si="51"/>
        <v>#VALUE!</v>
      </c>
      <c r="H178" s="188" t="e">
        <f t="shared" si="52"/>
        <v>#VALUE!</v>
      </c>
      <c r="I178" s="188" t="e">
        <f t="shared" si="53"/>
        <v>#DIV/0!</v>
      </c>
      <c r="J178" s="188"/>
      <c r="K178" s="188" t="e">
        <f t="shared" si="54"/>
        <v>#VALUE!</v>
      </c>
      <c r="L178" s="188" t="e">
        <f t="shared" si="55"/>
        <v>#VALUE!</v>
      </c>
      <c r="M178" s="188" t="e">
        <f t="shared" si="56"/>
        <v>#VALUE!</v>
      </c>
      <c r="N178" s="188" t="e">
        <f t="shared" si="57"/>
        <v>#VALUE!</v>
      </c>
      <c r="O178" s="188" t="e">
        <f t="shared" si="58"/>
        <v>#DIV/0!</v>
      </c>
      <c r="P178" s="188" t="e">
        <f t="shared" si="59"/>
        <v>#VALUE!</v>
      </c>
      <c r="R178" s="182"/>
      <c r="S178" s="183" t="e">
        <f t="shared" si="50"/>
        <v>#VALUE!</v>
      </c>
      <c r="T178" s="189">
        <f>SetPnt_N_4</f>
        <v>-1600</v>
      </c>
    </row>
    <row r="179" spans="1:20" ht="15.6" customHeight="1" outlineLevel="1">
      <c r="A179" s="190">
        <f t="shared" si="51"/>
        <v>-1600</v>
      </c>
      <c r="B179" s="249" t="str">
        <f t="shared" si="51"/>
        <v>-</v>
      </c>
      <c r="C179" s="249" t="str">
        <f t="shared" si="51"/>
        <v>-</v>
      </c>
      <c r="D179" s="249" t="str">
        <f t="shared" si="51"/>
        <v>-</v>
      </c>
      <c r="E179" s="248" t="e">
        <f t="shared" si="51"/>
        <v>#VALUE!</v>
      </c>
      <c r="F179" s="187" t="str">
        <f t="shared" si="51"/>
        <v>x</v>
      </c>
      <c r="G179" s="248" t="e">
        <f t="shared" si="51"/>
        <v>#VALUE!</v>
      </c>
      <c r="H179" s="188" t="e">
        <f t="shared" si="52"/>
        <v>#VALUE!</v>
      </c>
      <c r="I179" s="188" t="e">
        <f t="shared" si="53"/>
        <v>#DIV/0!</v>
      </c>
      <c r="J179" s="188"/>
      <c r="K179" s="188" t="e">
        <f t="shared" si="54"/>
        <v>#VALUE!</v>
      </c>
      <c r="L179" s="188" t="e">
        <f t="shared" si="55"/>
        <v>#VALUE!</v>
      </c>
      <c r="M179" s="188" t="e">
        <f t="shared" si="56"/>
        <v>#VALUE!</v>
      </c>
      <c r="N179" s="188" t="e">
        <f t="shared" si="57"/>
        <v>#VALUE!</v>
      </c>
      <c r="O179" s="188" t="e">
        <f t="shared" si="58"/>
        <v>#DIV/0!</v>
      </c>
      <c r="P179" s="188" t="e">
        <f t="shared" si="59"/>
        <v>#VALUE!</v>
      </c>
      <c r="R179" s="192"/>
      <c r="S179" s="193" t="e">
        <f t="shared" si="50"/>
        <v>#VALUE!</v>
      </c>
      <c r="T179" s="189">
        <f>SetPnt_N_5</f>
        <v>-2000</v>
      </c>
    </row>
    <row r="180" spans="1:20" ht="15.6" customHeight="1" outlineLevel="1">
      <c r="A180" s="190">
        <f t="shared" si="51"/>
        <v>-2000</v>
      </c>
      <c r="B180" s="248" t="e">
        <f t="shared" si="51"/>
        <v>#VALUE!</v>
      </c>
      <c r="C180" s="248" t="e">
        <f t="shared" si="51"/>
        <v>#VALUE!</v>
      </c>
      <c r="D180" s="248" t="e">
        <f t="shared" si="51"/>
        <v>#VALUE!</v>
      </c>
      <c r="E180" s="248" t="e">
        <f t="shared" si="51"/>
        <v>#VALUE!</v>
      </c>
      <c r="F180" s="187" t="str">
        <f t="shared" si="51"/>
        <v>x</v>
      </c>
      <c r="G180" s="248" t="e">
        <f t="shared" si="51"/>
        <v>#VALUE!</v>
      </c>
      <c r="H180" s="188" t="e">
        <f t="shared" si="52"/>
        <v>#VALUE!</v>
      </c>
      <c r="I180" s="188" t="e">
        <f t="shared" si="53"/>
        <v>#DIV/0!</v>
      </c>
      <c r="J180" s="188"/>
      <c r="K180" s="188" t="e">
        <f t="shared" si="54"/>
        <v>#VALUE!</v>
      </c>
      <c r="L180" s="188" t="e">
        <f t="shared" si="55"/>
        <v>#VALUE!</v>
      </c>
      <c r="M180" s="188" t="e">
        <f t="shared" si="56"/>
        <v>#VALUE!</v>
      </c>
      <c r="N180" s="188" t="e">
        <f t="shared" si="57"/>
        <v>#VALUE!</v>
      </c>
      <c r="O180" s="188" t="e">
        <f t="shared" si="58"/>
        <v>#DIV/0!</v>
      </c>
      <c r="P180" s="188" t="e">
        <f t="shared" si="59"/>
        <v>#VALUE!</v>
      </c>
      <c r="R180" s="182" t="s">
        <v>165</v>
      </c>
      <c r="S180" s="183" t="e">
        <f t="shared" ref="S180:S185" si="60">G175</f>
        <v>#VALUE!</v>
      </c>
      <c r="T180" s="184">
        <f>SetPnt_N_0</f>
        <v>0</v>
      </c>
    </row>
    <row r="181" spans="1:20" outlineLevel="1">
      <c r="P181" s="136"/>
      <c r="R181" s="195"/>
      <c r="S181" s="183" t="e">
        <f t="shared" si="60"/>
        <v>#VALUE!</v>
      </c>
      <c r="T181" s="189">
        <f>SetPnt_N_1</f>
        <v>-400</v>
      </c>
    </row>
    <row r="182" spans="1:20" ht="18.600000000000001" customHeight="1" outlineLevel="1" thickBot="1">
      <c r="A182" s="87" t="s">
        <v>225</v>
      </c>
      <c r="P182" s="136"/>
      <c r="R182" s="195"/>
      <c r="S182" s="183" t="e">
        <f t="shared" si="60"/>
        <v>#VALUE!</v>
      </c>
      <c r="T182" s="189">
        <f>SetPnt_N_2</f>
        <v>-800</v>
      </c>
    </row>
    <row r="183" spans="1:20" ht="15" customHeight="1" outlineLevel="1" thickBot="1">
      <c r="A183" s="250" t="s">
        <v>200</v>
      </c>
      <c r="B183" s="198" t="s">
        <v>201</v>
      </c>
      <c r="C183" s="198" t="s">
        <v>202</v>
      </c>
      <c r="D183" s="198" t="s">
        <v>203</v>
      </c>
      <c r="E183" s="198" t="s">
        <v>204</v>
      </c>
      <c r="F183" s="198" t="s">
        <v>205</v>
      </c>
      <c r="G183" s="198" t="s">
        <v>206</v>
      </c>
      <c r="H183" s="198" t="s">
        <v>207</v>
      </c>
      <c r="I183" s="198" t="s">
        <v>205</v>
      </c>
      <c r="J183" s="198" t="s">
        <v>206</v>
      </c>
      <c r="K183" s="74"/>
      <c r="M183" s="152"/>
      <c r="N183" s="198" t="s">
        <v>203</v>
      </c>
      <c r="P183" s="136"/>
      <c r="R183" s="110"/>
      <c r="S183" s="183" t="e">
        <f t="shared" si="60"/>
        <v>#VALUE!</v>
      </c>
      <c r="T183" s="189">
        <f>SetPnt_N_3</f>
        <v>-1200</v>
      </c>
    </row>
    <row r="184" spans="1:20" outlineLevel="1">
      <c r="A184" s="5">
        <f>SetPnt_N_0</f>
        <v>0</v>
      </c>
      <c r="B184" s="199" t="e">
        <f t="shared" ref="B184:B189" si="61">L175*100 / (SQRT(2)*K175)</f>
        <v>#VALUE!</v>
      </c>
      <c r="C184" s="199" t="e">
        <f t="shared" ref="C184:C189" si="62">M175*100 / (SQRT(2)*K175)</f>
        <v>#VALUE!</v>
      </c>
      <c r="D184" s="199">
        <v>0.46899999999999997</v>
      </c>
      <c r="E184" s="199" t="e">
        <f t="shared" ref="E184:E189" si="63">ABS(O175)*100 / (SQRT(6)*I175)</f>
        <v>#DIV/0!</v>
      </c>
      <c r="F184" s="199" t="e">
        <f t="shared" ref="F184:F189" si="64">SQRT((B184^2 + C184^2+D184^2+E184^2))</f>
        <v>#VALUE!</v>
      </c>
      <c r="G184" s="398" t="e">
        <f t="shared" ref="G184:G189" si="65">F184*2</f>
        <v>#VALUE!</v>
      </c>
      <c r="H184" s="201" t="e">
        <f t="shared" ref="H184:H189" si="66">ABS(P175)*100 / (SQRT(6)*H175)</f>
        <v>#VALUE!</v>
      </c>
      <c r="I184" s="199" t="e">
        <f t="shared" ref="I184:I189" si="67">SQRT((B184^2 + C184^2+H184^2+D184^2))</f>
        <v>#VALUE!</v>
      </c>
      <c r="J184" s="199" t="e">
        <f t="shared" ref="J184:J189" si="68">I184*2</f>
        <v>#VALUE!</v>
      </c>
      <c r="M184" s="152"/>
      <c r="N184" s="202">
        <v>0.46899999999999997</v>
      </c>
      <c r="P184" s="136"/>
      <c r="R184" s="110"/>
      <c r="S184" s="183" t="e">
        <f t="shared" si="60"/>
        <v>#VALUE!</v>
      </c>
      <c r="T184" s="189">
        <f>SetPnt_N_4</f>
        <v>-1600</v>
      </c>
    </row>
    <row r="185" spans="1:20" outlineLevel="1">
      <c r="A185" s="190">
        <f>SetPnt_N_1</f>
        <v>-400</v>
      </c>
      <c r="B185" s="199" t="e">
        <f t="shared" si="61"/>
        <v>#VALUE!</v>
      </c>
      <c r="C185" s="199" t="e">
        <f t="shared" si="62"/>
        <v>#VALUE!</v>
      </c>
      <c r="D185" s="199">
        <v>0.109</v>
      </c>
      <c r="E185" s="199" t="e">
        <f t="shared" si="63"/>
        <v>#DIV/0!</v>
      </c>
      <c r="F185" s="199" t="e">
        <f t="shared" si="64"/>
        <v>#VALUE!</v>
      </c>
      <c r="G185" s="398" t="e">
        <f t="shared" si="65"/>
        <v>#VALUE!</v>
      </c>
      <c r="H185" s="201" t="e">
        <f t="shared" si="66"/>
        <v>#VALUE!</v>
      </c>
      <c r="I185" s="199" t="e">
        <f t="shared" si="67"/>
        <v>#VALUE!</v>
      </c>
      <c r="J185" s="203" t="e">
        <f t="shared" si="68"/>
        <v>#VALUE!</v>
      </c>
      <c r="M185" s="152"/>
      <c r="N185" s="202">
        <v>0.46899999999999997</v>
      </c>
      <c r="P185" s="136"/>
      <c r="R185" s="110"/>
      <c r="S185" s="183" t="e">
        <f t="shared" si="60"/>
        <v>#VALUE!</v>
      </c>
      <c r="T185" s="189">
        <f>SetPnt_N_5</f>
        <v>-2000</v>
      </c>
    </row>
    <row r="186" spans="1:20" outlineLevel="1">
      <c r="A186" s="190">
        <f>SetPnt_N_2</f>
        <v>-800</v>
      </c>
      <c r="B186" s="199" t="e">
        <f t="shared" si="61"/>
        <v>#VALUE!</v>
      </c>
      <c r="C186" s="199" t="e">
        <f t="shared" si="62"/>
        <v>#VALUE!</v>
      </c>
      <c r="D186" s="199">
        <v>0.109</v>
      </c>
      <c r="E186" s="199" t="e">
        <f t="shared" si="63"/>
        <v>#DIV/0!</v>
      </c>
      <c r="F186" s="199" t="e">
        <f t="shared" si="64"/>
        <v>#VALUE!</v>
      </c>
      <c r="G186" s="398" t="e">
        <f t="shared" si="65"/>
        <v>#VALUE!</v>
      </c>
      <c r="H186" s="201" t="e">
        <f t="shared" si="66"/>
        <v>#VALUE!</v>
      </c>
      <c r="I186" s="199" t="e">
        <f t="shared" si="67"/>
        <v>#VALUE!</v>
      </c>
      <c r="J186" s="203" t="e">
        <f t="shared" si="68"/>
        <v>#VALUE!</v>
      </c>
      <c r="M186" s="152"/>
      <c r="N186" s="202">
        <v>0.109</v>
      </c>
      <c r="P186" s="136"/>
    </row>
    <row r="187" spans="1:20" outlineLevel="1">
      <c r="A187" s="190">
        <f>SetPnt_N_3</f>
        <v>-1200</v>
      </c>
      <c r="B187" s="199" t="e">
        <f t="shared" si="61"/>
        <v>#VALUE!</v>
      </c>
      <c r="C187" s="199" t="e">
        <f t="shared" si="62"/>
        <v>#VALUE!</v>
      </c>
      <c r="D187" s="199">
        <v>0.109</v>
      </c>
      <c r="E187" s="199" t="e">
        <f t="shared" si="63"/>
        <v>#DIV/0!</v>
      </c>
      <c r="F187" s="199" t="e">
        <f t="shared" si="64"/>
        <v>#VALUE!</v>
      </c>
      <c r="G187" s="398" t="e">
        <f t="shared" si="65"/>
        <v>#VALUE!</v>
      </c>
      <c r="H187" s="201" t="e">
        <f t="shared" si="66"/>
        <v>#VALUE!</v>
      </c>
      <c r="I187" s="199" t="e">
        <f t="shared" si="67"/>
        <v>#VALUE!</v>
      </c>
      <c r="J187" s="203" t="e">
        <f t="shared" si="68"/>
        <v>#VALUE!</v>
      </c>
      <c r="M187" s="152"/>
      <c r="N187" s="202">
        <v>0.109</v>
      </c>
      <c r="P187" s="136"/>
    </row>
    <row r="188" spans="1:20" outlineLevel="1">
      <c r="A188" s="190">
        <f>SetPnt_N_4</f>
        <v>-1600</v>
      </c>
      <c r="B188" s="199" t="e">
        <f t="shared" si="61"/>
        <v>#VALUE!</v>
      </c>
      <c r="C188" s="199" t="e">
        <f t="shared" si="62"/>
        <v>#VALUE!</v>
      </c>
      <c r="D188" s="199">
        <v>0.108</v>
      </c>
      <c r="E188" s="199" t="e">
        <f t="shared" si="63"/>
        <v>#DIV/0!</v>
      </c>
      <c r="F188" s="199" t="e">
        <f t="shared" si="64"/>
        <v>#VALUE!</v>
      </c>
      <c r="G188" s="398" t="e">
        <f t="shared" si="65"/>
        <v>#VALUE!</v>
      </c>
      <c r="H188" s="201" t="e">
        <f t="shared" si="66"/>
        <v>#VALUE!</v>
      </c>
      <c r="I188" s="199" t="e">
        <f t="shared" si="67"/>
        <v>#VALUE!</v>
      </c>
      <c r="J188" s="203" t="e">
        <f t="shared" si="68"/>
        <v>#VALUE!</v>
      </c>
      <c r="M188" s="152"/>
      <c r="N188" s="202">
        <v>0.108</v>
      </c>
      <c r="P188" s="136"/>
    </row>
    <row r="189" spans="1:20" outlineLevel="1">
      <c r="A189" s="190">
        <f>SetPnt_N_5</f>
        <v>-2000</v>
      </c>
      <c r="B189" s="199" t="e">
        <f t="shared" si="61"/>
        <v>#VALUE!</v>
      </c>
      <c r="C189" s="199" t="e">
        <f t="shared" si="62"/>
        <v>#VALUE!</v>
      </c>
      <c r="D189" s="199">
        <v>9.8000000000000004E-2</v>
      </c>
      <c r="E189" s="199" t="e">
        <f t="shared" si="63"/>
        <v>#DIV/0!</v>
      </c>
      <c r="F189" s="199" t="e">
        <f t="shared" si="64"/>
        <v>#VALUE!</v>
      </c>
      <c r="G189" s="398" t="e">
        <f t="shared" si="65"/>
        <v>#VALUE!</v>
      </c>
      <c r="H189" s="201" t="e">
        <f t="shared" si="66"/>
        <v>#VALUE!</v>
      </c>
      <c r="I189" s="199" t="e">
        <f t="shared" si="67"/>
        <v>#VALUE!</v>
      </c>
      <c r="J189" s="203" t="e">
        <f t="shared" si="68"/>
        <v>#VALUE!</v>
      </c>
      <c r="M189" s="152"/>
      <c r="N189" s="202">
        <v>9.8000000000000004E-2</v>
      </c>
    </row>
    <row r="192" spans="1:20" ht="16.2" customHeight="1">
      <c r="A192" t="s">
        <v>230</v>
      </c>
      <c r="B192" s="52"/>
      <c r="I192" s="326"/>
    </row>
    <row r="193" spans="1:9" ht="15" customHeight="1" thickBot="1">
      <c r="A193" s="52"/>
      <c r="B193" s="52"/>
      <c r="I193" s="326"/>
    </row>
    <row r="194" spans="1:9">
      <c r="A194" s="52"/>
      <c r="C194" s="491" t="s">
        <v>200</v>
      </c>
      <c r="D194" s="492"/>
      <c r="E194" s="390">
        <f>A185</f>
        <v>-400</v>
      </c>
      <c r="F194" s="390">
        <f>A186</f>
        <v>-800</v>
      </c>
      <c r="G194" s="390">
        <f>A187</f>
        <v>-1200</v>
      </c>
      <c r="H194" s="390">
        <f>A188</f>
        <v>-1600</v>
      </c>
      <c r="I194" s="391">
        <f>A189</f>
        <v>-2000</v>
      </c>
    </row>
    <row r="195" spans="1:9" ht="15" customHeight="1" thickBot="1">
      <c r="A195" s="52"/>
      <c r="C195" s="481" t="s">
        <v>220</v>
      </c>
      <c r="D195" s="482"/>
      <c r="E195" s="393" t="e">
        <f>1/100*J185</f>
        <v>#VALUE!</v>
      </c>
      <c r="F195" s="393" t="e">
        <f>1/100*J186</f>
        <v>#VALUE!</v>
      </c>
      <c r="G195" s="393" t="e">
        <f>1/100*J187</f>
        <v>#VALUE!</v>
      </c>
      <c r="H195" s="393" t="e">
        <f>1/100*J188</f>
        <v>#VALUE!</v>
      </c>
      <c r="I195" s="394" t="e">
        <f>1/100*J189</f>
        <v>#VALUE!</v>
      </c>
    </row>
  </sheetData>
  <mergeCells count="32">
    <mergeCell ref="L38:O38"/>
    <mergeCell ref="B21:B22"/>
    <mergeCell ref="E21:F21"/>
    <mergeCell ref="N121:N123"/>
    <mergeCell ref="O172:O174"/>
    <mergeCell ref="L121:L123"/>
    <mergeCell ref="L172:L174"/>
    <mergeCell ref="R172:T172"/>
    <mergeCell ref="M172:M174"/>
    <mergeCell ref="I155:I156"/>
    <mergeCell ref="H121:H123"/>
    <mergeCell ref="C21:D21"/>
    <mergeCell ref="C194:D194"/>
    <mergeCell ref="G38:J38"/>
    <mergeCell ref="B38:E38"/>
    <mergeCell ref="I121:I123"/>
    <mergeCell ref="J155:J156"/>
    <mergeCell ref="G21:H21"/>
    <mergeCell ref="Q38:S38"/>
    <mergeCell ref="L50:O50"/>
    <mergeCell ref="C195:D195"/>
    <mergeCell ref="P172:P174"/>
    <mergeCell ref="N172:N174"/>
    <mergeCell ref="P121:P123"/>
    <mergeCell ref="G50:J50"/>
    <mergeCell ref="K121:K123"/>
    <mergeCell ref="K172:K174"/>
    <mergeCell ref="H172:H174"/>
    <mergeCell ref="R121:T121"/>
    <mergeCell ref="I172:I174"/>
    <mergeCell ref="M121:M123"/>
    <mergeCell ref="O121:O123"/>
  </mergeCells>
  <pageMargins left="0.7" right="0.7" top="0.75" bottom="0.75" header="0.511811023622047" footer="0.511811023622047"/>
  <pageSetup paperSize="9" orientation="portrait" horizontalDpi="300" verticalDpi="30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R38"/>
  <sheetViews>
    <sheetView zoomScaleNormal="100" workbookViewId="0">
      <selection activeCell="D3" sqref="D3"/>
    </sheetView>
  </sheetViews>
  <sheetFormatPr defaultColWidth="8.5546875" defaultRowHeight="14.4"/>
  <cols>
    <col min="2" max="2" width="9" customWidth="1"/>
    <col min="3" max="3" width="13.5546875" customWidth="1"/>
    <col min="4" max="5" width="12.109375" customWidth="1"/>
    <col min="6" max="6" width="10.5546875" customWidth="1"/>
    <col min="8" max="8" width="13.109375" customWidth="1"/>
    <col min="9" max="10" width="13.44140625" customWidth="1"/>
    <col min="14" max="14" width="11.44140625" bestFit="1" customWidth="1"/>
    <col min="16" max="16" width="9.5546875" bestFit="1" customWidth="1"/>
    <col min="17" max="17" width="12.6640625" bestFit="1" customWidth="1"/>
    <col min="18" max="18" width="11.5546875" bestFit="1" customWidth="1"/>
    <col min="19" max="19" width="12.33203125" bestFit="1" customWidth="1"/>
    <col min="20" max="20" width="9.5546875" bestFit="1" customWidth="1"/>
    <col min="21" max="21" width="12.6640625" bestFit="1" customWidth="1"/>
  </cols>
  <sheetData>
    <row r="1" spans="1:18" ht="15" customHeight="1" thickBot="1">
      <c r="A1" t="s">
        <v>231</v>
      </c>
    </row>
    <row r="2" spans="1:18" ht="21.6" customHeight="1" thickBot="1">
      <c r="B2" t="s">
        <v>122</v>
      </c>
      <c r="C2" s="251" t="s">
        <v>232</v>
      </c>
      <c r="D2" t="s">
        <v>233</v>
      </c>
      <c r="F2" s="252" t="s">
        <v>234</v>
      </c>
      <c r="G2" s="253"/>
      <c r="H2" s="253"/>
      <c r="I2" s="253"/>
      <c r="J2" s="254"/>
      <c r="O2" s="263" t="s">
        <v>235</v>
      </c>
      <c r="P2" s="264"/>
      <c r="Q2" s="264"/>
      <c r="R2" s="265"/>
    </row>
    <row r="3" spans="1:18" ht="18" customHeight="1">
      <c r="A3" s="498" t="s">
        <v>236</v>
      </c>
      <c r="B3" s="62">
        <f>'1°Q - Positivo'!Q40</f>
        <v>0</v>
      </c>
      <c r="C3" s="255">
        <f>'1°Q - Positivo'!R40</f>
        <v>0</v>
      </c>
      <c r="D3" s="256">
        <f>'1°Q - Positivo'!S40</f>
        <v>2.4990000000000001</v>
      </c>
      <c r="F3" s="257"/>
      <c r="G3" s="108" t="s">
        <v>234</v>
      </c>
      <c r="H3" s="109" t="s">
        <v>24</v>
      </c>
      <c r="I3" s="96" t="s">
        <v>25</v>
      </c>
      <c r="J3" s="258"/>
      <c r="O3" s="267"/>
      <c r="P3" s="132" t="s">
        <v>237</v>
      </c>
      <c r="Q3" s="132" t="s">
        <v>238</v>
      </c>
      <c r="R3" s="268" t="s">
        <v>239</v>
      </c>
    </row>
    <row r="4" spans="1:18" ht="15" customHeight="1" thickBot="1">
      <c r="A4" s="464"/>
      <c r="B4" s="259">
        <f>'1°Q - Positivo'!Q41</f>
        <v>400</v>
      </c>
      <c r="C4" s="255">
        <f>'1°Q - Positivo'!R41</f>
        <v>0</v>
      </c>
      <c r="D4" s="256">
        <f>'1°Q - Positivo'!S41</f>
        <v>2.4990000000000001</v>
      </c>
      <c r="F4" s="260" t="s">
        <v>135</v>
      </c>
      <c r="G4" s="111" t="s">
        <v>144</v>
      </c>
      <c r="H4" s="112" t="e">
        <f>SLOPE(C3:C26,D3:D26)</f>
        <v>#DIV/0!</v>
      </c>
      <c r="I4" s="106" t="e">
        <f>INTERCEPT(C3:C26,D3:D26)</f>
        <v>#DIV/0!</v>
      </c>
      <c r="J4" s="258"/>
      <c r="O4" s="267" t="s">
        <v>240</v>
      </c>
      <c r="P4" s="270">
        <v>0.50166189999999999</v>
      </c>
      <c r="Q4" s="270">
        <v>1.1381110000000001</v>
      </c>
      <c r="R4" s="268">
        <v>0.49718842487347997</v>
      </c>
    </row>
    <row r="5" spans="1:18" ht="15" customHeight="1" thickBot="1">
      <c r="A5" s="464"/>
      <c r="B5" s="259">
        <f>'1°Q - Positivo'!Q42</f>
        <v>800</v>
      </c>
      <c r="C5" s="255">
        <f>'1°Q - Positivo'!R42</f>
        <v>0</v>
      </c>
      <c r="D5" s="256">
        <f>'1°Q - Positivo'!S42</f>
        <v>2.4990000000000001</v>
      </c>
      <c r="F5" s="260" t="s">
        <v>136</v>
      </c>
      <c r="G5" s="113" t="s">
        <v>146</v>
      </c>
      <c r="H5" s="114" t="e">
        <f>SLOPE(D3:D26,C3:C26)</f>
        <v>#DIV/0!</v>
      </c>
      <c r="I5" s="115" t="e">
        <f>INTERCEPT(D3:D26,C3:C26)</f>
        <v>#DIV/0!</v>
      </c>
      <c r="J5" s="258"/>
      <c r="O5" s="267" t="s">
        <v>241</v>
      </c>
      <c r="P5" s="270">
        <v>0.49796380000000001</v>
      </c>
      <c r="Q5" s="270">
        <v>1.123381</v>
      </c>
      <c r="R5" s="268">
        <v>0.50107878129708305</v>
      </c>
    </row>
    <row r="6" spans="1:18" ht="15" customHeight="1" thickBot="1">
      <c r="A6" s="464"/>
      <c r="B6" s="259">
        <f>'1°Q - Positivo'!Q43</f>
        <v>1200</v>
      </c>
      <c r="C6" s="255">
        <f>'1°Q - Positivo'!R43</f>
        <v>0</v>
      </c>
      <c r="D6" s="256">
        <f>'1°Q - Positivo'!S43</f>
        <v>2.4990000000000001</v>
      </c>
      <c r="F6" s="260"/>
      <c r="G6" s="261"/>
      <c r="H6" s="262"/>
      <c r="I6" s="262"/>
      <c r="J6" s="258"/>
      <c r="O6" s="275"/>
      <c r="P6" s="276">
        <f>2*(P4-P5)/(P4+P5)</f>
        <v>7.3989694342592076E-3</v>
      </c>
      <c r="Q6" s="276">
        <f>2*(Q4-Q5)/(Q4+Q5)</f>
        <v>1.3026798237623774E-2</v>
      </c>
      <c r="R6" s="277">
        <f>2*(R4-R5)/(R4+R5)</f>
        <v>-7.7942186211381517E-3</v>
      </c>
    </row>
    <row r="7" spans="1:18" ht="18" customHeight="1">
      <c r="A7" s="464"/>
      <c r="B7" s="259">
        <f>'1°Q - Positivo'!Q44</f>
        <v>1600</v>
      </c>
      <c r="C7" s="255">
        <f>'1°Q - Positivo'!R44</f>
        <v>0</v>
      </c>
      <c r="D7" s="256">
        <f>'1°Q - Positivo'!S44</f>
        <v>2.4990000000000001</v>
      </c>
      <c r="F7" s="260"/>
      <c r="G7" s="108" t="s">
        <v>234</v>
      </c>
      <c r="H7" s="109" t="s">
        <v>138</v>
      </c>
      <c r="I7" s="109" t="s">
        <v>139</v>
      </c>
      <c r="J7" s="266" t="s">
        <v>140</v>
      </c>
    </row>
    <row r="8" spans="1:18" ht="15" customHeight="1" thickBot="1">
      <c r="A8" s="464"/>
      <c r="B8" s="259">
        <f>'1°Q - Positivo'!Q45</f>
        <v>2000</v>
      </c>
      <c r="C8" s="255">
        <f>'1°Q - Positivo'!R45</f>
        <v>0</v>
      </c>
      <c r="D8" s="256">
        <f>'1°Q - Positivo'!S45</f>
        <v>2.4990000000000001</v>
      </c>
      <c r="F8" s="260" t="s">
        <v>137</v>
      </c>
      <c r="G8" s="111" t="s">
        <v>27</v>
      </c>
      <c r="H8" s="116" t="e">
        <f>INDEX(LINEST(C3:C26,(D3:D26)^{1,2}),1)</f>
        <v>#VALUE!</v>
      </c>
      <c r="I8" s="116" t="e">
        <f>INDEX(LINEST(C3:C26,(D3:D26)^{1,2}),1,2)</f>
        <v>#VALUE!</v>
      </c>
      <c r="J8" s="269" t="e">
        <f>INDEX(LINEST(C3:C26,(D3:D26)^{1,2}),1,3)</f>
        <v>#VALUE!</v>
      </c>
    </row>
    <row r="9" spans="1:18" ht="15" customHeight="1" thickBot="1">
      <c r="A9" s="464"/>
      <c r="B9" s="62">
        <f>'1°Q - Positivo'!Q46</f>
        <v>0</v>
      </c>
      <c r="C9" s="255">
        <f>'1°Q - Positivo'!R46</f>
        <v>0</v>
      </c>
      <c r="D9" s="256">
        <f>'1°Q - Positivo'!S46</f>
        <v>2.4990000000000001</v>
      </c>
      <c r="F9" s="271" t="s">
        <v>141</v>
      </c>
      <c r="G9" s="272" t="s">
        <v>26</v>
      </c>
      <c r="H9" s="273" t="e">
        <f t="array" ref="H9">_xlfn.SINGLE(INDEX(LINEST(D3:D26,(C3:C26)^{1,2}),1))</f>
        <v>#VALUE!</v>
      </c>
      <c r="I9" s="273" t="e">
        <f t="array" ref="I9">INDEX(LINEST(D3:D26,(C3:C26)^{1,2}),1,2)</f>
        <v>#VALUE!</v>
      </c>
      <c r="J9" s="274" t="e">
        <f>INDEX(LINEST(D3:D26,(C3:C26)^{1,2}),1,3)</f>
        <v>#VALUE!</v>
      </c>
    </row>
    <row r="10" spans="1:18" ht="15" customHeight="1" thickBot="1">
      <c r="A10" s="464"/>
      <c r="B10" s="259">
        <f>'1°Q - Positivo'!Q47</f>
        <v>400</v>
      </c>
      <c r="C10" s="255">
        <f>'1°Q - Positivo'!R47</f>
        <v>0</v>
      </c>
      <c r="D10" s="256">
        <f>'1°Q - Positivo'!S47</f>
        <v>2.4990000000000001</v>
      </c>
    </row>
    <row r="11" spans="1:18" ht="21.6" customHeight="1" thickBot="1">
      <c r="A11" s="464"/>
      <c r="B11" s="259">
        <f>'1°Q - Positivo'!Q48</f>
        <v>800</v>
      </c>
      <c r="C11" s="255">
        <f>'1°Q - Positivo'!R48</f>
        <v>0</v>
      </c>
      <c r="D11" s="256">
        <f>'1°Q - Positivo'!S48</f>
        <v>2.4990000000000001</v>
      </c>
      <c r="F11" s="278" t="s">
        <v>21</v>
      </c>
      <c r="G11" s="279"/>
      <c r="H11" s="279"/>
      <c r="I11" s="279"/>
      <c r="J11" s="280"/>
      <c r="N11" s="499" t="s">
        <v>242</v>
      </c>
      <c r="O11" s="490"/>
      <c r="P11" s="490"/>
      <c r="Q11" s="490"/>
      <c r="R11" s="475"/>
    </row>
    <row r="12" spans="1:18" ht="18" customHeight="1">
      <c r="A12" s="464"/>
      <c r="B12" s="259">
        <f>'1°Q - Positivo'!Q49</f>
        <v>1200</v>
      </c>
      <c r="C12" s="255">
        <f>'1°Q - Positivo'!R49</f>
        <v>0</v>
      </c>
      <c r="D12" s="256">
        <f>'1°Q - Positivo'!S49</f>
        <v>2.4990000000000001</v>
      </c>
      <c r="F12" s="29"/>
      <c r="G12" s="108" t="str">
        <f>'1°Q - Positivo'!B58</f>
        <v>Q1</v>
      </c>
      <c r="H12" s="109" t="str">
        <f>'1°Q - Positivo'!C58</f>
        <v>m</v>
      </c>
      <c r="I12" s="96" t="str">
        <f>'1°Q - Positivo'!D58</f>
        <v>q</v>
      </c>
      <c r="J12" s="281"/>
      <c r="L12" t="s">
        <v>243</v>
      </c>
      <c r="N12" s="402"/>
      <c r="O12" s="108" t="s">
        <v>20</v>
      </c>
      <c r="P12" s="109" t="s">
        <v>24</v>
      </c>
      <c r="Q12" s="96" t="s">
        <v>25</v>
      </c>
      <c r="R12" s="404"/>
    </row>
    <row r="13" spans="1:18" ht="15" customHeight="1" thickBot="1">
      <c r="A13" s="464"/>
      <c r="B13" s="259">
        <f>'1°Q - Positivo'!Q50</f>
        <v>1600</v>
      </c>
      <c r="C13" s="255">
        <f>'1°Q - Positivo'!R50</f>
        <v>0</v>
      </c>
      <c r="D13" s="256">
        <f>'1°Q - Positivo'!S50</f>
        <v>2.4990000000000001</v>
      </c>
      <c r="F13" s="282" t="s">
        <v>135</v>
      </c>
      <c r="G13" s="111" t="str">
        <f>'1°Q - Positivo'!B59</f>
        <v>Nm/V</v>
      </c>
      <c r="H13" s="112">
        <f>'1°Q - Positivo'!C59</f>
        <v>0</v>
      </c>
      <c r="I13" s="106">
        <f>'1°Q - Positivo'!D59</f>
        <v>0</v>
      </c>
      <c r="J13" s="281"/>
      <c r="L13" s="283" t="e">
        <f>(-$H$4+H13)/$H$4</f>
        <v>#DIV/0!</v>
      </c>
      <c r="M13" s="283"/>
      <c r="N13" s="403" t="s">
        <v>135</v>
      </c>
      <c r="O13" s="111" t="s">
        <v>27</v>
      </c>
      <c r="P13" s="112" t="e">
        <f>H4</f>
        <v>#DIV/0!</v>
      </c>
      <c r="Q13" s="112" t="e">
        <f>I4</f>
        <v>#DIV/0!</v>
      </c>
      <c r="R13" s="404"/>
    </row>
    <row r="14" spans="1:18" ht="15" customHeight="1" thickBot="1">
      <c r="A14" s="464"/>
      <c r="B14" s="259">
        <f>'1°Q - Positivo'!Q51</f>
        <v>2000</v>
      </c>
      <c r="C14" s="255">
        <f>'1°Q - Positivo'!R51</f>
        <v>0</v>
      </c>
      <c r="D14" s="256">
        <f>'1°Q - Positivo'!S51</f>
        <v>2.4990000000000001</v>
      </c>
      <c r="F14" s="282" t="s">
        <v>136</v>
      </c>
      <c r="G14" s="113" t="str">
        <f>'1°Q - Positivo'!B60</f>
        <v>V/Nm</v>
      </c>
      <c r="H14" s="114" t="e">
        <f>'1°Q - Positivo'!C60</f>
        <v>#DIV/0!</v>
      </c>
      <c r="I14" s="115" t="e">
        <f>'1°Q - Positivo'!D60</f>
        <v>#DIV/0!</v>
      </c>
      <c r="J14" s="281"/>
      <c r="N14" s="403" t="s">
        <v>136</v>
      </c>
      <c r="O14" s="113" t="s">
        <v>26</v>
      </c>
      <c r="P14" s="114" t="e">
        <f>H5</f>
        <v>#DIV/0!</v>
      </c>
      <c r="Q14" s="115" t="e">
        <f>I5</f>
        <v>#DIV/0!</v>
      </c>
      <c r="R14" s="404"/>
    </row>
    <row r="15" spans="1:18" ht="15" customHeight="1" thickBot="1">
      <c r="A15" s="500" t="s">
        <v>244</v>
      </c>
      <c r="B15" s="247">
        <f>'3°Q - Negativo'!Q40</f>
        <v>0</v>
      </c>
      <c r="C15" s="284">
        <f>'3°Q - Negativo'!R40</f>
        <v>0</v>
      </c>
      <c r="D15" s="285" t="e">
        <f>'3°Q - Negativo'!S40</f>
        <v>#DIV/0!</v>
      </c>
      <c r="F15" s="282"/>
      <c r="G15" s="286"/>
      <c r="H15" s="255"/>
      <c r="I15" s="255"/>
      <c r="J15" s="281"/>
      <c r="N15" s="405"/>
      <c r="O15" s="406"/>
      <c r="P15" s="406"/>
      <c r="Q15" s="406"/>
      <c r="R15" s="404"/>
    </row>
    <row r="16" spans="1:18" ht="18" customHeight="1">
      <c r="A16" s="464"/>
      <c r="B16" s="287">
        <f>'3°Q - Negativo'!Q41</f>
        <v>-400</v>
      </c>
      <c r="C16" s="284">
        <f>'3°Q - Negativo'!R41</f>
        <v>0</v>
      </c>
      <c r="D16" s="285" t="e">
        <f>'3°Q - Negativo'!S41</f>
        <v>#DIV/0!</v>
      </c>
      <c r="F16" s="282"/>
      <c r="G16" s="108" t="str">
        <f>'1°Q - Positivo'!B62</f>
        <v>Q1</v>
      </c>
      <c r="H16" s="109" t="str">
        <f>'1°Q - Positivo'!C62</f>
        <v>H2</v>
      </c>
      <c r="I16" s="109" t="str">
        <f>'1°Q - Positivo'!D62</f>
        <v>H1</v>
      </c>
      <c r="J16" s="288" t="str">
        <f>'1°Q - Positivo'!E62</f>
        <v>H0</v>
      </c>
      <c r="N16" s="407"/>
      <c r="O16" s="108" t="s">
        <v>234</v>
      </c>
      <c r="P16" s="109" t="s">
        <v>138</v>
      </c>
      <c r="Q16" s="109" t="s">
        <v>139</v>
      </c>
      <c r="R16" s="96" t="s">
        <v>140</v>
      </c>
    </row>
    <row r="17" spans="1:18" ht="15" customHeight="1" thickBot="1">
      <c r="A17" s="464"/>
      <c r="B17" s="287">
        <f>'3°Q - Negativo'!Q42</f>
        <v>-800</v>
      </c>
      <c r="C17" s="284">
        <f>'3°Q - Negativo'!R42</f>
        <v>0</v>
      </c>
      <c r="D17" s="285" t="e">
        <f>'3°Q - Negativo'!S42</f>
        <v>#DIV/0!</v>
      </c>
      <c r="F17" s="282" t="s">
        <v>137</v>
      </c>
      <c r="G17" s="111" t="str">
        <f>'1°Q - Positivo'!B63</f>
        <v>Nm/V</v>
      </c>
      <c r="H17" s="116">
        <f>'1°Q - Positivo'!C63</f>
        <v>0</v>
      </c>
      <c r="I17" s="116">
        <f>'1°Q - Positivo'!D63</f>
        <v>0</v>
      </c>
      <c r="J17" s="289">
        <f>'1°Q - Positivo'!E63</f>
        <v>0</v>
      </c>
      <c r="N17" s="407" t="s">
        <v>137</v>
      </c>
      <c r="O17" s="111" t="s">
        <v>27</v>
      </c>
      <c r="P17" s="399" t="e">
        <f t="shared" ref="P17:R18" si="0">H8</f>
        <v>#VALUE!</v>
      </c>
      <c r="Q17" s="399" t="e">
        <f t="shared" si="0"/>
        <v>#VALUE!</v>
      </c>
      <c r="R17" s="408" t="e">
        <f t="shared" si="0"/>
        <v>#VALUE!</v>
      </c>
    </row>
    <row r="18" spans="1:18" ht="15" customHeight="1" thickBot="1">
      <c r="A18" s="464"/>
      <c r="B18" s="287">
        <f>'3°Q - Negativo'!Q43</f>
        <v>-1200</v>
      </c>
      <c r="C18" s="284">
        <f>'3°Q - Negativo'!R43</f>
        <v>0</v>
      </c>
      <c r="D18" s="285" t="e">
        <f>'3°Q - Negativo'!S43</f>
        <v>#DIV/0!</v>
      </c>
      <c r="F18" s="290" t="s">
        <v>141</v>
      </c>
      <c r="G18" s="291" t="str">
        <f>'1°Q - Positivo'!B64</f>
        <v>V/Nm</v>
      </c>
      <c r="H18" s="292">
        <f>'1°Q - Positivo'!C64</f>
        <v>0</v>
      </c>
      <c r="I18" s="292">
        <f>'1°Q - Positivo'!D64</f>
        <v>0</v>
      </c>
      <c r="J18" s="293">
        <f>'1°Q - Positivo'!E64</f>
        <v>2.4989999999999997</v>
      </c>
      <c r="N18" s="409" t="s">
        <v>141</v>
      </c>
      <c r="O18" s="113" t="s">
        <v>26</v>
      </c>
      <c r="P18" s="410" t="e">
        <f t="shared" si="0"/>
        <v>#VALUE!</v>
      </c>
      <c r="Q18" s="410" t="e">
        <f t="shared" si="0"/>
        <v>#VALUE!</v>
      </c>
      <c r="R18" s="411" t="e">
        <f t="shared" si="0"/>
        <v>#VALUE!</v>
      </c>
    </row>
    <row r="19" spans="1:18" ht="15" customHeight="1" thickBot="1">
      <c r="A19" s="464"/>
      <c r="B19" s="287">
        <f>'3°Q - Negativo'!Q44</f>
        <v>-1600</v>
      </c>
      <c r="C19" s="284">
        <f>'3°Q - Negativo'!R44</f>
        <v>0</v>
      </c>
      <c r="D19" s="285" t="e">
        <f>'3°Q - Negativo'!S44</f>
        <v>#DIV/0!</v>
      </c>
    </row>
    <row r="20" spans="1:18" ht="21.6" customHeight="1" thickBot="1">
      <c r="A20" s="464"/>
      <c r="B20" s="287">
        <f>'3°Q - Negativo'!Q45</f>
        <v>-2000</v>
      </c>
      <c r="C20" s="284">
        <f>'3°Q - Negativo'!R45</f>
        <v>0</v>
      </c>
      <c r="D20" s="285" t="e">
        <f>'3°Q - Negativo'!S45</f>
        <v>#DIV/0!</v>
      </c>
      <c r="F20" s="294" t="s">
        <v>20</v>
      </c>
      <c r="G20" s="295"/>
      <c r="H20" s="295"/>
      <c r="I20" s="295"/>
      <c r="J20" s="296"/>
    </row>
    <row r="21" spans="1:18" ht="18" customHeight="1">
      <c r="A21" s="464"/>
      <c r="B21" s="247">
        <f>'3°Q - Negativo'!Q46</f>
        <v>0</v>
      </c>
      <c r="C21" s="284">
        <f>'3°Q - Negativo'!R46</f>
        <v>0</v>
      </c>
      <c r="D21" s="285" t="e">
        <f>'3°Q - Negativo'!S46</f>
        <v>#DIV/0!</v>
      </c>
      <c r="F21" s="46"/>
      <c r="G21" s="108" t="str">
        <f>'3°Q - Negativo'!B58</f>
        <v>Q3</v>
      </c>
      <c r="H21" s="109" t="str">
        <f>'3°Q - Negativo'!C58</f>
        <v>m</v>
      </c>
      <c r="I21" s="96" t="str">
        <f>'3°Q - Negativo'!D58</f>
        <v>q</v>
      </c>
      <c r="J21" s="297"/>
      <c r="L21" t="s">
        <v>243</v>
      </c>
    </row>
    <row r="22" spans="1:18" ht="26.25" customHeight="1" thickBot="1">
      <c r="A22" s="464"/>
      <c r="B22" s="287">
        <f>'3°Q - Negativo'!Q47</f>
        <v>-400</v>
      </c>
      <c r="C22" s="284">
        <f>'3°Q - Negativo'!R47</f>
        <v>0</v>
      </c>
      <c r="D22" s="285" t="e">
        <f>'3°Q - Negativo'!S47</f>
        <v>#DIV/0!</v>
      </c>
      <c r="F22" s="298" t="s">
        <v>135</v>
      </c>
      <c r="G22" s="111" t="str">
        <f>'3°Q - Negativo'!B59</f>
        <v>Nm/V</v>
      </c>
      <c r="H22" s="112" t="e">
        <f>'3°Q - Negativo'!C59</f>
        <v>#DIV/0!</v>
      </c>
      <c r="I22" s="106" t="e">
        <f>'3°Q - Negativo'!D59</f>
        <v>#DIV/0!</v>
      </c>
      <c r="J22" s="297"/>
      <c r="L22" s="283" t="e">
        <f>(-$H$4+H22)/$H$4</f>
        <v>#DIV/0!</v>
      </c>
    </row>
    <row r="23" spans="1:18" ht="15" customHeight="1" thickBot="1">
      <c r="A23" s="464"/>
      <c r="B23" s="287">
        <f>'3°Q - Negativo'!Q48</f>
        <v>-800</v>
      </c>
      <c r="C23" s="284">
        <f>'3°Q - Negativo'!R48</f>
        <v>0</v>
      </c>
      <c r="D23" s="285" t="e">
        <f>'3°Q - Negativo'!S48</f>
        <v>#DIV/0!</v>
      </c>
      <c r="F23" s="298" t="s">
        <v>136</v>
      </c>
      <c r="G23" s="113" t="str">
        <f>'3°Q - Negativo'!B60</f>
        <v>V/Nm</v>
      </c>
      <c r="H23" s="114" t="e">
        <f>'3°Q - Negativo'!C60</f>
        <v>#DIV/0!</v>
      </c>
      <c r="I23" s="115" t="e">
        <f>'3°Q - Negativo'!D60</f>
        <v>#DIV/0!</v>
      </c>
      <c r="J23" s="297"/>
    </row>
    <row r="24" spans="1:18" ht="15" customHeight="1" thickBot="1">
      <c r="A24" s="464"/>
      <c r="B24" s="287">
        <f>'3°Q - Negativo'!Q49</f>
        <v>-1200</v>
      </c>
      <c r="C24" s="284">
        <f>'3°Q - Negativo'!R49</f>
        <v>0</v>
      </c>
      <c r="D24" s="285" t="e">
        <f>'3°Q - Negativo'!S49</f>
        <v>#DIV/0!</v>
      </c>
      <c r="F24" s="298"/>
      <c r="G24" s="299"/>
      <c r="H24" s="284"/>
      <c r="I24" s="284"/>
      <c r="J24" s="297"/>
    </row>
    <row r="25" spans="1:18" ht="18" customHeight="1">
      <c r="A25" s="464"/>
      <c r="B25" s="287">
        <f>'3°Q - Negativo'!Q50</f>
        <v>-1600</v>
      </c>
      <c r="C25" s="284">
        <f>'3°Q - Negativo'!R50</f>
        <v>0</v>
      </c>
      <c r="D25" s="285" t="e">
        <f>'3°Q - Negativo'!S50</f>
        <v>#DIV/0!</v>
      </c>
      <c r="F25" s="298"/>
      <c r="G25" s="108" t="str">
        <f>'3°Q - Negativo'!B62</f>
        <v>Q3</v>
      </c>
      <c r="H25" s="109" t="str">
        <f>'3°Q - Negativo'!C62</f>
        <v>H2</v>
      </c>
      <c r="I25" s="109" t="str">
        <f>'3°Q - Negativo'!D62</f>
        <v>H1</v>
      </c>
      <c r="J25" s="300" t="str">
        <f>'3°Q - Negativo'!E62</f>
        <v>H0</v>
      </c>
    </row>
    <row r="26" spans="1:18" ht="15" customHeight="1" thickBot="1">
      <c r="A26" s="464"/>
      <c r="B26" s="287">
        <f>'3°Q - Negativo'!Q51</f>
        <v>-2000</v>
      </c>
      <c r="C26" s="284">
        <f>'3°Q - Negativo'!R51</f>
        <v>0</v>
      </c>
      <c r="D26" s="285" t="e">
        <f>'3°Q - Negativo'!S51</f>
        <v>#DIV/0!</v>
      </c>
      <c r="F26" s="298" t="s">
        <v>137</v>
      </c>
      <c r="G26" s="111" t="str">
        <f>'3°Q - Negativo'!B63</f>
        <v>Nm/V</v>
      </c>
      <c r="H26" s="116" t="e">
        <f>'3°Q - Negativo'!C63</f>
        <v>#VALUE!</v>
      </c>
      <c r="I26" s="116" t="e">
        <f>'3°Q - Negativo'!D63</f>
        <v>#VALUE!</v>
      </c>
      <c r="J26" s="301" t="e">
        <f>'3°Q - Negativo'!E63</f>
        <v>#VALUE!</v>
      </c>
    </row>
    <row r="27" spans="1:18" ht="15" customHeight="1" thickBot="1">
      <c r="F27" s="302" t="s">
        <v>141</v>
      </c>
      <c r="G27" s="303" t="str">
        <f>'3°Q - Negativo'!B64</f>
        <v>V/Nm</v>
      </c>
      <c r="H27" s="304" t="e">
        <f>'3°Q - Negativo'!C64</f>
        <v>#VALUE!</v>
      </c>
      <c r="I27" s="304" t="e">
        <f>'3°Q - Negativo'!D64</f>
        <v>#VALUE!</v>
      </c>
      <c r="J27" s="305" t="e">
        <f>'3°Q - Negativo'!E64</f>
        <v>#VALUE!</v>
      </c>
    </row>
    <row r="28" spans="1:18" ht="15" customHeight="1" thickBot="1"/>
    <row r="29" spans="1:18" ht="21.6" customHeight="1" thickBot="1">
      <c r="F29" s="380" t="s">
        <v>245</v>
      </c>
      <c r="G29" s="381"/>
      <c r="H29" s="381"/>
      <c r="I29" s="381"/>
      <c r="J29" s="382"/>
    </row>
    <row r="30" spans="1:18" ht="18" customHeight="1">
      <c r="F30" s="383"/>
      <c r="G30" s="108" t="s">
        <v>20</v>
      </c>
      <c r="H30" s="109" t="s">
        <v>24</v>
      </c>
      <c r="I30" s="96" t="s">
        <v>25</v>
      </c>
      <c r="J30" s="384"/>
    </row>
    <row r="31" spans="1:18" ht="15.75" customHeight="1" thickBot="1">
      <c r="F31" s="385" t="s">
        <v>135</v>
      </c>
      <c r="G31" s="111" t="s">
        <v>27</v>
      </c>
      <c r="H31" s="112" t="e">
        <f>AVERAGE(H13,H22)</f>
        <v>#DIV/0!</v>
      </c>
      <c r="I31" s="106" t="e">
        <f>AVERAGE(I13,I22)</f>
        <v>#DIV/0!</v>
      </c>
      <c r="J31" s="384"/>
    </row>
    <row r="32" spans="1:18" ht="15.75" customHeight="1" thickBot="1">
      <c r="F32" s="385" t="s">
        <v>136</v>
      </c>
      <c r="G32" s="113" t="s">
        <v>26</v>
      </c>
      <c r="H32" s="114" t="e">
        <f>AVERAGE(H14,H23)</f>
        <v>#DIV/0!</v>
      </c>
      <c r="I32" s="115" t="e">
        <f>AVERAGE(I14,I23)</f>
        <v>#DIV/0!</v>
      </c>
      <c r="J32" s="384"/>
    </row>
    <row r="33" spans="6:10" ht="15" customHeight="1" thickBot="1">
      <c r="F33" s="385"/>
      <c r="G33" s="386"/>
      <c r="H33" s="387"/>
      <c r="I33" s="387"/>
      <c r="J33" s="384"/>
    </row>
    <row r="34" spans="6:10" ht="18" customHeight="1">
      <c r="F34" s="385"/>
      <c r="G34" s="108" t="s">
        <v>20</v>
      </c>
      <c r="H34" s="109" t="s">
        <v>138</v>
      </c>
      <c r="I34" s="109" t="s">
        <v>139</v>
      </c>
      <c r="J34" s="96" t="s">
        <v>140</v>
      </c>
    </row>
    <row r="35" spans="6:10" ht="15" customHeight="1" thickBot="1">
      <c r="F35" s="385" t="s">
        <v>137</v>
      </c>
      <c r="G35" s="111" t="s">
        <v>27</v>
      </c>
      <c r="H35" s="112" t="e">
        <f t="shared" ref="H35:J36" si="1">AVERAGE(H17,H26)</f>
        <v>#VALUE!</v>
      </c>
      <c r="I35" s="112" t="e">
        <f t="shared" si="1"/>
        <v>#VALUE!</v>
      </c>
      <c r="J35" s="106" t="e">
        <f t="shared" si="1"/>
        <v>#VALUE!</v>
      </c>
    </row>
    <row r="36" spans="6:10" ht="15" customHeight="1" thickBot="1">
      <c r="F36" s="388" t="s">
        <v>141</v>
      </c>
      <c r="G36" s="113" t="s">
        <v>26</v>
      </c>
      <c r="H36" s="118" t="e">
        <f t="shared" si="1"/>
        <v>#VALUE!</v>
      </c>
      <c r="I36" s="118" t="e">
        <f t="shared" si="1"/>
        <v>#VALUE!</v>
      </c>
      <c r="J36" s="119" t="e">
        <f t="shared" si="1"/>
        <v>#VALUE!</v>
      </c>
    </row>
    <row r="38" spans="6:10" ht="15.75" customHeight="1"/>
  </sheetData>
  <mergeCells count="3">
    <mergeCell ref="A3:A14"/>
    <mergeCell ref="N11:R11"/>
    <mergeCell ref="A15:A26"/>
  </mergeCells>
  <pageMargins left="0.7" right="0.7" top="0.75" bottom="0.75" header="0.511811023622047" footer="0.511811023622047"/>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sheetPr>
  <dimension ref="C1:R125"/>
  <sheetViews>
    <sheetView topLeftCell="A19" zoomScale="145" zoomScaleNormal="145" workbookViewId="0">
      <selection activeCell="Q23" sqref="Q23"/>
    </sheetView>
  </sheetViews>
  <sheetFormatPr defaultColWidth="8.5546875" defaultRowHeight="14.4"/>
  <cols>
    <col min="1" max="1" width="3" customWidth="1"/>
    <col min="2" max="2" width="3.5546875" customWidth="1"/>
    <col min="3" max="3" width="5.44140625" customWidth="1"/>
    <col min="4" max="12" width="8.6640625" customWidth="1"/>
    <col min="13" max="13" width="3" customWidth="1"/>
    <col min="14" max="14" width="2.44140625" customWidth="1"/>
    <col min="15" max="15" width="9.109375" customWidth="1"/>
  </cols>
  <sheetData>
    <row r="1" spans="3:13" ht="11.25" customHeight="1">
      <c r="M1" s="306" t="s">
        <v>246</v>
      </c>
    </row>
    <row r="2" spans="3:13" ht="11.25" customHeight="1">
      <c r="M2" s="306" t="s">
        <v>247</v>
      </c>
    </row>
    <row r="3" spans="3:13" ht="11.25" customHeight="1">
      <c r="M3" s="306" t="s">
        <v>248</v>
      </c>
    </row>
    <row r="4" spans="3:13" ht="11.25" customHeight="1">
      <c r="M4" s="306" t="s">
        <v>249</v>
      </c>
    </row>
    <row r="5" spans="3:13" ht="11.25" customHeight="1">
      <c r="M5" s="307" t="s">
        <v>250</v>
      </c>
    </row>
    <row r="6" spans="3:13" ht="15.75" customHeight="1"/>
    <row r="7" spans="3:13" ht="19.5" customHeight="1">
      <c r="C7" s="509" t="str">
        <f>CONCATENATE("Report taratura"," - ",'Istruzioni Uso'!$B$67," - ",'Istruzioni Uso'!$B$68)</f>
        <v>Report taratura - - - -</v>
      </c>
      <c r="D7" s="464"/>
      <c r="E7" s="464"/>
      <c r="F7" s="464"/>
      <c r="G7" s="464"/>
      <c r="H7" s="464"/>
      <c r="I7" s="464"/>
      <c r="J7" s="464"/>
      <c r="K7" s="464"/>
      <c r="L7" s="464"/>
    </row>
    <row r="8" spans="3:13" ht="16.5" customHeight="1"/>
    <row r="9" spans="3:13" ht="15" customHeight="1">
      <c r="C9" s="308" t="s">
        <v>86</v>
      </c>
      <c r="D9" s="308"/>
      <c r="E9" s="58"/>
      <c r="F9" s="528" t="str">
        <f>'Istruzioni Uso'!$B$63</f>
        <v>-</v>
      </c>
      <c r="G9" s="464"/>
      <c r="H9" s="464"/>
      <c r="I9" s="464"/>
      <c r="J9" s="464"/>
      <c r="K9" s="464"/>
      <c r="L9" s="464"/>
      <c r="M9" s="464"/>
    </row>
    <row r="10" spans="3:13" ht="15" customHeight="1">
      <c r="C10" s="309" t="s">
        <v>88</v>
      </c>
      <c r="D10" s="309"/>
      <c r="E10" s="310"/>
      <c r="F10" s="508" t="str">
        <f>'Istruzioni Uso'!$B$64</f>
        <v>-</v>
      </c>
      <c r="G10" s="464"/>
      <c r="H10" s="464"/>
      <c r="I10" s="464"/>
      <c r="J10" s="464"/>
      <c r="K10" s="464"/>
      <c r="L10" s="464"/>
      <c r="M10" s="464"/>
    </row>
    <row r="11" spans="3:13" ht="15" customHeight="1">
      <c r="C11" s="308" t="s">
        <v>89</v>
      </c>
      <c r="D11" s="308"/>
      <c r="E11" s="58"/>
      <c r="F11" s="506" t="str">
        <f>'Istruzioni Uso'!$B$65</f>
        <v>-</v>
      </c>
      <c r="G11" s="464"/>
      <c r="H11" s="464"/>
      <c r="I11" s="464"/>
      <c r="J11" s="464"/>
      <c r="K11" s="464"/>
      <c r="L11" s="464"/>
      <c r="M11" s="464"/>
    </row>
    <row r="12" spans="3:13" ht="15" customHeight="1">
      <c r="C12" s="309" t="s">
        <v>98</v>
      </c>
      <c r="D12" s="309"/>
      <c r="E12" s="310"/>
      <c r="F12" s="508" t="str">
        <f>'Istruzioni Uso'!B69</f>
        <v>-</v>
      </c>
      <c r="G12" s="464"/>
      <c r="H12" s="464"/>
      <c r="I12" s="464"/>
      <c r="J12" s="464"/>
      <c r="K12" s="464"/>
      <c r="L12" s="464"/>
      <c r="M12" s="464"/>
    </row>
    <row r="13" spans="3:13" ht="15" customHeight="1">
      <c r="C13" s="308" t="s">
        <v>251</v>
      </c>
      <c r="D13" s="308"/>
      <c r="E13" s="58"/>
      <c r="F13" s="506" t="str">
        <f>'Istruzioni Uso'!B67</f>
        <v>-</v>
      </c>
      <c r="G13" s="464"/>
      <c r="H13" s="464"/>
      <c r="I13" s="464"/>
      <c r="J13" s="464"/>
      <c r="K13" s="464"/>
      <c r="L13" s="464"/>
      <c r="M13" s="464"/>
    </row>
    <row r="14" spans="3:13" ht="15" customHeight="1">
      <c r="C14" s="309" t="s">
        <v>96</v>
      </c>
      <c r="D14" s="309"/>
      <c r="E14" s="309"/>
      <c r="F14" s="508" t="str">
        <f>'Istruzioni Uso'!B68</f>
        <v>-</v>
      </c>
      <c r="G14" s="464"/>
      <c r="H14" s="464"/>
      <c r="I14" s="464"/>
      <c r="J14" s="464"/>
      <c r="K14" s="464"/>
      <c r="L14" s="464"/>
      <c r="M14" s="464"/>
    </row>
    <row r="15" spans="3:13" ht="15" customHeight="1">
      <c r="C15" s="308" t="s">
        <v>252</v>
      </c>
      <c r="D15" s="308"/>
      <c r="E15" s="308"/>
      <c r="F15" s="506" t="str">
        <f>'Istruzioni Uso'!B70</f>
        <v>-</v>
      </c>
      <c r="G15" s="464"/>
      <c r="H15" s="464"/>
      <c r="I15" s="464"/>
      <c r="J15" s="464"/>
      <c r="K15" s="464"/>
      <c r="L15" s="464"/>
      <c r="M15" s="464"/>
    </row>
    <row r="16" spans="3:13" ht="15" customHeight="1">
      <c r="C16" s="309" t="s">
        <v>253</v>
      </c>
      <c r="D16" s="309"/>
      <c r="E16" s="309"/>
      <c r="F16" s="508" t="str">
        <f>'Istruzioni Uso'!$B$66</f>
        <v>-</v>
      </c>
      <c r="G16" s="464"/>
      <c r="H16" s="464"/>
      <c r="I16" s="464"/>
      <c r="J16" s="464"/>
      <c r="K16" s="464"/>
      <c r="L16" s="464"/>
      <c r="M16" s="464"/>
    </row>
    <row r="17" spans="3:18" ht="15" customHeight="1">
      <c r="C17" s="52"/>
      <c r="D17" s="52"/>
      <c r="E17" s="52"/>
      <c r="P17" s="527" t="s">
        <v>254</v>
      </c>
      <c r="Q17" s="490"/>
      <c r="R17" s="475"/>
    </row>
    <row r="18" spans="3:18" ht="15" customHeight="1">
      <c r="C18" s="519" t="s">
        <v>255</v>
      </c>
      <c r="D18" s="464"/>
      <c r="E18" s="464"/>
      <c r="F18" s="464"/>
      <c r="G18" s="464"/>
      <c r="H18" s="464"/>
      <c r="I18" s="464"/>
      <c r="J18" s="464"/>
      <c r="K18" s="464"/>
      <c r="L18" s="464"/>
      <c r="P18" s="485"/>
      <c r="Q18" s="464"/>
      <c r="R18" s="502"/>
    </row>
    <row r="19" spans="3:18" ht="12" customHeight="1">
      <c r="P19" s="485"/>
      <c r="Q19" s="464"/>
      <c r="R19" s="502"/>
    </row>
    <row r="20" spans="3:18">
      <c r="C20" t="s">
        <v>256</v>
      </c>
      <c r="L20" s="58"/>
      <c r="M20" s="58"/>
      <c r="P20" s="485"/>
      <c r="Q20" s="464"/>
      <c r="R20" s="502"/>
    </row>
    <row r="21" spans="3:18">
      <c r="E21" s="311" t="s">
        <v>112</v>
      </c>
      <c r="F21" s="11"/>
      <c r="G21" s="11"/>
      <c r="H21" s="11"/>
      <c r="I21" s="11"/>
      <c r="J21" s="11"/>
      <c r="K21" s="507" t="e">
        <f>CONCATENATE(ROUND('Check Q1 vs Q3 '!$P$13,2),"  ",EUnits,"/V")</f>
        <v>#DIV/0!</v>
      </c>
      <c r="L21" s="464"/>
      <c r="M21" s="464"/>
      <c r="P21" s="501" t="e">
        <f>CONCATENATE(ROUND('Check Q1 vs Q3 '!$I$4,3)," ",UUT_EUnits)</f>
        <v>#DIV/0!</v>
      </c>
      <c r="Q21" s="464"/>
      <c r="R21" s="502"/>
    </row>
    <row r="22" spans="3:18">
      <c r="E22" s="311" t="s">
        <v>111</v>
      </c>
      <c r="F22" s="11"/>
      <c r="G22" s="11"/>
      <c r="H22" s="11"/>
      <c r="I22" s="11"/>
      <c r="J22" s="11"/>
      <c r="K22" s="507" t="e">
        <f>CONCATENATE(ROUND('Check Q1 vs Q3 '!$Q$14,4),"  V")</f>
        <v>#DIV/0!</v>
      </c>
      <c r="L22" s="464"/>
      <c r="M22" s="464"/>
      <c r="P22" s="529" t="e">
        <f>CONCATENATE(ROUND('Check Q1 vs Q3 '!$H$4,2)," ",EUnits,"/",UUT_EUnits)</f>
        <v>#DIV/0!</v>
      </c>
      <c r="Q22" s="530"/>
      <c r="R22" s="531"/>
    </row>
    <row r="23" spans="3:18" ht="17.25" customHeight="1">
      <c r="L23" s="58"/>
      <c r="M23" s="58"/>
    </row>
    <row r="24" spans="3:18" ht="17.25" customHeight="1">
      <c r="L24" s="58"/>
      <c r="M24" s="58"/>
    </row>
    <row r="25" spans="3:18" ht="17.25" customHeight="1">
      <c r="L25" s="58"/>
      <c r="M25" s="58"/>
    </row>
    <row r="26" spans="3:18" ht="13.5" customHeight="1">
      <c r="D26" s="245"/>
      <c r="E26" s="312"/>
      <c r="F26" s="312"/>
      <c r="G26" s="312"/>
      <c r="H26" s="312"/>
      <c r="I26" s="312"/>
      <c r="J26" s="235"/>
      <c r="K26" s="245"/>
      <c r="L26" s="245"/>
    </row>
    <row r="27" spans="3:18">
      <c r="C27" s="52" t="s">
        <v>257</v>
      </c>
      <c r="D27" s="52"/>
      <c r="K27" s="506" t="str">
        <f>'Istruzioni Uso'!$B$72</f>
        <v>± 2 Nm</v>
      </c>
      <c r="L27" s="464"/>
      <c r="M27" s="464"/>
    </row>
    <row r="28" spans="3:18" ht="12" customHeight="1">
      <c r="C28" s="52"/>
      <c r="D28" s="52"/>
      <c r="K28" s="326"/>
      <c r="L28" s="326"/>
      <c r="M28" s="326"/>
    </row>
    <row r="29" spans="3:18" ht="12" customHeight="1">
      <c r="C29" s="52"/>
      <c r="D29" s="52"/>
      <c r="K29" s="326"/>
      <c r="L29" s="326"/>
      <c r="M29" s="326"/>
    </row>
    <row r="30" spans="3:18" ht="16.2" customHeight="1">
      <c r="C30" t="s">
        <v>226</v>
      </c>
      <c r="D30" s="52"/>
      <c r="K30" s="326"/>
      <c r="L30" s="326"/>
      <c r="M30" s="326"/>
    </row>
    <row r="31" spans="3:18" ht="12" customHeight="1" thickBot="1">
      <c r="C31" s="52"/>
      <c r="D31" s="52"/>
      <c r="K31" s="326"/>
      <c r="L31" s="326"/>
      <c r="M31" s="326"/>
    </row>
    <row r="32" spans="3:18">
      <c r="C32" s="52"/>
      <c r="E32" s="491" t="s">
        <v>200</v>
      </c>
      <c r="F32" s="492"/>
      <c r="G32" s="390">
        <f>'1°Q - Positivo'!E194</f>
        <v>400</v>
      </c>
      <c r="H32" s="390">
        <f>'1°Q - Positivo'!F194</f>
        <v>800</v>
      </c>
      <c r="I32" s="390">
        <f>'1°Q - Positivo'!G194</f>
        <v>1200</v>
      </c>
      <c r="J32" s="390">
        <f>'1°Q - Positivo'!H194</f>
        <v>1600</v>
      </c>
      <c r="K32" s="391">
        <f>'1°Q - Positivo'!I194</f>
        <v>2000</v>
      </c>
      <c r="L32" s="326"/>
      <c r="M32" s="326"/>
    </row>
    <row r="33" spans="3:13" ht="15" customHeight="1" thickBot="1">
      <c r="C33" s="52"/>
      <c r="E33" s="481" t="s">
        <v>220</v>
      </c>
      <c r="F33" s="482"/>
      <c r="G33" s="393" t="e">
        <f>'1°Q - Positivo'!E195</f>
        <v>#DIV/0!</v>
      </c>
      <c r="H33" s="393" t="e">
        <f>'1°Q - Positivo'!F195</f>
        <v>#DIV/0!</v>
      </c>
      <c r="I33" s="393" t="e">
        <f>'1°Q - Positivo'!G195</f>
        <v>#DIV/0!</v>
      </c>
      <c r="J33" s="393" t="e">
        <f>'1°Q - Positivo'!H195</f>
        <v>#DIV/0!</v>
      </c>
      <c r="K33" s="394" t="e">
        <f>'1°Q - Positivo'!I195</f>
        <v>#DIV/0!</v>
      </c>
      <c r="L33" s="326"/>
      <c r="M33" s="326"/>
    </row>
    <row r="34" spans="3:13" ht="12" customHeight="1">
      <c r="C34" s="52"/>
      <c r="D34" s="52"/>
      <c r="K34" s="326"/>
      <c r="L34" s="326"/>
      <c r="M34" s="326"/>
    </row>
    <row r="35" spans="3:13" ht="12" customHeight="1">
      <c r="C35" s="52"/>
      <c r="D35" s="52"/>
      <c r="K35" s="326"/>
      <c r="L35" s="326"/>
      <c r="M35" s="326"/>
    </row>
    <row r="36" spans="3:13" ht="16.2" customHeight="1">
      <c r="C36" t="s">
        <v>258</v>
      </c>
      <c r="D36" s="52"/>
      <c r="K36" s="326"/>
      <c r="L36" s="326"/>
      <c r="M36" s="326"/>
    </row>
    <row r="37" spans="3:13" ht="12" customHeight="1" thickBot="1">
      <c r="C37" s="52"/>
      <c r="D37" s="52"/>
      <c r="K37" s="326"/>
      <c r="L37" s="326"/>
      <c r="M37" s="326"/>
    </row>
    <row r="38" spans="3:13">
      <c r="C38" s="52"/>
      <c r="E38" s="518" t="s">
        <v>200</v>
      </c>
      <c r="F38" s="492"/>
      <c r="G38" s="392">
        <f>'3°Q - Negativo'!E194</f>
        <v>-400</v>
      </c>
      <c r="H38" s="390">
        <f>'3°Q - Negativo'!F194</f>
        <v>-800</v>
      </c>
      <c r="I38" s="390">
        <f>'3°Q - Negativo'!G194</f>
        <v>-1200</v>
      </c>
      <c r="J38" s="390">
        <f>'3°Q - Negativo'!H194</f>
        <v>-1600</v>
      </c>
      <c r="K38" s="391">
        <f>'3°Q - Negativo'!I194</f>
        <v>-2000</v>
      </c>
      <c r="L38" s="326"/>
      <c r="M38" s="326"/>
    </row>
    <row r="39" spans="3:13" ht="15" customHeight="1" thickBot="1">
      <c r="C39" s="52"/>
      <c r="E39" s="514" t="s">
        <v>220</v>
      </c>
      <c r="F39" s="482"/>
      <c r="G39" s="395" t="e">
        <f>'3°Q - Negativo'!E195</f>
        <v>#VALUE!</v>
      </c>
      <c r="H39" s="393" t="e">
        <f>'3°Q - Negativo'!F195</f>
        <v>#VALUE!</v>
      </c>
      <c r="I39" s="393" t="e">
        <f>'3°Q - Negativo'!G195</f>
        <v>#VALUE!</v>
      </c>
      <c r="J39" s="393" t="e">
        <f>'3°Q - Negativo'!H195</f>
        <v>#VALUE!</v>
      </c>
      <c r="K39" s="394" t="e">
        <f>'3°Q - Negativo'!I195</f>
        <v>#VALUE!</v>
      </c>
      <c r="L39" s="326"/>
      <c r="M39" s="326"/>
    </row>
    <row r="40" spans="3:13" ht="12" customHeight="1">
      <c r="C40" s="52"/>
      <c r="D40" s="52"/>
      <c r="K40" s="326"/>
      <c r="L40" s="326"/>
      <c r="M40" s="326"/>
    </row>
    <row r="41" spans="3:13" ht="12" customHeight="1">
      <c r="C41" s="52"/>
      <c r="D41" s="52"/>
      <c r="K41" s="326"/>
      <c r="L41" s="326"/>
      <c r="M41" s="326"/>
    </row>
    <row r="42" spans="3:13" ht="12" customHeight="1">
      <c r="C42" s="52"/>
      <c r="D42" s="52"/>
      <c r="K42" s="326"/>
      <c r="L42" s="326"/>
      <c r="M42" s="326"/>
    </row>
    <row r="43" spans="3:13" ht="12" customHeight="1">
      <c r="C43" s="52"/>
      <c r="D43" s="52"/>
      <c r="K43" s="326"/>
      <c r="L43" s="326"/>
      <c r="M43" s="326"/>
    </row>
    <row r="44" spans="3:13" ht="12" customHeight="1">
      <c r="C44" s="52"/>
      <c r="D44" s="52"/>
      <c r="K44" s="326"/>
      <c r="L44" s="326"/>
      <c r="M44" s="326"/>
    </row>
    <row r="45" spans="3:13" ht="12" customHeight="1">
      <c r="C45" s="52"/>
      <c r="D45" s="52"/>
      <c r="K45" s="326"/>
      <c r="L45" s="326"/>
      <c r="M45" s="326"/>
    </row>
    <row r="46" spans="3:13" ht="12" customHeight="1">
      <c r="C46" s="52"/>
      <c r="D46" s="52"/>
      <c r="K46" s="326"/>
      <c r="L46" s="326"/>
      <c r="M46" s="326"/>
    </row>
    <row r="47" spans="3:13" ht="12" customHeight="1">
      <c r="C47" s="52"/>
      <c r="D47" s="52"/>
      <c r="K47" s="326"/>
      <c r="L47" s="326"/>
      <c r="M47" s="326"/>
    </row>
    <row r="48" spans="3:13" ht="12" customHeight="1">
      <c r="C48" s="52"/>
      <c r="D48" s="52"/>
      <c r="K48" s="326"/>
      <c r="L48" s="326"/>
      <c r="M48" s="326"/>
    </row>
    <row r="49" spans="3:13" ht="12" customHeight="1">
      <c r="C49" s="52"/>
      <c r="D49" s="52"/>
      <c r="K49" s="326"/>
      <c r="L49" s="326"/>
      <c r="M49" s="326"/>
    </row>
    <row r="50" spans="3:13" ht="12" customHeight="1">
      <c r="C50" s="52"/>
      <c r="D50" s="52"/>
      <c r="K50" s="326"/>
      <c r="L50" s="326"/>
      <c r="M50" s="326"/>
    </row>
    <row r="51" spans="3:13" ht="12" customHeight="1">
      <c r="C51" s="52"/>
      <c r="D51" s="52"/>
      <c r="K51" s="326"/>
      <c r="L51" s="326"/>
      <c r="M51" s="326"/>
    </row>
    <row r="52" spans="3:13" ht="12" customHeight="1">
      <c r="C52" s="52"/>
      <c r="D52" s="52"/>
      <c r="K52" s="326"/>
      <c r="L52" s="326"/>
      <c r="M52" s="326"/>
    </row>
    <row r="53" spans="3:13" ht="14.25" customHeight="1">
      <c r="C53" s="52"/>
      <c r="D53" s="52"/>
      <c r="K53" s="326"/>
      <c r="L53" s="326"/>
      <c r="M53" s="326"/>
    </row>
    <row r="54" spans="3:13" ht="12" customHeight="1">
      <c r="C54" s="52"/>
      <c r="D54" s="52"/>
      <c r="K54" s="326"/>
      <c r="L54" s="326"/>
      <c r="M54" s="326"/>
    </row>
    <row r="55" spans="3:13" ht="12" customHeight="1">
      <c r="C55" s="52"/>
      <c r="D55" s="52"/>
      <c r="K55" s="326"/>
      <c r="L55" s="326"/>
      <c r="M55" s="326"/>
    </row>
    <row r="56" spans="3:13" ht="11.25" customHeight="1">
      <c r="M56" s="306" t="s">
        <v>246</v>
      </c>
    </row>
    <row r="57" spans="3:13" ht="11.25" customHeight="1">
      <c r="M57" s="306" t="s">
        <v>247</v>
      </c>
    </row>
    <row r="58" spans="3:13" ht="11.25" customHeight="1">
      <c r="M58" s="306" t="s">
        <v>248</v>
      </c>
    </row>
    <row r="59" spans="3:13" ht="11.25" customHeight="1">
      <c r="M59" s="306" t="s">
        <v>249</v>
      </c>
    </row>
    <row r="60" spans="3:13" ht="11.25" customHeight="1">
      <c r="M60" s="307" t="s">
        <v>250</v>
      </c>
    </row>
    <row r="61" spans="3:13" ht="12" customHeight="1"/>
    <row r="62" spans="3:13" ht="12" customHeight="1">
      <c r="L62" s="58"/>
      <c r="M62" s="58"/>
    </row>
    <row r="63" spans="3:13" ht="17.25" customHeight="1">
      <c r="C63" s="519" t="s">
        <v>259</v>
      </c>
      <c r="D63" s="464"/>
      <c r="E63" s="464"/>
      <c r="F63" s="464"/>
      <c r="G63" s="464"/>
      <c r="H63" s="464"/>
      <c r="I63" s="464"/>
      <c r="J63" s="464"/>
      <c r="K63" s="464"/>
      <c r="L63" s="464"/>
      <c r="M63" s="58"/>
    </row>
    <row r="64" spans="3:13" ht="12" customHeight="1">
      <c r="L64" s="58"/>
      <c r="M64" s="58"/>
    </row>
    <row r="65" spans="3:12" ht="16.2" customHeight="1">
      <c r="C65" t="s">
        <v>260</v>
      </c>
    </row>
    <row r="66" spans="3:12" ht="9" customHeight="1" thickBot="1"/>
    <row r="67" spans="3:12" ht="15" customHeight="1">
      <c r="F67" s="526" t="s">
        <v>210</v>
      </c>
      <c r="G67" s="522"/>
      <c r="H67" s="522"/>
      <c r="I67" s="522"/>
      <c r="J67" s="523"/>
    </row>
    <row r="68" spans="3:12" ht="13.5" customHeight="1">
      <c r="F68" s="209"/>
      <c r="G68" s="525" t="s">
        <v>211</v>
      </c>
      <c r="H68" s="513"/>
      <c r="I68" s="517" t="s">
        <v>212</v>
      </c>
      <c r="J68" s="505"/>
    </row>
    <row r="69" spans="3:12" ht="13.5" customHeight="1">
      <c r="F69" s="212" t="s">
        <v>213</v>
      </c>
      <c r="G69" s="512">
        <v>0</v>
      </c>
      <c r="H69" s="513"/>
      <c r="I69" s="504">
        <f>'1°Q - Positivo'!D145</f>
        <v>0</v>
      </c>
      <c r="J69" s="505"/>
    </row>
    <row r="70" spans="3:12" ht="13.5" customHeight="1">
      <c r="F70" s="215" t="s">
        <v>214</v>
      </c>
      <c r="G70" s="510" t="e">
        <f>'1°Q - Positivo'!C146</f>
        <v>#VALUE!</v>
      </c>
      <c r="H70" s="482"/>
      <c r="I70" s="515" t="e">
        <f>'1°Q - Positivo'!D146</f>
        <v>#VALUE!</v>
      </c>
      <c r="J70" s="516"/>
    </row>
    <row r="71" spans="3:12" ht="7.5" customHeight="1"/>
    <row r="72" spans="3:12" ht="15" customHeight="1">
      <c r="F72" s="526" t="s">
        <v>216</v>
      </c>
      <c r="G72" s="522"/>
      <c r="H72" s="522"/>
      <c r="I72" s="522"/>
      <c r="J72" s="523"/>
    </row>
    <row r="73" spans="3:12" ht="13.5" customHeight="1">
      <c r="F73" s="209"/>
      <c r="G73" s="525" t="s">
        <v>217</v>
      </c>
      <c r="H73" s="513"/>
      <c r="I73" s="517" t="s">
        <v>218</v>
      </c>
      <c r="J73" s="505"/>
    </row>
    <row r="74" spans="3:12" ht="13.5" customHeight="1">
      <c r="F74" s="212" t="s">
        <v>213</v>
      </c>
      <c r="G74" s="512">
        <f>'1°Q - Positivo'!C151</f>
        <v>0</v>
      </c>
      <c r="H74" s="513"/>
      <c r="I74" s="504" t="e">
        <f>'1°Q - Positivo'!D151</f>
        <v>#VALUE!</v>
      </c>
      <c r="J74" s="505"/>
    </row>
    <row r="75" spans="3:12" ht="13.5" customHeight="1">
      <c r="F75" s="215" t="s">
        <v>214</v>
      </c>
      <c r="G75" s="510" t="e">
        <f>'1°Q - Positivo'!C152</f>
        <v>#VALUE!</v>
      </c>
      <c r="H75" s="482"/>
      <c r="I75" s="515" t="e">
        <f>'1°Q - Positivo'!D152</f>
        <v>#VALUE!</v>
      </c>
      <c r="J75" s="516"/>
    </row>
    <row r="76" spans="3:12" ht="12" customHeight="1">
      <c r="G76" s="313"/>
      <c r="H76" s="313"/>
    </row>
    <row r="77" spans="3:12" ht="16.2" customHeight="1">
      <c r="C77" t="s">
        <v>261</v>
      </c>
    </row>
    <row r="78" spans="3:12" ht="12" customHeight="1"/>
    <row r="79" spans="3:12" ht="15" customHeight="1">
      <c r="D79" s="314" t="s">
        <v>200</v>
      </c>
      <c r="E79" s="315" t="s">
        <v>191</v>
      </c>
      <c r="F79" s="315" t="s">
        <v>191</v>
      </c>
      <c r="G79" s="315" t="s">
        <v>191</v>
      </c>
      <c r="H79" s="315" t="s">
        <v>192</v>
      </c>
      <c r="I79" s="316" t="s">
        <v>192</v>
      </c>
      <c r="J79" s="227"/>
      <c r="K79" s="503" t="s">
        <v>200</v>
      </c>
      <c r="L79" s="520" t="s">
        <v>220</v>
      </c>
    </row>
    <row r="80" spans="3:12" ht="15" customHeight="1">
      <c r="D80" s="317" t="s">
        <v>58</v>
      </c>
      <c r="E80" s="318" t="s">
        <v>221</v>
      </c>
      <c r="F80" s="318" t="s">
        <v>221</v>
      </c>
      <c r="G80" s="318" t="s">
        <v>221</v>
      </c>
      <c r="H80" s="318" t="s">
        <v>221</v>
      </c>
      <c r="I80" s="319" t="s">
        <v>221</v>
      </c>
      <c r="J80" s="231"/>
      <c r="K80" s="488"/>
      <c r="L80" s="473"/>
    </row>
    <row r="81" spans="3:12" ht="13.5" customHeight="1">
      <c r="D81" s="232">
        <f>'1°Q - Positivo'!B157</f>
        <v>0</v>
      </c>
      <c r="E81" s="233" t="e">
        <f>'1°Q - Positivo'!C157</f>
        <v>#VALUE!</v>
      </c>
      <c r="F81" s="233" t="e">
        <f>'1°Q - Positivo'!D157</f>
        <v>#DIV/0!</v>
      </c>
      <c r="G81" s="233" t="e">
        <f>'1°Q - Positivo'!E157</f>
        <v>#DIV/0!</v>
      </c>
      <c r="H81" s="233" t="e">
        <f>'1°Q - Positivo'!F157</f>
        <v>#DIV/0!</v>
      </c>
      <c r="I81" s="234" t="e">
        <f>'1°Q - Positivo'!G157</f>
        <v>#DIV/0!</v>
      </c>
      <c r="J81" s="235"/>
      <c r="K81" s="236">
        <f>'1°Q - Positivo'!I157</f>
        <v>400</v>
      </c>
      <c r="L81" s="237" t="e">
        <f>'1°Q - Positivo'!J157</f>
        <v>#DIV/0!</v>
      </c>
    </row>
    <row r="82" spans="3:12" ht="13.5" customHeight="1">
      <c r="D82" s="236">
        <f>'1°Q - Positivo'!B158</f>
        <v>400</v>
      </c>
      <c r="E82" s="238" t="str">
        <f>'1°Q - Positivo'!C158</f>
        <v>-</v>
      </c>
      <c r="F82" s="238" t="str">
        <f>'1°Q - Positivo'!D158</f>
        <v>-</v>
      </c>
      <c r="G82" s="238" t="str">
        <f>'1°Q - Positivo'!E158</f>
        <v>-</v>
      </c>
      <c r="H82" s="239" t="e">
        <f>'1°Q - Positivo'!F158</f>
        <v>#DIV/0!</v>
      </c>
      <c r="I82" s="240" t="e">
        <f>'1°Q - Positivo'!G158</f>
        <v>#DIV/0!</v>
      </c>
      <c r="J82" s="235"/>
      <c r="K82" s="236">
        <f>'1°Q - Positivo'!I158</f>
        <v>800</v>
      </c>
      <c r="L82" s="237" t="e">
        <f>'1°Q - Positivo'!J158</f>
        <v>#DIV/0!</v>
      </c>
    </row>
    <row r="83" spans="3:12" ht="13.5" customHeight="1">
      <c r="D83" s="236">
        <f>'1°Q - Positivo'!B159</f>
        <v>800</v>
      </c>
      <c r="E83" s="238" t="str">
        <f>'1°Q - Positivo'!C159</f>
        <v>-</v>
      </c>
      <c r="F83" s="238" t="str">
        <f>'1°Q - Positivo'!D159</f>
        <v>-</v>
      </c>
      <c r="G83" s="238" t="str">
        <f>'1°Q - Positivo'!E159</f>
        <v>-</v>
      </c>
      <c r="H83" s="239" t="e">
        <f>'1°Q - Positivo'!F159</f>
        <v>#DIV/0!</v>
      </c>
      <c r="I83" s="240" t="e">
        <f>'1°Q - Positivo'!G159</f>
        <v>#DIV/0!</v>
      </c>
      <c r="J83" s="235"/>
      <c r="K83" s="236">
        <f>'1°Q - Positivo'!I159</f>
        <v>1200</v>
      </c>
      <c r="L83" s="237" t="e">
        <f>'1°Q - Positivo'!J159</f>
        <v>#DIV/0!</v>
      </c>
    </row>
    <row r="84" spans="3:12" ht="13.5" customHeight="1">
      <c r="D84" s="236">
        <f>'1°Q - Positivo'!B160</f>
        <v>1200</v>
      </c>
      <c r="E84" s="238" t="str">
        <f>'1°Q - Positivo'!C160</f>
        <v>-</v>
      </c>
      <c r="F84" s="238" t="str">
        <f>'1°Q - Positivo'!D160</f>
        <v>-</v>
      </c>
      <c r="G84" s="238" t="str">
        <f>'1°Q - Positivo'!E160</f>
        <v>-</v>
      </c>
      <c r="H84" s="239" t="e">
        <f>'1°Q - Positivo'!F160</f>
        <v>#DIV/0!</v>
      </c>
      <c r="I84" s="240" t="e">
        <f>'1°Q - Positivo'!G160</f>
        <v>#DIV/0!</v>
      </c>
      <c r="J84" s="235"/>
      <c r="K84" s="236">
        <f>'1°Q - Positivo'!I160</f>
        <v>1600</v>
      </c>
      <c r="L84" s="237" t="e">
        <f>'1°Q - Positivo'!J160</f>
        <v>#DIV/0!</v>
      </c>
    </row>
    <row r="85" spans="3:12" ht="13.5" customHeight="1">
      <c r="D85" s="236">
        <f>'1°Q - Positivo'!B161</f>
        <v>1600</v>
      </c>
      <c r="E85" s="238" t="str">
        <f>'1°Q - Positivo'!C161</f>
        <v>-</v>
      </c>
      <c r="F85" s="238" t="str">
        <f>'1°Q - Positivo'!D161</f>
        <v>-</v>
      </c>
      <c r="G85" s="238" t="str">
        <f>'1°Q - Positivo'!E161</f>
        <v>-</v>
      </c>
      <c r="H85" s="239" t="e">
        <f>'1°Q - Positivo'!F161</f>
        <v>#DIV/0!</v>
      </c>
      <c r="I85" s="240" t="e">
        <f>'1°Q - Positivo'!G161</f>
        <v>#DIV/0!</v>
      </c>
      <c r="J85" s="235"/>
      <c r="K85" s="241">
        <f>'1°Q - Positivo'!I161</f>
        <v>2000</v>
      </c>
      <c r="L85" s="242" t="e">
        <f>'1°Q - Positivo'!J161</f>
        <v>#DIV/0!</v>
      </c>
    </row>
    <row r="86" spans="3:12" ht="13.5" customHeight="1">
      <c r="D86" s="241">
        <f>'1°Q - Positivo'!B162</f>
        <v>2000</v>
      </c>
      <c r="E86" s="243" t="e">
        <f>'1°Q - Positivo'!C162</f>
        <v>#VALUE!</v>
      </c>
      <c r="F86" s="243" t="e">
        <f>'1°Q - Positivo'!D162</f>
        <v>#DIV/0!</v>
      </c>
      <c r="G86" s="243" t="e">
        <f>'1°Q - Positivo'!E162</f>
        <v>#DIV/0!</v>
      </c>
      <c r="H86" s="243" t="e">
        <f>'1°Q - Positivo'!F162</f>
        <v>#DIV/0!</v>
      </c>
      <c r="I86" s="244" t="e">
        <f>'1°Q - Positivo'!G162</f>
        <v>#DIV/0!</v>
      </c>
      <c r="J86" s="235"/>
      <c r="K86" s="245"/>
      <c r="L86" s="245"/>
    </row>
    <row r="87" spans="3:12" ht="13.5" customHeight="1">
      <c r="D87" s="245"/>
      <c r="E87" s="312"/>
      <c r="F87" s="312"/>
      <c r="G87" s="312"/>
      <c r="H87" s="312"/>
      <c r="I87" s="312"/>
      <c r="J87" s="235"/>
      <c r="K87" s="245"/>
      <c r="L87" s="245"/>
    </row>
    <row r="88" spans="3:12" ht="16.2" customHeight="1">
      <c r="C88" t="s">
        <v>262</v>
      </c>
    </row>
    <row r="89" spans="3:12" ht="12" customHeight="1"/>
    <row r="90" spans="3:12" ht="15" customHeight="1">
      <c r="F90" s="521" t="s">
        <v>210</v>
      </c>
      <c r="G90" s="522"/>
      <c r="H90" s="522"/>
      <c r="I90" s="522"/>
      <c r="J90" s="523"/>
    </row>
    <row r="91" spans="3:12" ht="15" customHeight="1">
      <c r="F91" s="209"/>
      <c r="G91" s="525" t="s">
        <v>211</v>
      </c>
      <c r="H91" s="513"/>
      <c r="I91" s="517" t="s">
        <v>212</v>
      </c>
      <c r="J91" s="505"/>
    </row>
    <row r="92" spans="3:12" ht="15" customHeight="1">
      <c r="F92" s="212" t="s">
        <v>213</v>
      </c>
      <c r="G92" s="512">
        <f>'3°Q - Negativo'!C145</f>
        <v>0</v>
      </c>
      <c r="H92" s="513"/>
      <c r="I92" s="504" t="e">
        <f>'3°Q - Negativo'!D145</f>
        <v>#DIV/0!</v>
      </c>
      <c r="J92" s="505"/>
    </row>
    <row r="93" spans="3:12" ht="15" customHeight="1">
      <c r="F93" s="215" t="s">
        <v>214</v>
      </c>
      <c r="G93" s="510" t="e">
        <f>'3°Q - Negativo'!C146</f>
        <v>#VALUE!</v>
      </c>
      <c r="H93" s="482"/>
      <c r="I93" s="515" t="e">
        <f>'3°Q - Negativo'!D146</f>
        <v>#VALUE!</v>
      </c>
      <c r="J93" s="516"/>
    </row>
    <row r="94" spans="3:12" ht="15" customHeight="1"/>
    <row r="95" spans="3:12" ht="15" customHeight="1">
      <c r="F95" s="521" t="s">
        <v>216</v>
      </c>
      <c r="G95" s="522"/>
      <c r="H95" s="522"/>
      <c r="I95" s="522"/>
      <c r="J95" s="523"/>
    </row>
    <row r="96" spans="3:12" ht="15" customHeight="1">
      <c r="F96" s="209"/>
      <c r="G96" s="525" t="s">
        <v>217</v>
      </c>
      <c r="H96" s="513"/>
      <c r="I96" s="517" t="s">
        <v>218</v>
      </c>
      <c r="J96" s="505"/>
    </row>
    <row r="97" spans="3:12" ht="15" customHeight="1">
      <c r="F97" s="212" t="s">
        <v>213</v>
      </c>
      <c r="G97" s="512">
        <f>'3°Q - Negativo'!C151</f>
        <v>0</v>
      </c>
      <c r="H97" s="513"/>
      <c r="I97" s="504" t="e">
        <f>'3°Q - Negativo'!D151</f>
        <v>#VALUE!</v>
      </c>
      <c r="J97" s="505"/>
    </row>
    <row r="98" spans="3:12" ht="15" customHeight="1">
      <c r="F98" s="215" t="s">
        <v>214</v>
      </c>
      <c r="G98" s="510" t="e">
        <f>'3°Q - Negativo'!C152</f>
        <v>#VALUE!</v>
      </c>
      <c r="H98" s="482"/>
      <c r="I98" s="515" t="e">
        <f>'3°Q - Negativo'!D152</f>
        <v>#VALUE!</v>
      </c>
      <c r="J98" s="516"/>
    </row>
    <row r="99" spans="3:12" ht="12" customHeight="1">
      <c r="G99" s="313"/>
      <c r="H99" s="313"/>
    </row>
    <row r="100" spans="3:12" ht="16.2" customHeight="1">
      <c r="C100" t="s">
        <v>263</v>
      </c>
    </row>
    <row r="101" spans="3:12" ht="12" customHeight="1"/>
    <row r="102" spans="3:12" ht="15" customHeight="1">
      <c r="D102" s="320" t="s">
        <v>200</v>
      </c>
      <c r="E102" s="321" t="s">
        <v>191</v>
      </c>
      <c r="F102" s="321" t="s">
        <v>191</v>
      </c>
      <c r="G102" s="321" t="s">
        <v>191</v>
      </c>
      <c r="H102" s="321" t="s">
        <v>192</v>
      </c>
      <c r="I102" s="322" t="s">
        <v>192</v>
      </c>
      <c r="J102" s="227"/>
      <c r="K102" s="524" t="s">
        <v>200</v>
      </c>
      <c r="L102" s="511" t="s">
        <v>220</v>
      </c>
    </row>
    <row r="103" spans="3:12" ht="15" customHeight="1">
      <c r="D103" s="323" t="s">
        <v>58</v>
      </c>
      <c r="E103" s="324" t="s">
        <v>221</v>
      </c>
      <c r="F103" s="324" t="s">
        <v>221</v>
      </c>
      <c r="G103" s="324" t="s">
        <v>221</v>
      </c>
      <c r="H103" s="324" t="s">
        <v>221</v>
      </c>
      <c r="I103" s="325" t="s">
        <v>221</v>
      </c>
      <c r="J103" s="231"/>
      <c r="K103" s="488"/>
      <c r="L103" s="473"/>
    </row>
    <row r="104" spans="3:12" ht="15" customHeight="1">
      <c r="D104" s="232">
        <f>'3°Q - Negativo'!B157</f>
        <v>0</v>
      </c>
      <c r="E104" s="233" t="e">
        <f>'3°Q - Negativo'!C157</f>
        <v>#VALUE!</v>
      </c>
      <c r="F104" s="233" t="e">
        <f>'3°Q - Negativo'!D157</f>
        <v>#VALUE!</v>
      </c>
      <c r="G104" s="233" t="e">
        <f>'3°Q - Negativo'!E157</f>
        <v>#VALUE!</v>
      </c>
      <c r="H104" s="233" t="e">
        <f>'3°Q - Negativo'!F157</f>
        <v>#VALUE!</v>
      </c>
      <c r="I104" s="234" t="e">
        <f>'3°Q - Negativo'!G157</f>
        <v>#VALUE!</v>
      </c>
      <c r="J104" s="235"/>
      <c r="K104" s="236">
        <f>'3°Q - Negativo'!I157</f>
        <v>-400</v>
      </c>
      <c r="L104" s="237" t="e">
        <f>'3°Q - Negativo'!J157</f>
        <v>#VALUE!</v>
      </c>
    </row>
    <row r="105" spans="3:12" ht="15" customHeight="1">
      <c r="D105" s="236">
        <f>'3°Q - Negativo'!B158</f>
        <v>-400</v>
      </c>
      <c r="E105" s="238" t="str">
        <f>'3°Q - Negativo'!C158</f>
        <v>-</v>
      </c>
      <c r="F105" s="238" t="str">
        <f>'3°Q - Negativo'!D158</f>
        <v>-</v>
      </c>
      <c r="G105" s="238" t="str">
        <f>'3°Q - Negativo'!E158</f>
        <v>-</v>
      </c>
      <c r="H105" s="239" t="e">
        <f>'3°Q - Negativo'!F158</f>
        <v>#VALUE!</v>
      </c>
      <c r="I105" s="240" t="e">
        <f>'3°Q - Negativo'!G158</f>
        <v>#VALUE!</v>
      </c>
      <c r="J105" s="235"/>
      <c r="K105" s="236">
        <f>'3°Q - Negativo'!I158</f>
        <v>-800</v>
      </c>
      <c r="L105" s="237" t="e">
        <f>'3°Q - Negativo'!J158</f>
        <v>#VALUE!</v>
      </c>
    </row>
    <row r="106" spans="3:12" ht="15" customHeight="1">
      <c r="D106" s="236">
        <f>'3°Q - Negativo'!B159</f>
        <v>-800</v>
      </c>
      <c r="E106" s="238" t="str">
        <f>'3°Q - Negativo'!C159</f>
        <v>-</v>
      </c>
      <c r="F106" s="238" t="str">
        <f>'3°Q - Negativo'!D159</f>
        <v>-</v>
      </c>
      <c r="G106" s="238" t="str">
        <f>'3°Q - Negativo'!E159</f>
        <v>-</v>
      </c>
      <c r="H106" s="239" t="e">
        <f>'3°Q - Negativo'!F159</f>
        <v>#VALUE!</v>
      </c>
      <c r="I106" s="240" t="e">
        <f>'3°Q - Negativo'!G159</f>
        <v>#VALUE!</v>
      </c>
      <c r="J106" s="235"/>
      <c r="K106" s="236">
        <f>'3°Q - Negativo'!I159</f>
        <v>-1200</v>
      </c>
      <c r="L106" s="237" t="e">
        <f>'3°Q - Negativo'!J159</f>
        <v>#VALUE!</v>
      </c>
    </row>
    <row r="107" spans="3:12" ht="15" customHeight="1">
      <c r="D107" s="236">
        <f>'3°Q - Negativo'!B160</f>
        <v>-1200</v>
      </c>
      <c r="E107" s="238" t="str">
        <f>'3°Q - Negativo'!C160</f>
        <v>-</v>
      </c>
      <c r="F107" s="238" t="str">
        <f>'3°Q - Negativo'!D160</f>
        <v>-</v>
      </c>
      <c r="G107" s="238" t="str">
        <f>'3°Q - Negativo'!E160</f>
        <v>-</v>
      </c>
      <c r="H107" s="239" t="e">
        <f>'3°Q - Negativo'!F160</f>
        <v>#VALUE!</v>
      </c>
      <c r="I107" s="240" t="e">
        <f>'3°Q - Negativo'!G160</f>
        <v>#VALUE!</v>
      </c>
      <c r="J107" s="235"/>
      <c r="K107" s="236">
        <f>'3°Q - Negativo'!I160</f>
        <v>-1600</v>
      </c>
      <c r="L107" s="237" t="e">
        <f>'3°Q - Negativo'!J160</f>
        <v>#VALUE!</v>
      </c>
    </row>
    <row r="108" spans="3:12" ht="15" customHeight="1">
      <c r="D108" s="236">
        <f>'3°Q - Negativo'!B161</f>
        <v>-1600</v>
      </c>
      <c r="E108" s="238" t="str">
        <f>'3°Q - Negativo'!C161</f>
        <v>-</v>
      </c>
      <c r="F108" s="238" t="str">
        <f>'3°Q - Negativo'!D161</f>
        <v>-</v>
      </c>
      <c r="G108" s="238" t="str">
        <f>'3°Q - Negativo'!E161</f>
        <v>-</v>
      </c>
      <c r="H108" s="239" t="e">
        <f>'3°Q - Negativo'!F161</f>
        <v>#VALUE!</v>
      </c>
      <c r="I108" s="240" t="e">
        <f>'3°Q - Negativo'!G161</f>
        <v>#VALUE!</v>
      </c>
      <c r="J108" s="235"/>
      <c r="K108" s="241">
        <f>'3°Q - Negativo'!I161</f>
        <v>-2000</v>
      </c>
      <c r="L108" s="242" t="e">
        <f>'3°Q - Negativo'!J161</f>
        <v>#VALUE!</v>
      </c>
    </row>
    <row r="109" spans="3:12" ht="15" customHeight="1">
      <c r="D109" s="241">
        <f>'3°Q - Negativo'!B162</f>
        <v>-2000</v>
      </c>
      <c r="E109" s="243" t="e">
        <f>'3°Q - Negativo'!C162</f>
        <v>#VALUE!</v>
      </c>
      <c r="F109" s="243" t="e">
        <f>'3°Q - Negativo'!D162</f>
        <v>#VALUE!</v>
      </c>
      <c r="G109" s="243" t="e">
        <f>'3°Q - Negativo'!E162</f>
        <v>#VALUE!</v>
      </c>
      <c r="H109" s="243" t="e">
        <f>'3°Q - Negativo'!F162</f>
        <v>#VALUE!</v>
      </c>
      <c r="I109" s="244" t="e">
        <f>'3°Q - Negativo'!G162</f>
        <v>#VALUE!</v>
      </c>
      <c r="J109" s="235"/>
      <c r="K109" s="245"/>
      <c r="L109" s="245"/>
    </row>
    <row r="110" spans="3:12" ht="12" customHeight="1"/>
    <row r="111" spans="3:12" ht="12" customHeight="1"/>
    <row r="112" spans="3: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sheetData>
  <mergeCells count="53">
    <mergeCell ref="G96:H96"/>
    <mergeCell ref="F9:M9"/>
    <mergeCell ref="G91:H91"/>
    <mergeCell ref="E32:F32"/>
    <mergeCell ref="P22:R22"/>
    <mergeCell ref="K21:M21"/>
    <mergeCell ref="G75:H75"/>
    <mergeCell ref="F14:M14"/>
    <mergeCell ref="I69:J69"/>
    <mergeCell ref="L102:L103"/>
    <mergeCell ref="G97:H97"/>
    <mergeCell ref="E39:F39"/>
    <mergeCell ref="I70:J70"/>
    <mergeCell ref="I91:J91"/>
    <mergeCell ref="L79:L80"/>
    <mergeCell ref="F95:J95"/>
    <mergeCell ref="I75:J75"/>
    <mergeCell ref="G93:H93"/>
    <mergeCell ref="I97:J97"/>
    <mergeCell ref="G69:H69"/>
    <mergeCell ref="I93:J93"/>
    <mergeCell ref="K102:K103"/>
    <mergeCell ref="I96:J96"/>
    <mergeCell ref="G74:H74"/>
    <mergeCell ref="I68:J68"/>
    <mergeCell ref="F10:M10"/>
    <mergeCell ref="C7:L7"/>
    <mergeCell ref="F16:M16"/>
    <mergeCell ref="G98:H98"/>
    <mergeCell ref="G70:H70"/>
    <mergeCell ref="E38:F38"/>
    <mergeCell ref="F12:M12"/>
    <mergeCell ref="F15:M15"/>
    <mergeCell ref="K27:M27"/>
    <mergeCell ref="C18:L18"/>
    <mergeCell ref="G92:H92"/>
    <mergeCell ref="G68:H68"/>
    <mergeCell ref="I92:J92"/>
    <mergeCell ref="F72:J72"/>
    <mergeCell ref="F90:J90"/>
    <mergeCell ref="I98:J98"/>
    <mergeCell ref="P21:R21"/>
    <mergeCell ref="K79:K80"/>
    <mergeCell ref="I74:J74"/>
    <mergeCell ref="F11:M11"/>
    <mergeCell ref="K22:M22"/>
    <mergeCell ref="E33:F33"/>
    <mergeCell ref="C63:L63"/>
    <mergeCell ref="F13:M13"/>
    <mergeCell ref="P17:R20"/>
    <mergeCell ref="G73:H73"/>
    <mergeCell ref="F67:J67"/>
    <mergeCell ref="I73:J73"/>
  </mergeCells>
  <hyperlinks>
    <hyperlink ref="M5" r:id="rId1" xr:uid="{00000000-0004-0000-0500-000000000000}"/>
    <hyperlink ref="M60" r:id="rId2" xr:uid="{00000000-0004-0000-0500-000001000000}"/>
  </hyperlinks>
  <pageMargins left="0.25" right="0.25" top="0.75" bottom="0.75" header="0.511811023622047" footer="0.511811023622047"/>
  <pageSetup paperSize="9" scale="9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17</vt:i4>
      </vt:variant>
    </vt:vector>
  </HeadingPairs>
  <TitlesOfParts>
    <vt:vector size="23" baseType="lpstr">
      <vt:lpstr>Euramet</vt:lpstr>
      <vt:lpstr>Istruzioni Uso</vt:lpstr>
      <vt:lpstr>1°Q - Positivo</vt:lpstr>
      <vt:lpstr>3°Q - Negativo</vt:lpstr>
      <vt:lpstr>Check Q1 vs Q3 </vt:lpstr>
      <vt:lpstr>REPORT</vt:lpstr>
      <vt:lpstr>C_Tar_max</vt:lpstr>
      <vt:lpstr>C_Tar_min</vt:lpstr>
      <vt:lpstr>EUnits</vt:lpstr>
      <vt:lpstr>REPORT!Print_Area</vt:lpstr>
      <vt:lpstr>SetPnt_N_0</vt:lpstr>
      <vt:lpstr>SetPnt_N_1</vt:lpstr>
      <vt:lpstr>SetPnt_N_2</vt:lpstr>
      <vt:lpstr>SetPnt_N_3</vt:lpstr>
      <vt:lpstr>SetPnt_N_4</vt:lpstr>
      <vt:lpstr>SetPnt_N_5</vt:lpstr>
      <vt:lpstr>SetPnt_P_0</vt:lpstr>
      <vt:lpstr>SetPnt_P_1</vt:lpstr>
      <vt:lpstr>SetPnt_P_2</vt:lpstr>
      <vt:lpstr>SetPnt_P_3</vt:lpstr>
      <vt:lpstr>SetPnt_P_4</vt:lpstr>
      <vt:lpstr>SetPnt_P_5</vt:lpstr>
      <vt:lpstr>UUT_EUnits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Emanuele Viviani</dc:creator>
  <cp:lastModifiedBy>francesco rumiz</cp:lastModifiedBy>
  <cp:revision>2</cp:revision>
  <cp:lastPrinted>2024-06-28T12:05:48Z</cp:lastPrinted>
  <dcterms:created xsi:type="dcterms:W3CDTF">2015-06-05T18:19:34Z</dcterms:created>
  <dcterms:modified xsi:type="dcterms:W3CDTF">2024-07-30T10:35:36Z</dcterms:modified>
  <dc:language>en-US</dc:language>
</cp:coreProperties>
</file>