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Euramet"/>
    <sheet r:id="rId2" sheetId="2" name="Istruzioni Uso"/>
    <sheet r:id="rId3" sheetId="3" name="1°Q - Positivo"/>
    <sheet r:id="rId4" sheetId="4" name="3°Q - Negativo"/>
    <sheet r:id="rId5" sheetId="5" name="Check Q1 vs Q3 "/>
    <sheet r:id="rId6" sheetId="6" name="REPORT"/>
  </sheets>
  <definedNames>
    <definedName name="C_Tar_max">'Istruzioni Uso'!$B$24</definedName>
    <definedName name="C_Tar_min">'Istruzioni Uso'!$B$25</definedName>
    <definedName name="EUnits">'Istruzioni Uso'!$B$11</definedName>
    <definedName name="SetPnt_N_0">'Istruzioni Uso'!$H$20</definedName>
    <definedName name="SetPnt_N_1">'Istruzioni Uso'!$H$21</definedName>
    <definedName name="SetPnt_N_2">'Istruzioni Uso'!$H$22</definedName>
    <definedName name="SetPnt_N_3">'Istruzioni Uso'!$H$23</definedName>
    <definedName name="SetPnt_N_4">'Istruzioni Uso'!$H$24</definedName>
    <definedName name="SetPnt_N_5">'Istruzioni Uso'!$H$25</definedName>
    <definedName name="SetPnt_P_0">'Istruzioni Uso'!$E$20</definedName>
    <definedName name="SetPnt_P_1">'Istruzioni Uso'!$E$21</definedName>
    <definedName name="SetPnt_P_2">'Istruzioni Uso'!$E$22</definedName>
    <definedName name="SetPnt_P_3">'Istruzioni Uso'!$E$23</definedName>
    <definedName name="SetPnt_P_4">'Istruzioni Uso'!$E$24</definedName>
    <definedName name="SetPnt_P_5">'Istruzioni Uso'!$E$25</definedName>
    <definedName name="UUT_EUnits">'Istruzioni Uso'!$B$12</definedName>
    <definedName name="_xlnm.Print_Area" localSheetId="5">'REPORT'!$A$1:$N$110</definedName>
  </definedNames>
  <calcPr fullCalcOnLoad="1"/>
</workbook>
</file>

<file path=xl/sharedStrings.xml><?xml version="1.0" encoding="utf-8"?>
<sst xmlns="http://schemas.openxmlformats.org/spreadsheetml/2006/main" count="1034" uniqueCount="264">
  <si>
    <t>Easting Electronics srl</t>
  </si>
  <si>
    <t>p.IVA/CF 01325430328</t>
  </si>
  <si>
    <t xml:space="preserve">Loc. Santa Barbara 32/A, 34015 Muggia (TS) </t>
  </si>
  <si>
    <t>T +39 040 9778167</t>
  </si>
  <si>
    <t>www.eastingelectronics.com</t>
  </si>
  <si>
    <t>Data:</t>
  </si>
  <si>
    <t>Rif interno attività:</t>
  </si>
  <si>
    <t>Cliente:</t>
  </si>
  <si>
    <t>SN UUT:</t>
  </si>
  <si>
    <t>Note UUT:</t>
  </si>
  <si>
    <t>Progetto UUT:</t>
  </si>
  <si>
    <t>Report di calibrazione:</t>
  </si>
  <si>
    <t>Seriale trasmettitore</t>
  </si>
  <si>
    <t>NOTA: fose vale la pena di pubblicare questa come sensibilità ovvero la sensibilità totale calcolata su Q1 e Q3</t>
  </si>
  <si>
    <t>Parametri di calibrazione</t>
  </si>
  <si>
    <t>1. Caratteristica di uscita</t>
  </si>
  <si>
    <t>Sensibilità</t>
  </si>
  <si>
    <t>Offset</t>
  </si>
  <si>
    <t>2. Range dello strumento FS</t>
  </si>
  <si>
    <t>3.  Incertezza stimata con coefficienti punto 1. 1o QUADRANTE (Coppia Positiva)</t>
  </si>
  <si>
    <t>Coppia</t>
  </si>
  <si>
    <t>Incertezza %</t>
  </si>
  <si>
    <t>4.  Incertezza stimata con coefficienti punto 1. 3o QUADRANTE (Coppia Negativa)</t>
  </si>
  <si>
    <t>Rapporto di taratura</t>
  </si>
  <si>
    <t>4. Coefficienti delle curve di interpolazione 1o QUADRANTE (Coppia Positiva)</t>
  </si>
  <si>
    <t>Momento applicato → M = a*X2 + b*X</t>
  </si>
  <si>
    <t>a [Nm/mV2]</t>
  </si>
  <si>
    <t>b [Nm/mV]</t>
  </si>
  <si>
    <t>1° ordine</t>
  </si>
  <si>
    <t>2° ordine</t>
  </si>
  <si>
    <t>Misura elettrica → X = d*M2 + e*M</t>
  </si>
  <si>
    <t>d [mV/Nm2]</t>
  </si>
  <si>
    <t>e [mV/Nm]</t>
  </si>
  <si>
    <t>5. Report 1o QUADRANTE (Coppia Positiva)</t>
  </si>
  <si>
    <t>Precarico</t>
  </si>
  <si>
    <t>Crescente</t>
  </si>
  <si>
    <t>Nm</t>
  </si>
  <si>
    <t>mV</t>
  </si>
  <si>
    <t>6. Coefficienti delle curve di interpolazione 3o QUADRANTE (Coppia Negativa)</t>
  </si>
  <si>
    <t>7. Report 3o QUADRANTE (Coppia Negativa)</t>
  </si>
  <si>
    <t>Riporto dati misurati</t>
  </si>
  <si>
    <t>Set Point</t>
  </si>
  <si>
    <t>WBA 2.0 [Nm]</t>
  </si>
  <si>
    <t>WBA Out [V]</t>
  </si>
  <si>
    <t>Q1+Q3</t>
  </si>
  <si>
    <t>CANCELLAMI quando non servo più</t>
  </si>
  <si>
    <t>Q1
POSITIVO</t>
  </si>
  <si>
    <t>m</t>
  </si>
  <si>
    <t>q</t>
  </si>
  <si>
    <t>ferrar</t>
  </si>
  <si>
    <t>mas</t>
  </si>
  <si>
    <t>ferr 2nd</t>
  </si>
  <si>
    <t>Lineare</t>
  </si>
  <si>
    <t xml:space="preserve"> [Nm/V]</t>
  </si>
  <si>
    <t>post</t>
  </si>
  <si>
    <t>(1° ordine)</t>
  </si>
  <si>
    <t xml:space="preserve"> [V/Nm]</t>
  </si>
  <si>
    <t>neg</t>
  </si>
  <si>
    <t>H2</t>
  </si>
  <si>
    <t>H1</t>
  </si>
  <si>
    <t>H0</t>
  </si>
  <si>
    <t>Quadratica</t>
  </si>
  <si>
    <t>Nm/V</t>
  </si>
  <si>
    <t>(2° oridne)</t>
  </si>
  <si>
    <t>V/Nm</t>
  </si>
  <si>
    <t>Q1</t>
  </si>
  <si>
    <t>Valori scelti per Q1+Q3</t>
  </si>
  <si>
    <t>errore rel</t>
  </si>
  <si>
    <t>Q3</t>
  </si>
  <si>
    <t>Q3
NEGATIVO</t>
  </si>
  <si>
    <t>MEDIA</t>
  </si>
  <si>
    <t>1. Inzializzazione parametri acquisitore usato per acquisizione dati taratura</t>
  </si>
  <si>
    <t>Inserire i valori caratteristici della UUT impiegati nel sistema di acquisizione</t>
  </si>
  <si>
    <t>Scale</t>
  </si>
  <si>
    <t>Sensitivity</t>
  </si>
  <si>
    <t>2. Inzializzazione range di taratura</t>
  </si>
  <si>
    <t>Input values</t>
  </si>
  <si>
    <t>Set points di taratura</t>
  </si>
  <si>
    <t>Set Point 0</t>
  </si>
  <si>
    <t>Set Point 1</t>
  </si>
  <si>
    <t>Set points #</t>
  </si>
  <si>
    <t>Set Point 2</t>
  </si>
  <si>
    <t>Set Point 3</t>
  </si>
  <si>
    <t>Set Point 4</t>
  </si>
  <si>
    <t>Set Point 5</t>
  </si>
  <si>
    <t>3. Inserimento dati di taratura acquisiti</t>
  </si>
  <si>
    <t>I dati da inserie qui sotto devono derivare da punti stazionari con gli steps di carico imposti (da inserire nota su cifre significa post TO DO)</t>
  </si>
  <si>
    <t>TO DO: analisi sensibiltà sulla sensitività per espressione cifre significative</t>
  </si>
  <si>
    <t>3 Steps
Precarico</t>
  </si>
  <si>
    <t>Precarico 1</t>
  </si>
  <si>
    <t>Precarico 2</t>
  </si>
  <si>
    <t>Precarico 3</t>
  </si>
  <si>
    <t>1a Rampa
a gradini</t>
  </si>
  <si>
    <t>Set Point
0</t>
  </si>
  <si>
    <t>Set Point
1</t>
  </si>
  <si>
    <t>Set Point
2</t>
  </si>
  <si>
    <t>Set Point
3</t>
  </si>
  <si>
    <t>Set Point
4</t>
  </si>
  <si>
    <t>Set Point
5</t>
  </si>
  <si>
    <t>2a Rampa
a gradini</t>
  </si>
  <si>
    <t>4. Riorganizzazione automatica dati ed estrazione Coefficienti Curva Caratteristica</t>
  </si>
  <si>
    <t>4.1 Riorganizzazione dati</t>
  </si>
  <si>
    <t>3 Steps Precarico</t>
  </si>
  <si>
    <t>1a Rampa a gradini</t>
  </si>
  <si>
    <t>2a Rampa a gradini</t>
  </si>
  <si>
    <t>Sequenza (per calcolo Reg Lin)</t>
  </si>
  <si>
    <t>WBA Out
[V]</t>
  </si>
  <si>
    <t>Calcolo Coeff Curva Caratteristica Parziali</t>
  </si>
  <si>
    <t xml:space="preserve"> Serve per controllare l'influenza dello Zero sempre difficile da mantenere costante</t>
  </si>
  <si>
    <t>Q3 Part R1</t>
  </si>
  <si>
    <t>deviaz</t>
  </si>
  <si>
    <t>Q3 Part R2</t>
  </si>
  <si>
    <t>SetPoint 0-5</t>
  </si>
  <si>
    <t>SetPoint 1-5</t>
  </si>
  <si>
    <t>SetPoint 2-5</t>
  </si>
  <si>
    <t>4.2 Estrazione Coefficienti Curva Caratteristica</t>
  </si>
  <si>
    <t>SetPoint 3-5</t>
  </si>
  <si>
    <t>-</t>
  </si>
  <si>
    <t>Coefficienti Curva Caratteristica GLOBALE (ovvero sulle 2 rampe)</t>
  </si>
  <si>
    <t>5. Correzione dati per riportare le misure esattamente al valore di Set Point</t>
  </si>
  <si>
    <t>Coeff CC PARZIALE 1o precarico</t>
  </si>
  <si>
    <t>Q1 Part R1</t>
  </si>
  <si>
    <t>Correzione Precarico 1</t>
  </si>
  <si>
    <t>Coeff CC PARZIALE 2o precarico</t>
  </si>
  <si>
    <t>Correzione Precarico 2</t>
  </si>
  <si>
    <t>Coeff CC PARZIALE 3o precarico</t>
  </si>
  <si>
    <t>Correzione Precarico 3</t>
  </si>
  <si>
    <t>Coeff CC PARZIALE 1a Rampa</t>
  </si>
  <si>
    <t>Set Ponts
Target</t>
  </si>
  <si>
    <t>Sig Teorico
Ciclo</t>
  </si>
  <si>
    <t>Sig Teorico
TOT</t>
  </si>
  <si>
    <t>Riferimento</t>
  </si>
  <si>
    <t>Segnale</t>
  </si>
  <si>
    <t>Inter
Vout</t>
  </si>
  <si>
    <t>Err
Vout</t>
  </si>
  <si>
    <t>Corretto</t>
  </si>
  <si>
    <t>Err
rel</t>
  </si>
  <si>
    <t>Inter
Vout TOT</t>
  </si>
  <si>
    <t>Err
Vout TOT</t>
  </si>
  <si>
    <t>Corretto
TOT</t>
  </si>
  <si>
    <t>Coeff CC PARZIALE 2a Rampa</t>
  </si>
  <si>
    <t>2a rampa</t>
  </si>
  <si>
    <t>Teorico</t>
  </si>
  <si>
    <t>Sig Teorico Ciclo</t>
  </si>
  <si>
    <t>Sig Teorico TOT</t>
  </si>
  <si>
    <t>Inter Vout</t>
  </si>
  <si>
    <t>Err Vout</t>
  </si>
  <si>
    <t>Err rel</t>
  </si>
  <si>
    <t>Inter Vout TOT</t>
  </si>
  <si>
    <t>Err Vout TOT</t>
  </si>
  <si>
    <t>Corretto TOT</t>
  </si>
  <si>
    <t>6. Calcolo secondo Euramet s1s2</t>
  </si>
  <si>
    <t>Q3 Euramet</t>
  </si>
  <si>
    <t>6.1 Corretto (che cosa intenti Emanuele?)</t>
  </si>
  <si>
    <t>Momento</t>
  </si>
  <si>
    <t>0°</t>
  </si>
  <si>
    <t>Salita 1</t>
  </si>
  <si>
    <t>Discesa 3</t>
  </si>
  <si>
    <t>Salita 2</t>
  </si>
  <si>
    <t>Interpolato
2° ordine</t>
  </si>
  <si>
    <t>Interpolato
1° ordine</t>
  </si>
  <si>
    <t>X
medio</t>
  </si>
  <si>
    <t>b'
Ripetibilità</t>
  </si>
  <si>
    <t>b
Riproducibilità</t>
  </si>
  <si>
    <t>h
reversibilità</t>
  </si>
  <si>
    <t>fa
1° ordine</t>
  </si>
  <si>
    <t>fa
2° ordine</t>
  </si>
  <si>
    <t>Decrescente</t>
  </si>
  <si>
    <t>Set Point
#</t>
  </si>
  <si>
    <t xml:space="preserve"> [Nm]</t>
  </si>
  <si>
    <t>[V]</t>
  </si>
  <si>
    <t>1a rampa</t>
  </si>
  <si>
    <t>x</t>
  </si>
  <si>
    <t>6.2 w(X) incertezza (funziona quando vi sono presenti i valori per la curva di discesa)</t>
  </si>
  <si>
    <t>wb'</t>
  </si>
  <si>
    <t>wb</t>
  </si>
  <si>
    <t>wr</t>
  </si>
  <si>
    <t>w fa 1°</t>
  </si>
  <si>
    <t>w(X)</t>
  </si>
  <si>
    <t>W(X)=2*w</t>
  </si>
  <si>
    <t>w fa 2°</t>
  </si>
  <si>
    <t>7. Impaginazione report</t>
  </si>
  <si>
    <t>Variabile dipendente Coppia Meccanica; Variabile indipendente Vout strumento</t>
  </si>
  <si>
    <t>Variabile dipendente Vout strumento; Variabile indipendente Coppia Meccanica</t>
  </si>
  <si>
    <t>Valori numerici di taratura</t>
  </si>
  <si>
    <t>8. Incertezza su coefficineti globali Q1+Q3</t>
  </si>
  <si>
    <t>Q1+Q3 Euramet</t>
  </si>
  <si>
    <t>8.1 Corretto (che cosa intenti Emanuele?)</t>
  </si>
  <si>
    <t>8.2 w(X) incertezza (funziona quando vi sono presenti i valori per la curva di discesa)</t>
  </si>
  <si>
    <t>3.  Incertezza stimata con coefficienti punto 1. 3o QUADRANTE (Coppia Negativa)</t>
  </si>
  <si>
    <t>Q1 Part R2</t>
  </si>
  <si>
    <t>Q1 Euramet</t>
  </si>
  <si>
    <t>0. info presente documento</t>
  </si>
  <si>
    <t>Titolo:</t>
  </si>
  <si>
    <t>Esegue il calcolo dell'errore dell'installazione in modo semiautomatico e produce il rapporto di Taratura</t>
  </si>
  <si>
    <t>Rif interno</t>
  </si>
  <si>
    <t>Autore</t>
  </si>
  <si>
    <t>Data</t>
  </si>
  <si>
    <t>Versione</t>
  </si>
  <si>
    <t>Revisore</t>
  </si>
  <si>
    <t>Note</t>
  </si>
  <si>
    <t>L.Mosenich</t>
  </si>
  <si>
    <t>prima versione per automazione processo popolazione dati secondo curva Euramet e stesura Report Taratura</t>
  </si>
  <si>
    <t>D. Salvalaggio</t>
  </si>
  <si>
    <t>revisione</t>
  </si>
  <si>
    <t>Campi da inizializzare</t>
  </si>
  <si>
    <t>Unità ingegneristica di misura</t>
  </si>
  <si>
    <t>variabili</t>
  </si>
  <si>
    <t>Unità ingegneristica UUT</t>
  </si>
  <si>
    <t>N</t>
  </si>
  <si>
    <t>Offset [V]</t>
  </si>
  <si>
    <t>V</t>
  </si>
  <si>
    <t>CASO COPPIA SIMMETRICA</t>
  </si>
  <si>
    <t>Quadrante 1
POSITIVO</t>
  </si>
  <si>
    <t>Quadrante 3
NEGATIVO</t>
  </si>
  <si>
    <t>Coppia Taratura MAX</t>
  </si>
  <si>
    <t>Coppia Taratura min</t>
  </si>
  <si>
    <t>Q1
Positivo</t>
  </si>
  <si>
    <t>Q3
Negativo</t>
  </si>
  <si>
    <t>Rumore dello zero</t>
  </si>
  <si>
    <t>Vpp [mV]</t>
  </si>
  <si>
    <t>Noisepp / FS</t>
  </si>
  <si>
    <t>4. Variabili per il Report di Taratura</t>
  </si>
  <si>
    <t>Maserati</t>
  </si>
  <si>
    <t>SN TX:</t>
  </si>
  <si>
    <t>con l'SG600, lo si recupera dal rapporto di calibrazione via SmartApp</t>
  </si>
  <si>
    <t>Descrizione UUT:</t>
  </si>
  <si>
    <t>Semiasse Ant Destro</t>
  </si>
  <si>
    <t>es alebrino assale elettrico</t>
  </si>
  <si>
    <t>M189 PVP #30</t>
  </si>
  <si>
    <t>es albero 123456</t>
  </si>
  <si>
    <t>Report di calibrazione TX</t>
  </si>
  <si>
    <t>Generato dalla App SG600 - pubblica i valori di guadagno del trasmettitore</t>
  </si>
  <si>
    <t>Range dello strumento</t>
  </si>
  <si>
    <t>Si intende il Fondo Scala (lineare) massimo raggiungibile dallo strumento</t>
  </si>
  <si>
    <t>1. Range di calibrazione</t>
  </si>
  <si>
    <t>± 500 Nm</t>
  </si>
  <si>
    <t>è il range meccanico fisicamente imposto (peso campione) per calibrare lo strumento. Può essere inferiore al Fondo Scala strumento quando ad esempio si vuole evitare di arrivare alla coppia nominale per evitare danneggiamenti Nota: non pubblicato nel report di calibrazione</t>
  </si>
  <si>
    <t>1. Range di taratura</t>
  </si>
  <si>
    <t>è il range meccanico fisicamente imposto (peso campione) per produrre il report di taratura dello strumento. Può essere inferiore al Fondo Scala strumento quando ad esempio si vuole evitare di arrivare alla coppia nominale per evitare danneggiamenti</t>
  </si>
  <si>
    <t>2. Overshoot ± 25% FS</t>
  </si>
  <si>
    <t>4. Caratteriscica di uscita</t>
  </si>
  <si>
    <t xml:space="preserve">1. Inzializzare parametri in "Istruzioni Uso" e inserire misure nei due riquadri rossi della tabella sottostante </t>
  </si>
  <si>
    <t>Out Zero [V]</t>
  </si>
  <si>
    <t>Out Sens [Nm/V]</t>
  </si>
  <si>
    <t>Href</t>
  </si>
  <si>
    <t>Zero</t>
  </si>
  <si>
    <t>Q</t>
  </si>
  <si>
    <t>Step</t>
  </si>
  <si>
    <t>Carico [N]</t>
  </si>
  <si>
    <t>hm mozzo [mm]</t>
  </si>
  <si>
    <t>hr ref [mm]</t>
  </si>
  <si>
    <t>Laumas [N]</t>
  </si>
  <si>
    <t>Torsiometro [Nm]</t>
  </si>
  <si>
    <t>SG600 [V]</t>
  </si>
  <si>
    <t>Corr</t>
  </si>
  <si>
    <t>SG600 [Nm]</t>
  </si>
  <si>
    <t>Braccio [m]</t>
  </si>
  <si>
    <t>Coppia Laumas [Nm]</t>
  </si>
  <si>
    <t>SG600 reg [V]</t>
  </si>
  <si>
    <t>Errore</t>
  </si>
  <si>
    <t>Errore %</t>
  </si>
  <si>
    <t>m ave [V/Nm]</t>
  </si>
  <si>
    <t>m ave [Nm/V]</t>
  </si>
</sst>
</file>

<file path=xl/styles.xml><?xml version="1.0" encoding="utf-8"?>
<styleSheet xmlns="http://schemas.openxmlformats.org/spreadsheetml/2006/main" xmlns:x14ac="http://schemas.microsoft.com/office/spreadsheetml/2009/9/ac" xmlns:mc="http://schemas.openxmlformats.org/markup-compatibility/2006" mc:Ignorable="x14ac">
  <numFmts count="11">
    <numFmt numFmtId="164" formatCode="dddd, mmmm dd, yyyy"/>
    <numFmt numFmtId="165" formatCode="#,##0.0"/>
    <numFmt numFmtId="166" formatCode="#,##0.000%"/>
    <numFmt numFmtId="167" formatCode="#,##0.0000000000"/>
    <numFmt numFmtId="168" formatCode="#,##0.000000"/>
    <numFmt numFmtId="169" formatCode="#,##0.000"/>
    <numFmt numFmtId="170" formatCode="#,##0.0000"/>
    <numFmt numFmtId="171" formatCode="#,##0.00%"/>
    <numFmt numFmtId="172" formatCode="#,##0.00000000"/>
    <numFmt numFmtId="173" formatCode="#,##0.00000"/>
    <numFmt numFmtId="174" formatCode="#,##0.0000000"/>
  </numFmts>
  <fonts count="50" x14ac:knownFonts="1">
    <font>
      <sz val="11"/>
      <color theme="1"/>
      <name val="Calibri"/>
      <family val="2"/>
      <scheme val="minor"/>
    </font>
    <font>
      <sz val="7"/>
      <color rgb="FF808080"/>
      <name val="Calibri Light"/>
      <family val="2"/>
    </font>
    <font>
      <u/>
      <sz val="7"/>
      <color rgb="FF000000"/>
      <name val="Calibri"/>
      <family val="2"/>
    </font>
    <font>
      <sz val="18"/>
      <color rgb="FF2c6eab"/>
      <name val="Calibri Light"/>
      <family val="2"/>
    </font>
    <font>
      <sz val="11"/>
      <color rgb="FF000000"/>
      <name val="Calibri Light"/>
      <family val="2"/>
    </font>
    <font>
      <sz val="11"/>
      <color theme="1"/>
      <name val="Calibri"/>
      <family val="2"/>
    </font>
    <font>
      <sz val="9"/>
      <color rgb="FF000000"/>
      <name val="Calibri"/>
      <family val="2"/>
    </font>
    <font>
      <sz val="14"/>
      <color rgb="FF2c6eab"/>
      <name val="Calibri Light"/>
      <family val="2"/>
    </font>
    <font>
      <sz val="10"/>
      <color rgb="FF000000"/>
      <name val="Calibri Light"/>
      <family val="2"/>
    </font>
    <font>
      <sz val="11"/>
      <color rgb="FF44546a"/>
      <name val="Calibri"/>
      <family val="2"/>
    </font>
    <font>
      <sz val="16"/>
      <color rgb="FF548235"/>
      <name val="Calibri"/>
      <family val="2"/>
    </font>
    <font>
      <sz val="11"/>
      <color rgb="FFa9d18e"/>
      <name val="Calibri"/>
      <family val="2"/>
    </font>
    <font>
      <sz val="11"/>
      <color rgb="FF000000"/>
      <name val="Calibri"/>
      <family val="2"/>
    </font>
    <font>
      <sz val="14"/>
      <color rgb="FF0070c0"/>
      <name val="Calibri"/>
      <family val="2"/>
    </font>
    <font>
      <sz val="14"/>
      <color rgb="FF006100"/>
      <name val="Calibri"/>
      <family val="2"/>
    </font>
    <font>
      <sz val="11"/>
      <color rgb="FF006100"/>
      <name val="Calibri"/>
      <family val="2"/>
    </font>
    <font>
      <sz val="11"/>
      <color rgb="FFbf9000"/>
      <name val="Calibri"/>
      <family val="2"/>
    </font>
    <font>
      <sz val="16"/>
      <color rgb="FF0070c0"/>
      <name val="Calibri"/>
      <family val="2"/>
    </font>
    <font>
      <sz val="11"/>
      <color rgb="FFff3300"/>
      <name val="Calibri"/>
      <family val="2"/>
    </font>
    <font>
      <sz val="16"/>
      <color theme="1"/>
      <name val="Calibri"/>
      <family val="2"/>
    </font>
    <font>
      <sz val="14"/>
      <color rgb="FFff3300"/>
      <name val="Calibri"/>
      <family val="2"/>
    </font>
    <font>
      <sz val="16"/>
      <color rgb="FFff3300"/>
      <name val="Calibri"/>
      <family val="2"/>
    </font>
    <font>
      <sz val="20"/>
      <color rgb="FF000000"/>
      <name val="Calibri"/>
      <family val="2"/>
    </font>
    <font>
      <sz val="11"/>
      <color rgb="FFff0000"/>
      <name val="Calibri"/>
      <family val="2"/>
    </font>
    <font>
      <sz val="16"/>
      <color rgb="FF1f4e79"/>
      <name val="Calibri"/>
      <family val="2"/>
    </font>
    <font>
      <sz val="14"/>
      <color rgb="FF000000"/>
      <name val="Calibri"/>
      <family val="2"/>
    </font>
    <font>
      <sz val="18"/>
      <color rgb="FF44546a"/>
      <name val="Calibri"/>
      <family val="2"/>
    </font>
    <font>
      <sz val="15"/>
      <color rgb="FF44546a"/>
      <name val="Calibri"/>
      <family val="2"/>
    </font>
    <font>
      <sz val="11"/>
      <color rgb="FFfa7d00"/>
      <name val="Calibri"/>
      <family val="2"/>
    </font>
    <font>
      <sz val="12"/>
      <color rgb="FF44546a"/>
      <name val="Calibri"/>
      <family val="2"/>
    </font>
    <font>
      <sz val="12"/>
      <color rgb="FF000000"/>
      <name val="Calibri"/>
      <family val="2"/>
    </font>
    <font>
      <sz val="12"/>
      <color rgb="FF006100"/>
      <name val="Calibri"/>
      <family val="2"/>
    </font>
    <font>
      <sz val="10"/>
      <color rgb="FF000000"/>
      <name val="Calibri"/>
      <family val="2"/>
    </font>
    <font>
      <sz val="14"/>
      <color rgb="FF1f4e79"/>
      <name val="Calibri"/>
      <family val="2"/>
    </font>
    <font>
      <sz val="12"/>
      <color rgb="FF000000"/>
      <name val="Calibri Light"/>
      <family val="2"/>
    </font>
    <font>
      <sz val="11"/>
      <color rgb="FF3f3f76"/>
      <name val="Calibri"/>
      <family val="2"/>
    </font>
    <font>
      <sz val="11"/>
      <color rgb="FF385724"/>
      <name val="Calibri"/>
      <family val="2"/>
    </font>
    <font>
      <sz val="16"/>
      <color rgb="FF000000"/>
      <name val="Calibri"/>
      <family val="2"/>
    </font>
    <font>
      <sz val="11"/>
      <color rgb="FF595959"/>
      <name val="Calibri"/>
      <family val="2"/>
    </font>
    <font>
      <sz val="11"/>
      <color rgb="FF7f7f7f"/>
      <name val="Calibri"/>
      <family val="2"/>
    </font>
    <font>
      <sz val="11"/>
      <color rgb="FFf2f2f2"/>
      <name val="Calibri"/>
      <family val="2"/>
    </font>
    <font>
      <sz val="12"/>
      <color rgb="FF0070c0"/>
      <name val="Calibri"/>
      <family val="2"/>
    </font>
    <font>
      <sz val="12"/>
      <color rgb="FFff3300"/>
      <name val="Calibri"/>
      <family val="2"/>
    </font>
    <font>
      <sz val="48"/>
      <color rgb="FF2e75b6"/>
      <name val="Calibri"/>
      <family val="2"/>
    </font>
    <font>
      <sz val="48"/>
      <color rgb="FFff3300"/>
      <name val="Calibri"/>
      <family val="2"/>
    </font>
    <font>
      <u/>
      <sz val="11"/>
      <color rgb="FF000000"/>
      <name val="Calibri"/>
      <family val="2"/>
    </font>
    <font>
      <sz val="10"/>
      <color rgb="FF000000"/>
      <name val="Liberation Sans"/>
      <family val="2"/>
    </font>
    <font>
      <sz val="11"/>
      <color rgb="FF3f3f3f"/>
      <name val="Calibri"/>
      <family val="2"/>
    </font>
    <font>
      <sz val="20"/>
      <color rgb="FFc9211e"/>
      <name val="Liberation Sans"/>
      <family val="2"/>
    </font>
    <font>
      <sz val="20"/>
      <color rgb="FF2a6099"/>
      <name val="Liberation Sans"/>
      <family val="2"/>
    </font>
  </fonts>
  <fills count="30">
    <fill>
      <patternFill patternType="none"/>
    </fill>
    <fill>
      <patternFill patternType="gray125"/>
    </fill>
    <fill>
      <patternFill patternType="solid">
        <fgColor rgb="FFf2f2f2"/>
      </patternFill>
    </fill>
    <fill>
      <patternFill patternType="solid">
        <fgColor rgb="FF9dc3e6"/>
      </patternFill>
    </fill>
    <fill>
      <patternFill patternType="solid">
        <fgColor rgb="FFfcbabf"/>
      </patternFill>
    </fill>
    <fill>
      <patternFill patternType="solid">
        <fgColor rgb="FFffffff"/>
      </patternFill>
    </fill>
    <fill>
      <patternFill patternType="solid">
        <fgColor rgb="FFa9d18e"/>
      </patternFill>
    </fill>
    <fill>
      <patternFill patternType="solid">
        <fgColor rgb="FFfff2cc"/>
      </patternFill>
    </fill>
    <fill>
      <patternFill patternType="solid">
        <fgColor rgb="FFbdd7ee"/>
      </patternFill>
    </fill>
    <fill>
      <patternFill patternType="solid">
        <fgColor rgb="FFdeebf7"/>
      </patternFill>
    </fill>
    <fill>
      <patternFill patternType="solid">
        <fgColor rgb="FFe2f0d9"/>
      </patternFill>
    </fill>
    <fill>
      <patternFill patternType="solid">
        <fgColor rgb="FFc6efce"/>
      </patternFill>
    </fill>
    <fill>
      <patternFill patternType="solid">
        <fgColor rgb="FFffe699"/>
      </patternFill>
    </fill>
    <fill>
      <patternFill patternType="solid">
        <fgColor rgb="FFf4b183"/>
      </patternFill>
    </fill>
    <fill>
      <patternFill patternType="solid">
        <fgColor rgb="FFf8cbad"/>
      </patternFill>
    </fill>
    <fill>
      <patternFill patternType="solid">
        <fgColor rgb="FFfdd7da"/>
      </patternFill>
    </fill>
    <fill>
      <patternFill patternType="solid">
        <fgColor rgb="FFc9c9c9"/>
      </patternFill>
    </fill>
    <fill>
      <patternFill patternType="solid">
        <fgColor rgb="FFdbdbdb"/>
      </patternFill>
    </fill>
    <fill>
      <patternFill patternType="solid">
        <fgColor rgb="FFffff00"/>
      </patternFill>
    </fill>
    <fill>
      <patternFill patternType="solid">
        <fgColor rgb="FFbfbfbf"/>
      </patternFill>
    </fill>
    <fill>
      <patternFill patternType="solid">
        <fgColor rgb="FFd9d9d9"/>
      </patternFill>
    </fill>
    <fill>
      <patternFill patternType="solid">
        <fgColor rgb="FF66ff33"/>
      </patternFill>
    </fill>
    <fill>
      <patternFill patternType="solid">
        <fgColor rgb="FFdae3f3"/>
      </patternFill>
    </fill>
    <fill>
      <patternFill patternType="solid">
        <fgColor rgb="FFd0cece"/>
      </patternFill>
    </fill>
    <fill>
      <patternFill patternType="solid">
        <fgColor rgb="FFa6a6a6"/>
      </patternFill>
    </fill>
    <fill>
      <patternFill patternType="solid">
        <fgColor rgb="FFffc000"/>
      </patternFill>
    </fill>
    <fill>
      <patternFill patternType="solid">
        <fgColor rgb="FFffd7d7"/>
      </patternFill>
    </fill>
    <fill>
      <patternFill patternType="solid">
        <fgColor rgb="FFe8f2a1"/>
      </patternFill>
    </fill>
    <fill>
      <patternFill patternType="solid">
        <fgColor rgb="FFffcc99"/>
      </patternFill>
    </fill>
    <fill>
      <patternFill patternType="solid">
        <fgColor rgb="FFdee6ef"/>
      </patternFill>
    </fill>
  </fills>
  <borders count="20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000000"/>
      </bottom>
      <diagonal/>
    </border>
    <border>
      <left style="medium">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medium">
        <color rgb="FF000000"/>
      </right>
      <top style="thin">
        <color rgb="FFc6c6c6"/>
      </top>
      <bottom style="thin">
        <color rgb="FF000000"/>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548235"/>
      </left>
      <right style="thin">
        <color rgb="FFc6c6c6"/>
      </right>
      <top style="medium">
        <color rgb="FF548235"/>
      </top>
      <bottom style="thin">
        <color rgb="FFc6c6c6"/>
      </bottom>
      <diagonal/>
    </border>
    <border>
      <left style="thin">
        <color rgb="FFc6c6c6"/>
      </left>
      <right style="thin">
        <color rgb="FFc6c6c6"/>
      </right>
      <top style="medium">
        <color rgb="FF548235"/>
      </top>
      <bottom style="thin">
        <color rgb="FFc6c6c6"/>
      </bottom>
      <diagonal/>
    </border>
    <border>
      <left style="thin">
        <color rgb="FFc6c6c6"/>
      </left>
      <right style="medium">
        <color rgb="FF548235"/>
      </right>
      <top style="medium">
        <color rgb="FF548235"/>
      </top>
      <bottom style="thin">
        <color rgb="FFc6c6c6"/>
      </bottom>
      <diagonal/>
    </border>
    <border>
      <left style="medium">
        <color rgb="FF548235"/>
      </left>
      <right style="thin">
        <color rgb="FFc6c6c6"/>
      </right>
      <top style="thin">
        <color rgb="FFc6c6c6"/>
      </top>
      <bottom style="thin">
        <color rgb="FFc6c6c6"/>
      </bottom>
      <diagonal/>
    </border>
    <border>
      <left style="thin">
        <color rgb="FFc6c6c6"/>
      </left>
      <right style="medium">
        <color rgb="FF548235"/>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548235"/>
      </left>
      <right style="thin">
        <color rgb="FFc6c6c6"/>
      </right>
      <top style="thin">
        <color rgb="FFc6c6c6"/>
      </top>
      <bottom style="medium">
        <color rgb="FF548235"/>
      </bottom>
      <diagonal/>
    </border>
    <border>
      <left style="medium">
        <color rgb="FF000000"/>
      </left>
      <right style="thin">
        <color rgb="FFc6c6c6"/>
      </right>
      <top style="thin">
        <color rgb="FFc6c6c6"/>
      </top>
      <bottom style="medium">
        <color rgb="FF548235"/>
      </bottom>
      <diagonal/>
    </border>
    <border>
      <left style="thin">
        <color rgb="FF000000"/>
      </left>
      <right style="thin">
        <color rgb="FF000000"/>
      </right>
      <top style="thin">
        <color rgb="FF000000"/>
      </top>
      <bottom style="medium">
        <color rgb="FF548235"/>
      </bottom>
      <diagonal/>
    </border>
    <border>
      <left style="thin">
        <color rgb="FF000000"/>
      </left>
      <right style="medium">
        <color rgb="FF000000"/>
      </right>
      <top style="thin">
        <color rgb="FF000000"/>
      </top>
      <bottom style="medium">
        <color rgb="FF548235"/>
      </bottom>
      <diagonal/>
    </border>
    <border>
      <left style="medium">
        <color rgb="FF0070c0"/>
      </left>
      <right style="thin">
        <color rgb="FFc6c6c6"/>
      </right>
      <top style="medium">
        <color rgb="FF0070c0"/>
      </top>
      <bottom style="thin">
        <color rgb="FFc6c6c6"/>
      </bottom>
      <diagonal/>
    </border>
    <border>
      <left style="thin">
        <color rgb="FFc6c6c6"/>
      </left>
      <right style="thin">
        <color rgb="FFc6c6c6"/>
      </right>
      <top style="medium">
        <color rgb="FF0070c0"/>
      </top>
      <bottom style="thin">
        <color rgb="FFc6c6c6"/>
      </bottom>
      <diagonal/>
    </border>
    <border>
      <left style="thin">
        <color rgb="FFc6c6c6"/>
      </left>
      <right style="medium">
        <color rgb="FF0070c0"/>
      </right>
      <top style="medium">
        <color rgb="FF0070c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70c0"/>
      </left>
      <right style="thin">
        <color rgb="FFc6c6c6"/>
      </right>
      <top style="thin">
        <color rgb="FFc6c6c6"/>
      </top>
      <bottom style="thin">
        <color rgb="FFc6c6c6"/>
      </bottom>
      <diagonal/>
    </border>
    <border>
      <left style="thin">
        <color rgb="FFc6c6c6"/>
      </left>
      <right style="medium">
        <color rgb="FF0070c0"/>
      </right>
      <top style="thin">
        <color rgb="FFc6c6c6"/>
      </top>
      <bottom style="thin">
        <color rgb="FFc6c6c6"/>
      </bottom>
      <diagonal/>
    </border>
    <border>
      <left style="thin">
        <color rgb="FF000000"/>
      </left>
      <right style="medium">
        <color rgb="FF0070c0"/>
      </right>
      <top style="medium">
        <color rgb="FF000000"/>
      </top>
      <bottom style="thin">
        <color rgb="FF000000"/>
      </bottom>
      <diagonal/>
    </border>
    <border>
      <left style="thin">
        <color rgb="FF000000"/>
      </left>
      <right style="medium">
        <color rgb="FF0070c0"/>
      </right>
      <top style="thin">
        <color rgb="FF000000"/>
      </top>
      <bottom style="medium">
        <color rgb="FF000000"/>
      </bottom>
      <diagonal/>
    </border>
    <border>
      <left style="medium">
        <color rgb="FF0070c0"/>
      </left>
      <right style="thin">
        <color rgb="FFc6c6c6"/>
      </right>
      <top style="thin">
        <color rgb="FFc6c6c6"/>
      </top>
      <bottom style="medium">
        <color rgb="FF0070c0"/>
      </bottom>
      <diagonal/>
    </border>
    <border>
      <left style="medium">
        <color rgb="FF000000"/>
      </left>
      <right style="thin">
        <color rgb="FFc6c6c6"/>
      </right>
      <top style="thin">
        <color rgb="FFc6c6c6"/>
      </top>
      <bottom style="medium">
        <color rgb="FF0070c0"/>
      </bottom>
      <diagonal/>
    </border>
    <border>
      <left style="thin">
        <color rgb="FF000000"/>
      </left>
      <right style="thin">
        <color rgb="FF000000"/>
      </right>
      <top style="thin">
        <color rgb="FF0070c0"/>
      </top>
      <bottom style="medium">
        <color rgb="FF0070c0"/>
      </bottom>
      <diagonal/>
    </border>
    <border>
      <left style="thin">
        <color rgb="FF000000"/>
      </left>
      <right style="medium">
        <color rgb="FF0070c0"/>
      </right>
      <top style="thin">
        <color rgb="FF0070c0"/>
      </top>
      <bottom style="medium">
        <color rgb="FF0070c0"/>
      </bottom>
      <diagonal/>
    </border>
    <border>
      <left style="medium">
        <color rgb="FFff3300"/>
      </left>
      <right style="thin">
        <color rgb="FFc6c6c6"/>
      </right>
      <top style="medium">
        <color rgb="FFff3300"/>
      </top>
      <bottom style="thin">
        <color rgb="FFc6c6c6"/>
      </bottom>
      <diagonal/>
    </border>
    <border>
      <left style="thin">
        <color rgb="FFc6c6c6"/>
      </left>
      <right style="thin">
        <color rgb="FFc6c6c6"/>
      </right>
      <top style="medium">
        <color rgb="FFff3300"/>
      </top>
      <bottom style="thin">
        <color rgb="FFc6c6c6"/>
      </bottom>
      <diagonal/>
    </border>
    <border>
      <left style="thin">
        <color rgb="FFc6c6c6"/>
      </left>
      <right style="medium">
        <color rgb="FFff3300"/>
      </right>
      <top style="medium">
        <color rgb="FFff3300"/>
      </top>
      <bottom style="thin">
        <color rgb="FFc6c6c6"/>
      </bottom>
      <diagonal/>
    </border>
    <border>
      <left style="medium">
        <color rgb="FFff3300"/>
      </left>
      <right style="thin">
        <color rgb="FFc6c6c6"/>
      </right>
      <top style="thin">
        <color rgb="FFc6c6c6"/>
      </top>
      <bottom style="thin">
        <color rgb="FFc6c6c6"/>
      </bottom>
      <diagonal/>
    </border>
    <border>
      <left style="thin">
        <color rgb="FFc6c6c6"/>
      </left>
      <right style="medium">
        <color rgb="FFff3300"/>
      </right>
      <top style="thin">
        <color rgb="FFc6c6c6"/>
      </top>
      <bottom style="thin">
        <color rgb="FFc6c6c6"/>
      </bottom>
      <diagonal/>
    </border>
    <border>
      <left style="thin">
        <color rgb="FF000000"/>
      </left>
      <right style="medium">
        <color rgb="FFff3300"/>
      </right>
      <top style="medium">
        <color rgb="FF000000"/>
      </top>
      <bottom style="thin">
        <color rgb="FF000000"/>
      </bottom>
      <diagonal/>
    </border>
    <border>
      <left style="thin">
        <color rgb="FF000000"/>
      </left>
      <right style="medium">
        <color rgb="FFff3300"/>
      </right>
      <top style="thin">
        <color rgb="FF000000"/>
      </top>
      <bottom style="medium">
        <color rgb="FF000000"/>
      </bottom>
      <diagonal/>
    </border>
    <border>
      <left style="medium">
        <color rgb="FFff3300"/>
      </left>
      <right style="thin">
        <color rgb="FFc6c6c6"/>
      </right>
      <top style="thin">
        <color rgb="FFc6c6c6"/>
      </top>
      <bottom style="medium">
        <color rgb="FFff3300"/>
      </bottom>
      <diagonal/>
    </border>
    <border>
      <left style="medium">
        <color rgb="FF000000"/>
      </left>
      <right style="thin">
        <color rgb="FFc6c6c6"/>
      </right>
      <top style="thin">
        <color rgb="FFc6c6c6"/>
      </top>
      <bottom style="medium">
        <color rgb="FFff3300"/>
      </bottom>
      <diagonal/>
    </border>
    <border>
      <left style="thin">
        <color rgb="FF000000"/>
      </left>
      <right style="thin">
        <color rgb="FF000000"/>
      </right>
      <top style="thin">
        <color rgb="FFff3300"/>
      </top>
      <bottom style="medium">
        <color rgb="FFff3300"/>
      </bottom>
      <diagonal/>
    </border>
    <border>
      <left style="thin">
        <color rgb="FF000000"/>
      </left>
      <right style="medium">
        <color rgb="FFff3300"/>
      </right>
      <top style="thin">
        <color rgb="FFff3300"/>
      </top>
      <bottom style="medium">
        <color rgb="FFff33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double">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style="medium">
        <color rgb="FF000000"/>
      </left>
      <right/>
      <top/>
      <bottom style="double">
        <color rgb="FF000000"/>
      </bottom>
      <diagonal/>
    </border>
    <border>
      <left style="thin">
        <color rgb="FF000000"/>
      </left>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style="thin">
        <color rgb="FF000000"/>
      </left>
      <right style="medium">
        <color rgb="FF000000"/>
      </right>
      <top/>
      <bottom style="double">
        <color rgb="FF000000"/>
      </bottom>
      <diagonal/>
    </border>
    <border>
      <left style="thin">
        <color rgb="FF000000"/>
      </left>
      <right style="thin">
        <color rgb="FFc6c6c6"/>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right/>
      <top/>
      <bottom style="thick">
        <color rgb="FF5b9bd5"/>
      </bottom>
      <diagonal/>
    </border>
    <border>
      <left style="thin">
        <color rgb="FF7f7f7f"/>
      </left>
      <right style="thin">
        <color rgb="FF7f7f7f"/>
      </right>
      <top style="thin">
        <color rgb="FF7f7f7f"/>
      </top>
      <bottom style="thin">
        <color rgb="FF7f7f7f"/>
      </bottom>
      <diagonal/>
    </border>
    <border>
      <left style="medium">
        <color rgb="FF000000"/>
      </left>
      <right/>
      <top/>
      <bottom style="thick">
        <color rgb="FF5b9bd5"/>
      </bottom>
      <diagonal/>
    </border>
    <border>
      <left/>
      <right style="medium">
        <color rgb="FF000000"/>
      </right>
      <top/>
      <bottom style="thick">
        <color rgb="FF5b9bd5"/>
      </bottom>
      <diagonal/>
    </border>
    <border>
      <left style="medium">
        <color rgb="FF000000"/>
      </left>
      <right style="medium">
        <color rgb="FF000000"/>
      </right>
      <top style="thin">
        <color rgb="FFc6c6c6"/>
      </top>
      <bottom style="thin">
        <color rgb="FFc6c6c6"/>
      </bottom>
      <diagonal/>
    </border>
    <border>
      <left style="medium">
        <color rgb="FF000000"/>
      </left>
      <right style="medium">
        <color rgb="FF000000"/>
      </right>
      <top style="thin">
        <color rgb="FFc6c6c6"/>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thin">
        <color rgb="FFc6c6c6"/>
      </left>
      <right style="thin">
        <color rgb="FFc6c6c6"/>
      </right>
      <top style="medium">
        <color rgb="FF000000"/>
      </top>
      <bottom style="double">
        <color rgb="FF000000"/>
      </bottom>
      <diagonal/>
    </border>
    <border>
      <left/>
      <right style="medium">
        <color rgb="FF000000"/>
      </right>
      <top style="medium">
        <color rgb="FF000000"/>
      </top>
      <bottom style="double">
        <color rgb="FF000000"/>
      </bottom>
      <diagonal/>
    </border>
    <border>
      <left style="medium">
        <color rgb="FF000000"/>
      </left>
      <right style="thin">
        <color rgb="FF000000"/>
      </right>
      <top style="medium">
        <color rgb="FF000000"/>
      </top>
      <bottom style="double">
        <color rgb="FF000000"/>
      </bottom>
      <diagonal/>
    </border>
    <border>
      <left style="medium">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medium">
        <color rgb="FF000000"/>
      </right>
      <top style="double">
        <color rgb="FF000000"/>
      </top>
      <bottom style="thin">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medium">
        <color rgb="FF000000"/>
      </right>
      <top style="thin">
        <color rgb="FFc6c6c6"/>
      </top>
      <bottom style="thin">
        <color rgb="FF000000"/>
      </bottom>
      <diagonal/>
    </border>
    <border>
      <left style="thin">
        <color rgb="FFc6c6c6"/>
      </left>
      <right style="thin">
        <color rgb="FF000000"/>
      </right>
      <top style="medium">
        <color rgb="FF000000"/>
      </top>
      <bottom style="thin">
        <color rgb="FF000000"/>
      </bottom>
      <diagonal/>
    </border>
    <border>
      <left style="thin">
        <color rgb="FFc6c6c6"/>
      </left>
      <right style="thin">
        <color rgb="FF000000"/>
      </right>
      <top style="thin">
        <color rgb="FFc6c6c6"/>
      </top>
      <bottom style="thin">
        <color rgb="FFc6c6c6"/>
      </bottom>
      <diagonal/>
    </border>
    <border>
      <left style="medium">
        <color rgb="FF000000"/>
      </left>
      <right style="thin">
        <color rgb="FF000000"/>
      </right>
      <top style="thin">
        <color rgb="FFc6c6c6"/>
      </top>
      <bottom style="thin">
        <color rgb="FFc6c6c6"/>
      </bottom>
      <diagonal/>
    </border>
    <border>
      <left/>
      <right/>
      <top style="thick">
        <color rgb="FF5b9bd5"/>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
      <left/>
      <right/>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c6c6c6"/>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2e75b6"/>
      </left>
      <right style="medium">
        <color rgb="FF2e75b6"/>
      </right>
      <top style="medium">
        <color rgb="FF2e75b6"/>
      </top>
      <bottom style="thin">
        <color rgb="FFc6c6c6"/>
      </bottom>
      <diagonal/>
    </border>
    <border>
      <left/>
      <right style="medium">
        <color rgb="FF2e75b6"/>
      </right>
      <top style="medium">
        <color rgb="FF2e75b6"/>
      </top>
      <bottom/>
      <diagonal/>
    </border>
    <border>
      <left style="medium">
        <color rgb="FFff3300"/>
      </left>
      <right style="medium">
        <color rgb="FFff3300"/>
      </right>
      <top style="medium">
        <color rgb="FFff3300"/>
      </top>
      <bottom style="thin">
        <color rgb="FFc6c6c6"/>
      </bottom>
      <diagonal/>
    </border>
    <border>
      <left/>
      <right style="medium">
        <color rgb="FFff3300"/>
      </right>
      <top style="medium">
        <color rgb="FFff3300"/>
      </top>
      <bottom/>
      <diagonal/>
    </border>
    <border>
      <left style="medium">
        <color rgb="FF2e75b6"/>
      </left>
      <right style="medium">
        <color rgb="FF2e75b6"/>
      </right>
      <top style="thin">
        <color rgb="FFc6c6c6"/>
      </top>
      <bottom style="thin">
        <color rgb="FFc6c6c6"/>
      </bottom>
      <diagonal/>
    </border>
    <border>
      <left/>
      <right style="medium">
        <color rgb="FF2e75b6"/>
      </right>
      <top/>
      <bottom/>
      <diagonal/>
    </border>
    <border>
      <left style="medium">
        <color rgb="FFff3300"/>
      </left>
      <right style="medium">
        <color rgb="FFff3300"/>
      </right>
      <top style="thin">
        <color rgb="FFc6c6c6"/>
      </top>
      <bottom style="thin">
        <color rgb="FFc6c6c6"/>
      </bottom>
      <diagonal/>
    </border>
    <border>
      <left/>
      <right style="medium">
        <color rgb="FFff3300"/>
      </right>
      <top/>
      <bottom/>
      <diagonal/>
    </border>
    <border>
      <left style="medium">
        <color rgb="FF2e75b6"/>
      </left>
      <right style="thin">
        <color rgb="FFc6c6c6"/>
      </right>
      <top style="thin">
        <color rgb="FFc6c6c6"/>
      </top>
      <bottom style="thin">
        <color rgb="FFc6c6c6"/>
      </bottom>
      <diagonal/>
    </border>
    <border>
      <left style="thin">
        <color rgb="FFc6c6c6"/>
      </left>
      <right style="medium">
        <color rgb="FF2e75b6"/>
      </right>
      <top style="thin">
        <color rgb="FFc6c6c6"/>
      </top>
      <bottom style="thin">
        <color rgb="FFc6c6c6"/>
      </bottom>
      <diagonal/>
    </border>
    <border>
      <left style="medium">
        <color rgb="FF2e75b6"/>
      </left>
      <right style="thin">
        <color rgb="FFc6c6c6"/>
      </right>
      <top style="thin">
        <color rgb="FFc6c6c6"/>
      </top>
      <bottom style="medium">
        <color rgb="FF2e75b6"/>
      </bottom>
      <diagonal/>
    </border>
    <border>
      <left style="thin">
        <color rgb="FFc6c6c6"/>
      </left>
      <right style="medium">
        <color rgb="FF2e75b6"/>
      </right>
      <top style="thin">
        <color rgb="FFc6c6c6"/>
      </top>
      <bottom style="medium">
        <color rgb="FF2e75b6"/>
      </bottom>
      <diagonal/>
    </border>
    <border>
      <left style="thin">
        <color rgb="FFc6c6c6"/>
      </left>
      <right style="medium">
        <color rgb="FFff3300"/>
      </right>
      <top style="thin">
        <color rgb="FFc6c6c6"/>
      </top>
      <bottom style="medium">
        <color rgb="FFff3300"/>
      </bottom>
      <diagonal/>
    </border>
    <border>
      <left style="medium">
        <color rgb="FF0070c0"/>
      </left>
      <right style="thin">
        <color rgb="FFc6c6c6"/>
      </right>
      <top style="medium">
        <color rgb="FF0070c0"/>
      </top>
      <bottom style="double">
        <color rgb="FF000000"/>
      </bottom>
      <diagonal/>
    </border>
    <border>
      <left style="thin">
        <color rgb="FF000000"/>
      </left>
      <right style="thin">
        <color rgb="FFc6c6c6"/>
      </right>
      <top style="medium">
        <color rgb="FF0070c0"/>
      </top>
      <bottom style="thin">
        <color rgb="FFc6c6c6"/>
      </bottom>
      <diagonal/>
    </border>
    <border>
      <left/>
      <right/>
      <top style="medium">
        <color rgb="FF0070c0"/>
      </top>
      <bottom/>
      <diagonal/>
    </border>
    <border>
      <left style="thin">
        <color rgb="FF000000"/>
      </left>
      <right style="thin">
        <color rgb="FF000000"/>
      </right>
      <top style="medium">
        <color rgb="FF0070c0"/>
      </top>
      <bottom style="thin">
        <color rgb="FFc6c6c6"/>
      </bottom>
      <diagonal/>
    </border>
    <border>
      <left/>
      <right style="thin">
        <color rgb="FF000000"/>
      </right>
      <top style="medium">
        <color rgb="FF0070c0"/>
      </top>
      <bottom/>
      <diagonal/>
    </border>
    <border>
      <left/>
      <right style="medium">
        <color rgb="FF0070c0"/>
      </right>
      <top style="medium">
        <color rgb="FF0070c0"/>
      </top>
      <bottom/>
      <diagonal/>
    </border>
    <border>
      <left style="medium">
        <color rgb="FF0070c0"/>
      </left>
      <right/>
      <top/>
      <bottom style="double">
        <color rgb="FF000000"/>
      </bottom>
      <diagonal/>
    </border>
    <border>
      <left style="thin">
        <color rgb="FF000000"/>
      </left>
      <right style="thin">
        <color rgb="FFc6c6c6"/>
      </right>
      <top style="thin">
        <color rgb="FFc6c6c6"/>
      </top>
      <bottom style="double">
        <color rgb="FF000000"/>
      </bottom>
      <diagonal/>
    </border>
    <border>
      <left style="thin">
        <color rgb="FF000000"/>
      </left>
      <right style="medium">
        <color rgb="FF0070c0"/>
      </right>
      <top style="thin">
        <color rgb="FFc6c6c6"/>
      </top>
      <bottom style="double">
        <color rgb="FF000000"/>
      </bottom>
      <diagonal/>
    </border>
    <border>
      <left/>
      <right/>
      <top style="medium">
        <color rgb="FF0070c0"/>
      </top>
      <bottom style="medium">
        <color rgb="FF0070c0"/>
      </bottom>
      <diagonal/>
    </border>
    <border>
      <left style="medium">
        <color rgb="FF0070c0"/>
      </left>
      <right style="thin">
        <color rgb="FFc6c6c6"/>
      </right>
      <top style="thin">
        <color rgb="FFc6c6c6"/>
      </top>
      <bottom style="double">
        <color rgb="FF000000"/>
      </bottom>
      <diagonal/>
    </border>
    <border>
      <left style="thin">
        <color rgb="FFc6c6c6"/>
      </left>
      <right style="thin">
        <color rgb="FFc6c6c6"/>
      </right>
      <top style="medium">
        <color rgb="FF0070c0"/>
      </top>
      <bottom style="double">
        <color rgb="FF000000"/>
      </bottom>
      <diagonal/>
    </border>
    <border>
      <left style="thin">
        <color rgb="FF000000"/>
      </left>
      <right style="thin">
        <color rgb="FF000000"/>
      </right>
      <top style="medium">
        <color rgb="FF0070c0"/>
      </top>
      <bottom style="double">
        <color rgb="FF000000"/>
      </bottom>
      <diagonal/>
    </border>
    <border>
      <left style="thin">
        <color rgb="FF000000"/>
      </left>
      <right style="medium">
        <color rgb="FF0070c0"/>
      </right>
      <top style="medium">
        <color rgb="FF0070c0"/>
      </top>
      <bottom style="double">
        <color rgb="FF000000"/>
      </bottom>
      <diagonal/>
    </border>
    <border>
      <left style="medium">
        <color rgb="FFff3300"/>
      </left>
      <right style="thin">
        <color rgb="FFc6c6c6"/>
      </right>
      <top style="medium">
        <color rgb="FFff3300"/>
      </top>
      <bottom style="double">
        <color rgb="FF000000"/>
      </bottom>
      <diagonal/>
    </border>
    <border>
      <left style="thin">
        <color rgb="FF000000"/>
      </left>
      <right style="thin">
        <color rgb="FFc6c6c6"/>
      </right>
      <top style="medium">
        <color rgb="FFff3300"/>
      </top>
      <bottom style="thin">
        <color rgb="FFc6c6c6"/>
      </bottom>
      <diagonal/>
    </border>
    <border>
      <left/>
      <right/>
      <top style="medium">
        <color rgb="FFff3300"/>
      </top>
      <bottom/>
      <diagonal/>
    </border>
    <border>
      <left style="thin">
        <color rgb="FF000000"/>
      </left>
      <right style="thin">
        <color rgb="FF000000"/>
      </right>
      <top style="medium">
        <color rgb="FFff3300"/>
      </top>
      <bottom style="thin">
        <color rgb="FFc6c6c6"/>
      </bottom>
      <diagonal/>
    </border>
    <border>
      <left/>
      <right style="thin">
        <color rgb="FF000000"/>
      </right>
      <top style="medium">
        <color rgb="FFff3300"/>
      </top>
      <bottom/>
      <diagonal/>
    </border>
    <border>
      <left style="medium">
        <color rgb="FFff3300"/>
      </left>
      <right/>
      <top/>
      <bottom style="double">
        <color rgb="FF000000"/>
      </bottom>
      <diagonal/>
    </border>
    <border>
      <left style="thin">
        <color rgb="FF000000"/>
      </left>
      <right style="thin">
        <color rgb="FF000000"/>
      </right>
      <top style="thin">
        <color rgb="FFc6c6c6"/>
      </top>
      <bottom style="double">
        <color rgb="FF000000"/>
      </bottom>
      <diagonal/>
    </border>
    <border>
      <left style="thin">
        <color rgb="FFc6c6c6"/>
      </left>
      <right style="thin">
        <color rgb="FFc6c6c6"/>
      </right>
      <top style="thin">
        <color rgb="FFc6c6c6"/>
      </top>
      <bottom style="double">
        <color rgb="FF000000"/>
      </bottom>
      <diagonal/>
    </border>
    <border>
      <left style="thin">
        <color rgb="FF000000"/>
      </left>
      <right style="medium">
        <color rgb="FFff3300"/>
      </right>
      <top style="thin">
        <color rgb="FFc6c6c6"/>
      </top>
      <bottom style="double">
        <color rgb="FF000000"/>
      </bottom>
      <diagonal/>
    </border>
    <border>
      <left style="thin">
        <color rgb="FFc6c6c6"/>
      </left>
      <right style="thin">
        <color rgb="FFc6c6c6"/>
      </right>
      <top style="medium">
        <color rgb="FFff3300"/>
      </top>
      <bottom style="double">
        <color rgb="FF000000"/>
      </bottom>
      <diagonal/>
    </border>
    <border>
      <left style="thin">
        <color rgb="FF000000"/>
      </left>
      <right style="thin">
        <color rgb="FF000000"/>
      </right>
      <top style="medium">
        <color rgb="FFff3300"/>
      </top>
      <bottom style="double">
        <color rgb="FF000000"/>
      </bottom>
      <diagonal/>
    </border>
    <border>
      <left style="thin">
        <color rgb="FF000000"/>
      </left>
      <right style="medium">
        <color rgb="FFff3300"/>
      </right>
      <top style="medium">
        <color rgb="FFff3300"/>
      </top>
      <bottom style="double">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000000"/>
      </left>
      <right style="thin">
        <color rgb="FFc6c6c6"/>
      </right>
      <top style="thin">
        <color rgb="FF000000"/>
      </top>
      <bottom style="thin">
        <color rgb="FFc6c6c6"/>
      </bottom>
      <diagonal/>
    </border>
    <border>
      <left/>
      <right style="medium">
        <color rgb="FFff0000"/>
      </right>
      <top style="thin">
        <color rgb="FF000000"/>
      </top>
      <bottom style="thin">
        <color rgb="FF000000"/>
      </bottom>
      <diagonal/>
    </border>
    <border>
      <left style="medium">
        <color rgb="FFff0000"/>
      </left>
      <right style="thin">
        <color rgb="FF808080"/>
      </right>
      <top style="medium">
        <color rgb="FFff0000"/>
      </top>
      <bottom style="thin">
        <color rgb="FF808080"/>
      </bottom>
      <diagonal/>
    </border>
    <border>
      <left style="thin">
        <color rgb="FF808080"/>
      </left>
      <right style="thin">
        <color rgb="FF808080"/>
      </right>
      <top style="medium">
        <color rgb="FFff0000"/>
      </top>
      <bottom style="thin">
        <color rgb="FF808080"/>
      </bottom>
      <diagonal/>
    </border>
    <border>
      <left style="thin">
        <color rgb="FF808080"/>
      </left>
      <right style="medium">
        <color rgb="FFff0000"/>
      </right>
      <top style="medium">
        <color rgb="FFff0000"/>
      </top>
      <bottom style="thin">
        <color rgb="FF808080"/>
      </bottom>
      <diagonal/>
    </border>
    <border>
      <left/>
      <right style="thin">
        <color rgb="FF000000"/>
      </right>
      <top style="thin">
        <color rgb="FF000000"/>
      </top>
      <bottom/>
      <diagonal/>
    </border>
    <border>
      <left style="medium">
        <color rgb="FFff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medium">
        <color rgb="FFff0000"/>
      </right>
      <top style="thin">
        <color rgb="FF808080"/>
      </top>
      <bottom style="thin">
        <color rgb="FF808080"/>
      </bottom>
      <diagonal/>
    </border>
    <border>
      <left/>
      <right style="thin">
        <color rgb="FF000000"/>
      </right>
      <top/>
      <bottom/>
      <diagonal/>
    </border>
    <border>
      <left style="medium">
        <color rgb="FFff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medium">
        <color rgb="FFff0000"/>
      </right>
      <top style="thin">
        <color rgb="FF000000"/>
      </top>
      <bottom style="thin">
        <color rgb="FF808080"/>
      </bottom>
      <diagonal/>
    </border>
    <border>
      <left style="thin">
        <color rgb="FF000000"/>
      </left>
      <right style="thin">
        <color rgb="FFc6c6c6"/>
      </right>
      <top style="thin">
        <color rgb="FFc6c6c6"/>
      </top>
      <bottom style="thin">
        <color rgb="FF000000"/>
      </bottom>
      <diagonal/>
    </border>
    <border>
      <left style="medium">
        <color rgb="FFff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medium">
        <color rgb="FFff0000"/>
      </right>
      <top style="thin">
        <color rgb="FF808080"/>
      </top>
      <bottom style="thin">
        <color rgb="FF000000"/>
      </bottom>
      <diagonal/>
    </border>
    <border>
      <left/>
      <right style="thin">
        <color rgb="FF000000"/>
      </right>
      <top/>
      <bottom style="thin">
        <color rgb="FF000000"/>
      </bottom>
      <diagonal/>
    </border>
    <border>
      <left style="medium">
        <color rgb="FFff0000"/>
      </left>
      <right style="thin">
        <color rgb="FF808080"/>
      </right>
      <top style="thin">
        <color rgb="FF808080"/>
      </top>
      <bottom style="medium">
        <color rgb="FFff0000"/>
      </bottom>
      <diagonal/>
    </border>
    <border>
      <left style="thin">
        <color rgb="FF808080"/>
      </left>
      <right style="thin">
        <color rgb="FF808080"/>
      </right>
      <top style="thin">
        <color rgb="FF808080"/>
      </top>
      <bottom style="medium">
        <color rgb="FFff0000"/>
      </bottom>
      <diagonal/>
    </border>
    <border>
      <left style="thin">
        <color rgb="FF808080"/>
      </left>
      <right style="medium">
        <color rgb="FFff0000"/>
      </right>
      <top style="thin">
        <color rgb="FF808080"/>
      </top>
      <bottom style="medium">
        <color rgb="FFff0000"/>
      </bottom>
      <diagonal/>
    </border>
    <border>
      <left style="thin">
        <color rgb="FF000000"/>
      </left>
      <right style="thin">
        <color rgb="FFc6c6c6"/>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c6c6c6"/>
      </right>
      <top style="thin">
        <color rgb="FFc6c6c6"/>
      </top>
      <bottom style="medium">
        <color rgb="FF0070c0"/>
      </bottom>
      <diagonal/>
    </border>
    <border>
      <left style="thin">
        <color rgb="FF000000"/>
      </left>
      <right style="thin">
        <color rgb="FF000000"/>
      </right>
      <top style="thin">
        <color rgb="FFc6c6c6"/>
      </top>
      <bottom style="medium">
        <color rgb="FF0070c0"/>
      </bottom>
      <diagonal/>
    </border>
    <border>
      <left style="thin">
        <color rgb="FF000000"/>
      </left>
      <right style="medium">
        <color rgb="FF0070c0"/>
      </right>
      <top style="double">
        <color rgb="FF000000"/>
      </top>
      <bottom style="thin">
        <color rgb="FFc6c6c6"/>
      </bottom>
      <diagonal/>
    </border>
    <border>
      <left style="thin">
        <color rgb="FF000000"/>
      </left>
      <right style="medium">
        <color rgb="FF0070c0"/>
      </right>
      <top style="thin">
        <color rgb="FFc6c6c6"/>
      </top>
      <bottom style="medium">
        <color rgb="FF0070c0"/>
      </bottom>
      <diagonal/>
    </border>
    <border>
      <left style="thin">
        <color rgb="FFc6c6c6"/>
      </left>
      <right style="thin">
        <color rgb="FFc6c6c6"/>
      </right>
      <top style="thin">
        <color rgb="FFc6c6c6"/>
      </top>
      <bottom style="medium">
        <color rgb="FF0070c0"/>
      </bottom>
      <diagonal/>
    </border>
    <border>
      <left style="thin">
        <color rgb="FF000000"/>
      </left>
      <right style="medium">
        <color rgb="FFff3300"/>
      </right>
      <top style="thin">
        <color rgb="FFc6c6c6"/>
      </top>
      <bottom style="thin">
        <color rgb="FFc6c6c6"/>
      </bottom>
      <diagonal/>
    </border>
    <border>
      <left style="thin">
        <color rgb="FF000000"/>
      </left>
      <right style="thin">
        <color rgb="FFc6c6c6"/>
      </right>
      <top style="thin">
        <color rgb="FFc6c6c6"/>
      </top>
      <bottom style="medium">
        <color rgb="FFff3300"/>
      </bottom>
      <diagonal/>
    </border>
    <border>
      <left style="thin">
        <color rgb="FF000000"/>
      </left>
      <right style="thin">
        <color rgb="FF000000"/>
      </right>
      <top style="thin">
        <color rgb="FFc6c6c6"/>
      </top>
      <bottom style="medium">
        <color rgb="FFff3300"/>
      </bottom>
      <diagonal/>
    </border>
    <border>
      <left style="thin">
        <color rgb="FFc6c6c6"/>
      </left>
      <right style="thin">
        <color rgb="FFc6c6c6"/>
      </right>
      <top style="thin">
        <color rgb="FFc6c6c6"/>
      </top>
      <bottom style="medium">
        <color rgb="FFff3300"/>
      </bottom>
      <diagonal/>
    </border>
    <border>
      <left style="thin">
        <color rgb="FF000000"/>
      </left>
      <right style="medium">
        <color rgb="FFff3300"/>
      </right>
      <top style="thin">
        <color rgb="FFc6c6c6"/>
      </top>
      <bottom style="medium">
        <color rgb="FFff3300"/>
      </bottom>
      <diagonal/>
    </border>
  </borders>
  <cellStyleXfs count="1">
    <xf numFmtId="0" fontId="0" fillId="0" borderId="0"/>
  </cellStyleXfs>
  <cellXfs count="685">
    <xf xfId="0" numFmtId="0" borderId="0" fontId="0" fillId="0"/>
    <xf xfId="0" numFmtId="0" borderId="0" fontId="0" fillId="0" applyAlignment="1">
      <alignment horizontal="general"/>
    </xf>
    <xf xfId="0" numFmtId="3" applyNumberFormat="1" borderId="0" fontId="0" fillId="0" applyAlignment="1">
      <alignment horizontal="general"/>
    </xf>
    <xf xfId="0" numFmtId="0" borderId="1" applyBorder="1" fontId="1" applyFont="1" fillId="0" applyAlignment="1">
      <alignment horizontal="right"/>
    </xf>
    <xf xfId="0" numFmtId="0" borderId="1" applyBorder="1" fontId="2" applyFont="1" fillId="0" applyAlignment="1">
      <alignment horizontal="right"/>
    </xf>
    <xf xfId="0" numFmtId="0" borderId="1" applyBorder="1" fontId="3" applyFont="1" fillId="0" applyAlignment="1">
      <alignment horizontal="left"/>
    </xf>
    <xf xfId="0" numFmtId="0" borderId="1" applyBorder="1" fontId="4" applyFont="1" fillId="0" applyAlignment="1">
      <alignment horizontal="left"/>
    </xf>
    <xf xfId="0" numFmtId="164" applyNumberFormat="1" borderId="1" applyBorder="1" fontId="4" applyFont="1" fillId="0" applyAlignment="1">
      <alignment horizontal="right"/>
    </xf>
    <xf xfId="0" numFmtId="0" borderId="2" applyBorder="1" fontId="4" applyFont="1" fillId="2" applyFill="1" applyAlignment="1">
      <alignment horizontal="left"/>
    </xf>
    <xf xfId="0" numFmtId="0" borderId="2" applyBorder="1" fontId="4" applyFont="1" fillId="2" applyFill="1" applyAlignment="1">
      <alignment horizontal="right"/>
    </xf>
    <xf xfId="0" numFmtId="0" borderId="1" applyBorder="1" fontId="4" applyFont="1" fillId="0" applyAlignment="1">
      <alignment horizontal="right"/>
    </xf>
    <xf xfId="0" numFmtId="0" borderId="1" applyBorder="1" fontId="5" applyFont="1" fillId="0" applyAlignment="1">
      <alignment horizontal="left"/>
    </xf>
    <xf xfId="0" numFmtId="0" borderId="3" applyBorder="1" fontId="6" applyFont="1" fillId="0" applyAlignment="1">
      <alignment horizontal="center" vertical="top" wrapText="1"/>
    </xf>
    <xf xfId="0" numFmtId="0" borderId="4" applyBorder="1" fontId="5" applyFont="1" fillId="0" applyAlignment="1">
      <alignment horizontal="left"/>
    </xf>
    <xf xfId="0" numFmtId="0" borderId="5" applyBorder="1" fontId="5" applyFont="1" fillId="0" applyAlignment="1">
      <alignment horizontal="left"/>
    </xf>
    <xf xfId="0" numFmtId="0" borderId="1" applyBorder="1" fontId="7" applyFont="1" fillId="0" applyAlignment="1">
      <alignment horizontal="left"/>
    </xf>
    <xf xfId="0" numFmtId="0" borderId="6" applyBorder="1" fontId="5" applyFont="1" fillId="0" applyAlignment="1">
      <alignment horizontal="left"/>
    </xf>
    <xf xfId="0" numFmtId="0" borderId="7" applyBorder="1" fontId="5" applyFont="1" fillId="0" applyAlignment="1">
      <alignment horizontal="left"/>
    </xf>
    <xf xfId="0" numFmtId="3" applyNumberFormat="1" borderId="1" applyBorder="1" fontId="5" applyFont="1" fillId="0" applyAlignment="1">
      <alignment horizontal="left"/>
    </xf>
    <xf xfId="0" numFmtId="0" borderId="8" applyBorder="1" fontId="4" applyFont="1" fillId="0" applyAlignment="1">
      <alignment horizontal="right"/>
    </xf>
    <xf xfId="0" numFmtId="0" borderId="9" applyBorder="1" fontId="4" applyFont="1" fillId="0" applyAlignment="1">
      <alignment horizontal="right"/>
    </xf>
    <xf xfId="0" numFmtId="0" borderId="10" applyBorder="1" fontId="5" applyFont="1" fillId="0" applyAlignment="1">
      <alignment horizontal="left"/>
    </xf>
    <xf xfId="0" numFmtId="0" borderId="11" applyBorder="1" fontId="5" applyFont="1" fillId="0" applyAlignment="1">
      <alignment horizontal="left"/>
    </xf>
    <xf xfId="0" numFmtId="0" borderId="1" applyBorder="1" fontId="8" applyFont="1" fillId="0" applyAlignment="1">
      <alignment horizontal="center"/>
    </xf>
    <xf xfId="0" numFmtId="165" applyNumberFormat="1" borderId="1" applyBorder="1" fontId="8" applyFont="1" fillId="0" applyAlignment="1">
      <alignment horizontal="center"/>
    </xf>
    <xf xfId="0" numFmtId="0" borderId="1" applyBorder="1" fontId="8" applyFont="1" fillId="0" applyAlignment="1">
      <alignment horizontal="right"/>
    </xf>
    <xf xfId="0" numFmtId="0" borderId="1" applyBorder="1" fontId="4" applyFont="1" fillId="0" applyAlignment="1">
      <alignment horizontal="right"/>
    </xf>
    <xf xfId="0" numFmtId="0" borderId="12" applyBorder="1" fontId="8" applyFont="1" fillId="3" applyFill="1" applyAlignment="1">
      <alignment horizontal="center" wrapText="1"/>
    </xf>
    <xf xfId="0" numFmtId="0" borderId="13" applyBorder="1" fontId="5" applyFont="1" fillId="0" applyAlignment="1">
      <alignment horizontal="left"/>
    </xf>
    <xf xfId="0" numFmtId="1" applyNumberFormat="1" borderId="14" applyBorder="1" fontId="8" applyFont="1" fillId="0" applyAlignment="1">
      <alignment horizontal="center"/>
    </xf>
    <xf xfId="0" numFmtId="1" applyNumberFormat="1" borderId="15" applyBorder="1" fontId="8" applyFont="1" fillId="0" applyAlignment="1">
      <alignment horizontal="center"/>
    </xf>
    <xf xfId="0" numFmtId="0" borderId="16" applyBorder="1" fontId="8" applyFont="1" fillId="3" applyFill="1" applyAlignment="1">
      <alignment horizontal="center" wrapText="1"/>
    </xf>
    <xf xfId="0" numFmtId="0" borderId="17" applyBorder="1" fontId="5" applyFont="1" fillId="0" applyAlignment="1">
      <alignment horizontal="left"/>
    </xf>
    <xf xfId="0" numFmtId="166" applyNumberFormat="1" borderId="18" applyBorder="1" fontId="8" applyFont="1" fillId="0" applyAlignment="1">
      <alignment horizontal="right"/>
    </xf>
    <xf xfId="0" numFmtId="166" applyNumberFormat="1" borderId="19" applyBorder="1" fontId="8" applyFont="1" fillId="0" applyAlignment="1">
      <alignment horizontal="right"/>
    </xf>
    <xf xfId="0" numFmtId="0" borderId="12" applyBorder="1" fontId="8" applyFont="1" fillId="4" applyFill="1" applyAlignment="1">
      <alignment horizontal="center"/>
    </xf>
    <xf xfId="0" numFmtId="1" applyNumberFormat="1" borderId="13" applyBorder="1" fontId="8" applyFont="1" fillId="0" applyAlignment="1">
      <alignment horizontal="center"/>
    </xf>
    <xf xfId="0" numFmtId="0" borderId="16" applyBorder="1" fontId="8" applyFont="1" fillId="4" applyFill="1" applyAlignment="1">
      <alignment horizontal="center"/>
    </xf>
    <xf xfId="0" numFmtId="166" applyNumberFormat="1" borderId="17" applyBorder="1" fontId="8" applyFont="1" fillId="0" applyAlignment="1">
      <alignment horizontal="right"/>
    </xf>
    <xf xfId="0" numFmtId="0" borderId="20" applyBorder="1" fontId="8" applyFont="1" fillId="3" applyFill="1" applyAlignment="1">
      <alignment horizontal="center" wrapText="1"/>
    </xf>
    <xf xfId="0" numFmtId="3" applyNumberFormat="1" borderId="21" applyBorder="1" fontId="5" applyFont="1" fillId="0" applyAlignment="1">
      <alignment horizontal="left"/>
    </xf>
    <xf xfId="0" numFmtId="0" borderId="21" applyBorder="1" fontId="5" applyFont="1" fillId="0" applyAlignment="1">
      <alignment horizontal="left"/>
    </xf>
    <xf xfId="0" numFmtId="0" borderId="22" applyBorder="1" fontId="5" applyFont="1" fillId="0" applyAlignment="1">
      <alignment horizontal="left"/>
    </xf>
    <xf xfId="0" numFmtId="0" borderId="23" applyBorder="1" fontId="8" applyFont="1" fillId="0" applyAlignment="1">
      <alignment horizontal="center"/>
    </xf>
    <xf xfId="0" numFmtId="3" applyNumberFormat="1" borderId="24" applyBorder="1" fontId="8" applyFont="1" fillId="0" applyAlignment="1">
      <alignment horizontal="center" wrapText="1"/>
    </xf>
    <xf xfId="0" numFmtId="0" borderId="25" applyBorder="1" fontId="5" applyFont="1" fillId="0" applyAlignment="1">
      <alignment horizontal="left"/>
    </xf>
    <xf xfId="0" numFmtId="0" borderId="26" applyBorder="1" fontId="8" applyFont="1" fillId="0" applyAlignment="1">
      <alignment horizontal="center" wrapText="1"/>
    </xf>
    <xf xfId="0" numFmtId="0" borderId="27" applyBorder="1" fontId="5" applyFont="1" fillId="0" applyAlignment="1">
      <alignment horizontal="left"/>
    </xf>
    <xf xfId="0" numFmtId="0" borderId="23" applyBorder="1" fontId="8" applyFont="1" fillId="0" applyAlignment="1">
      <alignment horizontal="center" wrapText="1"/>
    </xf>
    <xf xfId="0" numFmtId="3" applyNumberFormat="1" borderId="24" applyBorder="1" fontId="8" applyFont="1" fillId="0" applyAlignment="1">
      <alignment horizontal="center"/>
    </xf>
    <xf xfId="0" numFmtId="167" applyNumberFormat="1" borderId="26" applyBorder="1" fontId="8" applyFont="1" fillId="0" applyAlignment="1">
      <alignment horizontal="center"/>
    </xf>
    <xf xfId="0" numFmtId="0" borderId="16" applyBorder="1" fontId="8" applyFont="1" fillId="0" applyAlignment="1">
      <alignment horizontal="center" wrapText="1"/>
    </xf>
    <xf xfId="0" numFmtId="167" applyNumberFormat="1" borderId="18" applyBorder="1" fontId="8" applyFont="1" fillId="0" applyAlignment="1">
      <alignment horizontal="center"/>
    </xf>
    <xf xfId="0" numFmtId="167" applyNumberFormat="1" borderId="19" applyBorder="1" fontId="8" applyFont="1" fillId="0" applyAlignment="1">
      <alignment horizontal="center"/>
    </xf>
    <xf xfId="0" numFmtId="0" borderId="28" applyBorder="1" fontId="5" applyFont="1" fillId="0" applyAlignment="1">
      <alignment horizontal="left"/>
    </xf>
    <xf xfId="0" numFmtId="168" applyNumberFormat="1" borderId="1" applyBorder="1" fontId="8" applyFont="1" fillId="0" applyAlignment="1">
      <alignment horizontal="center"/>
    </xf>
    <xf xfId="0" numFmtId="0" borderId="29" applyBorder="1" fontId="8" applyFont="1" fillId="3" applyFill="1" applyAlignment="1">
      <alignment horizontal="center"/>
    </xf>
    <xf xfId="0" numFmtId="0" borderId="30" applyBorder="1" fontId="8" applyFont="1" fillId="3" applyFill="1" applyAlignment="1">
      <alignment horizontal="center"/>
    </xf>
    <xf xfId="0" numFmtId="3" applyNumberFormat="1" borderId="30" applyBorder="1" fontId="8" applyFont="1" fillId="3" applyFill="1" applyAlignment="1">
      <alignment horizontal="center"/>
    </xf>
    <xf xfId="0" numFmtId="0" borderId="31" applyBorder="1" fontId="8" applyFont="1" fillId="3" applyFill="1" applyAlignment="1">
      <alignment horizontal="center"/>
    </xf>
    <xf xfId="0" numFmtId="0" borderId="2" applyBorder="1" fontId="8" applyFont="1" fillId="5" applyFill="1" applyAlignment="1">
      <alignment horizontal="left"/>
    </xf>
    <xf xfId="0" numFmtId="0" borderId="32" applyBorder="1" fontId="8" applyFont="1" fillId="3" applyFill="1" applyAlignment="1">
      <alignment horizontal="center" vertical="top" wrapText="1"/>
    </xf>
    <xf xfId="0" numFmtId="0" borderId="15" applyBorder="1" fontId="8" applyFont="1" fillId="3" applyFill="1" applyAlignment="1">
      <alignment horizontal="center" vertical="top" wrapText="1"/>
    </xf>
    <xf xfId="0" numFmtId="0" borderId="33" applyBorder="1" fontId="8" applyFont="1" fillId="3" applyFill="1" applyAlignment="1">
      <alignment horizontal="center"/>
    </xf>
    <xf xfId="0" numFmtId="0" borderId="34" applyBorder="1" fontId="8" applyFont="1" fillId="3" applyFill="1" applyAlignment="1">
      <alignment horizontal="center"/>
    </xf>
    <xf xfId="0" numFmtId="3" applyNumberFormat="1" borderId="34" applyBorder="1" fontId="8" applyFont="1" fillId="3" applyFill="1" applyAlignment="1">
      <alignment horizontal="center"/>
    </xf>
    <xf xfId="0" numFmtId="0" borderId="35" applyBorder="1" fontId="8" applyFont="1" fillId="3" applyFill="1" applyAlignment="1">
      <alignment horizontal="center"/>
    </xf>
    <xf xfId="0" numFmtId="0" borderId="2" applyBorder="1" fontId="8" applyFont="1" fillId="5" applyFill="1" applyAlignment="1">
      <alignment horizontal="center"/>
    </xf>
    <xf xfId="0" numFmtId="0" borderId="36" applyBorder="1" fontId="5" applyFont="1" fillId="0" applyAlignment="1">
      <alignment horizontal="left"/>
    </xf>
    <xf xfId="0" numFmtId="0" borderId="37" applyBorder="1" fontId="5" applyFont="1" fillId="0" applyAlignment="1">
      <alignment horizontal="left"/>
    </xf>
    <xf xfId="0" numFmtId="0" borderId="38" applyBorder="1" fontId="8" applyFont="1" fillId="0" applyAlignment="1">
      <alignment horizontal="center"/>
    </xf>
    <xf xfId="0" numFmtId="165" applyNumberFormat="1" borderId="39" applyBorder="1" fontId="8" applyFont="1" fillId="0" applyAlignment="1">
      <alignment horizontal="center"/>
    </xf>
    <xf xfId="0" numFmtId="165" applyNumberFormat="1" borderId="37" applyBorder="1" fontId="8" applyFont="1" fillId="0" applyAlignment="1">
      <alignment horizontal="center"/>
    </xf>
    <xf xfId="0" numFmtId="1" applyNumberFormat="1" borderId="23" applyBorder="1" fontId="8" applyFont="1" fillId="0" applyAlignment="1">
      <alignment horizontal="center"/>
    </xf>
    <xf xfId="0" numFmtId="169" applyNumberFormat="1" borderId="26" applyBorder="1" fontId="8" applyFont="1" fillId="0" applyAlignment="1">
      <alignment horizontal="center"/>
    </xf>
    <xf xfId="0" numFmtId="165" applyNumberFormat="1" borderId="24" applyBorder="1" fontId="8" applyFont="1" fillId="0" applyAlignment="1">
      <alignment horizontal="center"/>
    </xf>
    <xf xfId="0" numFmtId="165" applyNumberFormat="1" borderId="26" applyBorder="1" fontId="8" applyFont="1" fillId="0" applyAlignment="1">
      <alignment horizontal="center"/>
    </xf>
    <xf xfId="0" numFmtId="1" applyNumberFormat="1" borderId="16" applyBorder="1" fontId="8" applyFont="1" fillId="0" applyAlignment="1">
      <alignment horizontal="center"/>
    </xf>
    <xf xfId="0" numFmtId="169" applyNumberFormat="1" borderId="19" applyBorder="1" fontId="8" applyFont="1" fillId="0" applyAlignment="1">
      <alignment horizontal="center"/>
    </xf>
    <xf xfId="0" numFmtId="165" applyNumberFormat="1" borderId="18" applyBorder="1" fontId="8" applyFont="1" fillId="0" applyAlignment="1">
      <alignment horizontal="center"/>
    </xf>
    <xf xfId="0" numFmtId="165" applyNumberFormat="1" borderId="19" applyBorder="1" fontId="8" applyFont="1" fillId="0" applyAlignment="1">
      <alignment horizontal="center"/>
    </xf>
    <xf xfId="0" numFmtId="0" borderId="20" applyBorder="1" fontId="8" applyFont="1" fillId="4" applyFill="1" applyAlignment="1">
      <alignment horizontal="center" wrapText="1"/>
    </xf>
    <xf xfId="0" numFmtId="0" borderId="29" applyBorder="1" fontId="8" applyFont="1" fillId="4" applyFill="1" applyAlignment="1">
      <alignment horizontal="center"/>
    </xf>
    <xf xfId="0" numFmtId="0" borderId="30" applyBorder="1" fontId="8" applyFont="1" fillId="4" applyFill="1" applyAlignment="1">
      <alignment horizontal="center"/>
    </xf>
    <xf xfId="0" numFmtId="3" applyNumberFormat="1" borderId="30" applyBorder="1" fontId="8" applyFont="1" fillId="4" applyFill="1" applyAlignment="1">
      <alignment horizontal="center"/>
    </xf>
    <xf xfId="0" numFmtId="0" borderId="31" applyBorder="1" fontId="8" applyFont="1" fillId="4" applyFill="1" applyAlignment="1">
      <alignment horizontal="center"/>
    </xf>
    <xf xfId="0" numFmtId="0" borderId="32" applyBorder="1" fontId="8" applyFont="1" fillId="4" applyFill="1" applyAlignment="1">
      <alignment horizontal="center" vertical="top" wrapText="1"/>
    </xf>
    <xf xfId="0" numFmtId="0" borderId="15" applyBorder="1" fontId="8" applyFont="1" fillId="4" applyFill="1" applyAlignment="1">
      <alignment horizontal="center" vertical="top" wrapText="1"/>
    </xf>
    <xf xfId="0" numFmtId="0" borderId="33" applyBorder="1" fontId="8" applyFont="1" fillId="4" applyFill="1" applyAlignment="1">
      <alignment horizontal="center"/>
    </xf>
    <xf xfId="0" numFmtId="0" borderId="34" applyBorder="1" fontId="8" applyFont="1" fillId="4" applyFill="1" applyAlignment="1">
      <alignment horizontal="center"/>
    </xf>
    <xf xfId="0" numFmtId="3" applyNumberFormat="1" borderId="34" applyBorder="1" fontId="8" applyFont="1" fillId="4" applyFill="1" applyAlignment="1">
      <alignment horizontal="center"/>
    </xf>
    <xf xfId="0" numFmtId="0" borderId="35" applyBorder="1" fontId="8" applyFont="1" fillId="4" applyFill="1" applyAlignment="1">
      <alignment horizontal="center"/>
    </xf>
    <xf xfId="0" numFmtId="0" borderId="0" fontId="0" fillId="0" applyAlignment="1">
      <alignment horizontal="general"/>
    </xf>
    <xf xfId="0" numFmtId="3" applyNumberFormat="1" borderId="0" fontId="0" fillId="0" applyAlignment="1">
      <alignment horizontal="general"/>
    </xf>
    <xf xfId="0" numFmtId="0" borderId="0" fontId="0" fillId="0" applyAlignment="1">
      <alignment horizontal="general" wrapText="1"/>
    </xf>
    <xf xfId="0" numFmtId="168" applyNumberFormat="1" borderId="0" fontId="0" fillId="0" applyAlignment="1">
      <alignment horizontal="general"/>
    </xf>
    <xf xfId="0" numFmtId="4" applyNumberFormat="1" borderId="0" fontId="0" fillId="0" applyAlignment="1">
      <alignment horizontal="general"/>
    </xf>
    <xf xfId="0" numFmtId="0" borderId="1" applyBorder="1" fontId="9" applyFont="1" fillId="0" applyAlignment="1">
      <alignment horizontal="left"/>
    </xf>
    <xf xfId="0" numFmtId="0" borderId="40" applyBorder="1" fontId="10" applyFont="1" fillId="6" applyFill="1" applyAlignment="1">
      <alignment horizontal="left"/>
    </xf>
    <xf xfId="0" numFmtId="0" borderId="41" applyBorder="1" fontId="11" applyFont="1" fillId="6" applyFill="1" applyAlignment="1">
      <alignment horizontal="left"/>
    </xf>
    <xf xfId="0" numFmtId="0" borderId="42" applyBorder="1" fontId="11" applyFont="1" fillId="6" applyFill="1" applyAlignment="1">
      <alignment horizontal="left"/>
    </xf>
    <xf xfId="0" numFmtId="0" borderId="29" applyBorder="1" fontId="12" applyFont="1" fillId="7" applyFill="1" applyAlignment="1">
      <alignment horizontal="left"/>
    </xf>
    <xf xfId="0" numFmtId="168" applyNumberFormat="1" borderId="30" applyBorder="1" fontId="5" applyFont="1" fillId="7" applyFill="1" applyAlignment="1">
      <alignment horizontal="left"/>
    </xf>
    <xf xfId="0" numFmtId="4" applyNumberFormat="1" borderId="31" applyBorder="1" fontId="5" applyFont="1" fillId="7" applyFill="1" applyAlignment="1">
      <alignment horizontal="left"/>
    </xf>
    <xf xfId="0" numFmtId="0" borderId="2" applyBorder="1" fontId="13" applyFont="1" fillId="8" applyFill="1" applyAlignment="1">
      <alignment horizontal="center" vertical="top" wrapText="1"/>
    </xf>
    <xf xfId="0" numFmtId="0" borderId="2" applyBorder="1" fontId="5" applyFont="1" fillId="8" applyFill="1" applyAlignment="1">
      <alignment horizontal="left"/>
    </xf>
    <xf xfId="0" numFmtId="0" borderId="2" applyBorder="1" fontId="5" applyFont="1" fillId="9" applyFill="1" applyAlignment="1">
      <alignment horizontal="left"/>
    </xf>
    <xf xfId="0" numFmtId="170" applyNumberFormat="1" borderId="2" applyBorder="1" fontId="5" applyFont="1" fillId="9" applyFill="1" applyAlignment="1">
      <alignment horizontal="right"/>
    </xf>
    <xf xfId="0" numFmtId="0" borderId="43" applyBorder="1" fontId="5" applyFont="1" fillId="10" applyFill="1" applyAlignment="1">
      <alignment horizontal="left"/>
    </xf>
    <xf xfId="0" numFmtId="0" borderId="12" applyBorder="1" fontId="14" applyFont="1" fillId="11" applyFill="1" applyAlignment="1">
      <alignment horizontal="center"/>
    </xf>
    <xf xfId="0" numFmtId="0" borderId="14" applyBorder="1" fontId="15" applyFont="1" fillId="11" applyFill="1" applyAlignment="1">
      <alignment horizontal="center"/>
    </xf>
    <xf xfId="0" numFmtId="0" borderId="15" applyBorder="1" fontId="15" applyFont="1" fillId="11" applyFill="1" applyAlignment="1">
      <alignment horizontal="center"/>
    </xf>
    <xf xfId="0" numFmtId="0" borderId="44" applyBorder="1" fontId="5" applyFont="1" fillId="10" applyFill="1" applyAlignment="1">
      <alignment horizontal="left"/>
    </xf>
    <xf xfId="0" numFmtId="0" borderId="45" applyBorder="1" fontId="5" applyFont="1" fillId="7" applyFill="1" applyAlignment="1">
      <alignment horizontal="left"/>
    </xf>
    <xf xfId="0" numFmtId="168" applyNumberFormat="1" borderId="2" applyBorder="1" fontId="5" applyFont="1" fillId="7" applyFill="1" applyAlignment="1">
      <alignment horizontal="left"/>
    </xf>
    <xf xfId="0" numFmtId="4" applyNumberFormat="1" borderId="46" applyBorder="1" fontId="5" applyFont="1" fillId="7" applyFill="1" applyAlignment="1">
      <alignment horizontal="left"/>
    </xf>
    <xf xfId="0" numFmtId="1" applyNumberFormat="1" borderId="2" applyBorder="1" fontId="5" applyFont="1" fillId="8" applyFill="1" applyAlignment="1">
      <alignment horizontal="left"/>
    </xf>
    <xf xfId="0" numFmtId="0" borderId="43" applyBorder="1" fontId="12" applyFont="1" fillId="10" applyFill="1" applyAlignment="1">
      <alignment horizontal="right"/>
    </xf>
    <xf xfId="0" numFmtId="0" borderId="16" applyBorder="1" fontId="15" applyFont="1" fillId="11" applyFill="1" applyAlignment="1">
      <alignment horizontal="center"/>
    </xf>
    <xf xfId="0" numFmtId="169" applyNumberFormat="1" borderId="18" applyBorder="1" fontId="15" applyFont="1" fillId="11" applyFill="1" applyAlignment="1">
      <alignment horizontal="center"/>
    </xf>
    <xf xfId="0" numFmtId="169" applyNumberFormat="1" borderId="19" applyBorder="1" fontId="15" applyFont="1" fillId="11" applyFill="1" applyAlignment="1">
      <alignment horizontal="center"/>
    </xf>
    <xf xfId="0" numFmtId="168" applyNumberFormat="1" borderId="2" applyBorder="1" fontId="8" applyFont="1" fillId="7" applyFill="1" applyAlignment="1">
      <alignment horizontal="right"/>
    </xf>
    <xf xfId="0" numFmtId="4" applyNumberFormat="1" borderId="46" applyBorder="1" fontId="5" applyFont="1" fillId="7" applyFill="1" applyAlignment="1">
      <alignment horizontal="right"/>
    </xf>
    <xf xfId="0" numFmtId="0" borderId="47" applyBorder="1" fontId="16" applyFont="1" fillId="12" applyFill="1" applyAlignment="1">
      <alignment horizontal="center"/>
    </xf>
    <xf xfId="0" numFmtId="168" applyNumberFormat="1" borderId="18" applyBorder="1" fontId="16" applyFont="1" fillId="12" applyFill="1" applyAlignment="1">
      <alignment horizontal="center"/>
    </xf>
    <xf xfId="0" numFmtId="168" applyNumberFormat="1" borderId="19" applyBorder="1" fontId="16" applyFont="1" fillId="12" applyFill="1" applyAlignment="1">
      <alignment horizontal="center"/>
    </xf>
    <xf xfId="0" numFmtId="0" borderId="2" applyBorder="1" fontId="8" applyFont="1" fillId="10" applyFill="1" applyAlignment="1">
      <alignment horizontal="left"/>
    </xf>
    <xf xfId="0" numFmtId="0" borderId="2" applyBorder="1" fontId="5" applyFont="1" fillId="10" applyFill="1" applyAlignment="1">
      <alignment horizontal="left"/>
    </xf>
    <xf xfId="0" numFmtId="0" borderId="47" applyBorder="1" fontId="5" applyFont="1" fillId="7" applyFill="1" applyAlignment="1">
      <alignment horizontal="left"/>
    </xf>
    <xf xfId="0" numFmtId="171" applyNumberFormat="1" borderId="48" applyBorder="1" fontId="5" applyFont="1" fillId="7" applyFill="1" applyAlignment="1">
      <alignment horizontal="right"/>
    </xf>
    <xf xfId="0" numFmtId="171" applyNumberFormat="1" borderId="49" applyBorder="1" fontId="5" applyFont="1" fillId="7" applyFill="1" applyAlignment="1">
      <alignment horizontal="right"/>
    </xf>
    <xf xfId="0" numFmtId="167" applyNumberFormat="1" borderId="18" applyBorder="1" fontId="15" applyFont="1" fillId="11" applyFill="1" applyAlignment="1">
      <alignment horizontal="center"/>
    </xf>
    <xf xfId="0" numFmtId="167" applyNumberFormat="1" borderId="19" applyBorder="1" fontId="15" applyFont="1" fillId="11" applyFill="1" applyAlignment="1">
      <alignment horizontal="center"/>
    </xf>
    <xf xfId="0" numFmtId="0" borderId="50" applyBorder="1" fontId="12" applyFont="1" fillId="10" applyFill="1" applyAlignment="1">
      <alignment horizontal="right"/>
    </xf>
    <xf xfId="0" numFmtId="0" borderId="51" applyBorder="1" fontId="16" applyFont="1" fillId="12" applyFill="1" applyAlignment="1">
      <alignment horizontal="center"/>
    </xf>
    <xf xfId="0" numFmtId="167" applyNumberFormat="1" borderId="52" applyBorder="1" fontId="16" applyFont="1" fillId="12" applyFill="1" applyAlignment="1">
      <alignment horizontal="center"/>
    </xf>
    <xf xfId="0" numFmtId="167" applyNumberFormat="1" borderId="53" applyBorder="1" fontId="16" applyFont="1" fillId="12" applyFill="1" applyAlignment="1">
      <alignment horizontal="center"/>
    </xf>
    <xf xfId="0" numFmtId="0" borderId="54" applyBorder="1" fontId="17" applyFont="1" fillId="3" applyFill="1" applyAlignment="1">
      <alignment horizontal="left"/>
    </xf>
    <xf xfId="0" numFmtId="0" borderId="55" applyBorder="1" fontId="18" applyFont="1" fillId="3" applyFill="1" applyAlignment="1">
      <alignment horizontal="left"/>
    </xf>
    <xf xfId="0" numFmtId="0" borderId="56" applyBorder="1" fontId="18" applyFont="1" fillId="3" applyFill="1" applyAlignment="1">
      <alignment horizontal="left"/>
    </xf>
    <xf xfId="0" numFmtId="0" borderId="57" applyBorder="1" fontId="19" applyFont="1" fillId="13" applyFill="1" applyAlignment="1">
      <alignment horizontal="left"/>
    </xf>
    <xf xfId="0" numFmtId="168" applyNumberFormat="1" borderId="4" applyBorder="1" fontId="5" applyFont="1" fillId="0" applyAlignment="1">
      <alignment horizontal="left"/>
    </xf>
    <xf xfId="0" numFmtId="4" applyNumberFormat="1" borderId="5" applyBorder="1" fontId="5" applyFont="1" fillId="0" applyAlignment="1">
      <alignment horizontal="left"/>
    </xf>
    <xf xfId="0" numFmtId="0" borderId="58" applyBorder="1" fontId="5" applyFont="1" fillId="9" applyFill="1" applyAlignment="1">
      <alignment horizontal="left"/>
    </xf>
    <xf xfId="0" numFmtId="0" borderId="12" applyBorder="1" fontId="14" applyFont="1" fillId="11" applyFill="1" applyAlignment="1">
      <alignment horizontal="center"/>
    </xf>
    <xf xfId="0" numFmtId="0" borderId="14" applyBorder="1" fontId="15" applyFont="1" fillId="11" applyFill="1" applyAlignment="1">
      <alignment horizontal="center"/>
    </xf>
    <xf xfId="0" numFmtId="0" borderId="15" applyBorder="1" fontId="15" applyFont="1" fillId="11" applyFill="1" applyAlignment="1">
      <alignment horizontal="center"/>
    </xf>
    <xf xfId="0" numFmtId="0" borderId="59" applyBorder="1" fontId="5" applyFont="1" fillId="9" applyFill="1" applyAlignment="1">
      <alignment horizontal="left"/>
    </xf>
    <xf xfId="0" numFmtId="0" borderId="45" applyBorder="1" fontId="5" applyFont="1" fillId="14" applyFill="1" applyAlignment="1">
      <alignment horizontal="left"/>
    </xf>
    <xf xfId="0" numFmtId="168" applyNumberFormat="1" borderId="14" applyBorder="1" fontId="15" applyFont="1" fillId="11" applyFill="1" applyAlignment="1">
      <alignment horizontal="center"/>
    </xf>
    <xf xfId="0" numFmtId="168" applyNumberFormat="1" borderId="15" applyBorder="1" fontId="15" applyFont="1" fillId="11" applyFill="1" applyAlignment="1">
      <alignment horizontal="center"/>
    </xf>
    <xf xfId="0" numFmtId="4" applyNumberFormat="1" borderId="46" applyBorder="1" fontId="5" applyFont="1" fillId="14" applyFill="1" applyAlignment="1">
      <alignment horizontal="left"/>
    </xf>
    <xf xfId="0" numFmtId="0" borderId="58" applyBorder="1" fontId="12" applyFont="1" fillId="9" applyFill="1" applyAlignment="1">
      <alignment horizontal="right"/>
    </xf>
    <xf xfId="0" numFmtId="0" borderId="16" applyBorder="1" fontId="15" applyFont="1" fillId="11" applyFill="1" applyAlignment="1">
      <alignment horizontal="center"/>
    </xf>
    <xf xfId="0" numFmtId="166" applyNumberFormat="1" borderId="1" applyBorder="1" fontId="5" applyFont="1" fillId="0" applyAlignment="1">
      <alignment horizontal="right"/>
    </xf>
    <xf xfId="0" numFmtId="0" borderId="45" applyBorder="1" fontId="12" applyFont="1" fillId="14" applyFill="1" applyAlignment="1">
      <alignment horizontal="right"/>
    </xf>
    <xf xfId="0" numFmtId="0" borderId="47" applyBorder="1" fontId="16" applyFont="1" fillId="12" applyFill="1" applyAlignment="1">
      <alignment horizontal="center"/>
    </xf>
    <xf xfId="0" numFmtId="0" borderId="2" applyBorder="1" fontId="20" applyFont="1" fillId="4" applyFill="1" applyAlignment="1">
      <alignment horizontal="center" vertical="top" wrapText="1"/>
    </xf>
    <xf xfId="0" numFmtId="0" borderId="2" applyBorder="1" fontId="5" applyFont="1" fillId="4" applyFill="1" applyAlignment="1">
      <alignment horizontal="left"/>
    </xf>
    <xf xfId="0" numFmtId="0" borderId="2" applyBorder="1" fontId="5" applyFont="1" fillId="15" applyFill="1" applyAlignment="1">
      <alignment horizontal="left"/>
    </xf>
    <xf xfId="0" numFmtId="170" applyNumberFormat="1" borderId="2" applyBorder="1" fontId="5" applyFont="1" fillId="15" applyFill="1" applyAlignment="1">
      <alignment horizontal="right"/>
    </xf>
    <xf xfId="0" numFmtId="0" borderId="2" applyBorder="1" fontId="8" applyFont="1" fillId="9" applyFill="1" applyAlignment="1">
      <alignment horizontal="left"/>
    </xf>
    <xf xfId="0" numFmtId="0" borderId="2" applyBorder="1" fontId="5" applyFont="1" fillId="9" applyFill="1" applyAlignment="1">
      <alignment horizontal="left"/>
    </xf>
    <xf xfId="0" numFmtId="0" borderId="2" applyBorder="1" fontId="5" applyFont="1" fillId="14" applyFill="1" applyAlignment="1">
      <alignment horizontal="left"/>
    </xf>
    <xf xfId="0" numFmtId="168" applyNumberFormat="1" borderId="2" applyBorder="1" fontId="5" applyFont="1" fillId="14" applyFill="1" applyAlignment="1">
      <alignment horizontal="left"/>
    </xf>
    <xf xfId="0" numFmtId="1" applyNumberFormat="1" borderId="2" applyBorder="1" fontId="5" applyFont="1" fillId="4" applyFill="1" applyAlignment="1">
      <alignment horizontal="left"/>
    </xf>
    <xf xfId="0" numFmtId="0" borderId="60" applyBorder="1" fontId="15" applyFont="1" fillId="11" applyFill="1" applyAlignment="1">
      <alignment horizontal="center"/>
    </xf>
    <xf xfId="0" numFmtId="4" applyNumberFormat="1" borderId="15" applyBorder="1" fontId="15" applyFont="1" fillId="11" applyFill="1" applyAlignment="1">
      <alignment horizontal="center"/>
    </xf>
    <xf xfId="0" numFmtId="167" applyNumberFormat="1" borderId="61" applyBorder="1" fontId="15" applyFont="1" fillId="11" applyFill="1" applyAlignment="1">
      <alignment horizontal="center"/>
    </xf>
    <xf xfId="0" numFmtId="172" applyNumberFormat="1" borderId="18" applyBorder="1" fontId="15" applyFont="1" fillId="11" applyFill="1" applyAlignment="1">
      <alignment horizontal="center"/>
    </xf>
    <xf xfId="0" numFmtId="172" applyNumberFormat="1" borderId="19" applyBorder="1" fontId="15" applyFont="1" fillId="11" applyFill="1" applyAlignment="1">
      <alignment horizontal="center"/>
    </xf>
    <xf xfId="0" numFmtId="0" borderId="62" applyBorder="1" fontId="12" applyFont="1" fillId="9" applyFill="1" applyAlignment="1">
      <alignment horizontal="right"/>
    </xf>
    <xf xfId="0" numFmtId="0" borderId="63" applyBorder="1" fontId="16" applyFont="1" fillId="12" applyFill="1" applyAlignment="1">
      <alignment horizontal="center"/>
    </xf>
    <xf xfId="0" numFmtId="167" applyNumberFormat="1" borderId="64" applyBorder="1" fontId="16" applyFont="1" fillId="12" applyFill="1" applyAlignment="1">
      <alignment horizontal="center"/>
    </xf>
    <xf xfId="0" numFmtId="167" applyNumberFormat="1" borderId="65" applyBorder="1" fontId="16" applyFont="1" fillId="12" applyFill="1" applyAlignment="1">
      <alignment horizontal="center"/>
    </xf>
    <xf xfId="0" numFmtId="0" borderId="47" applyBorder="1" fontId="12" applyFont="1" fillId="14" applyFill="1" applyAlignment="1">
      <alignment horizontal="right"/>
    </xf>
    <xf xfId="0" numFmtId="172" applyNumberFormat="1" borderId="18" applyBorder="1" fontId="16" applyFont="1" fillId="12" applyFill="1" applyAlignment="1">
      <alignment horizontal="center"/>
    </xf>
    <xf xfId="0" numFmtId="172" applyNumberFormat="1" borderId="19" applyBorder="1" fontId="16" applyFont="1" fillId="12" applyFill="1" applyAlignment="1">
      <alignment horizontal="center"/>
    </xf>
    <xf xfId="0" numFmtId="0" borderId="66" applyBorder="1" fontId="21" applyFont="1" fillId="4" applyFill="1" applyAlignment="1">
      <alignment horizontal="left"/>
    </xf>
    <xf xfId="0" numFmtId="0" borderId="67" applyBorder="1" fontId="18" applyFont="1" fillId="4" applyFill="1" applyAlignment="1">
      <alignment horizontal="left"/>
    </xf>
    <xf xfId="0" numFmtId="0" borderId="68" applyBorder="1" fontId="18" applyFont="1" fillId="4" applyFill="1" applyAlignment="1">
      <alignment horizontal="left"/>
    </xf>
    <xf xfId="0" numFmtId="0" borderId="69" applyBorder="1" fontId="5" applyFont="1" fillId="15" applyFill="1" applyAlignment="1">
      <alignment horizontal="left"/>
    </xf>
    <xf xfId="0" numFmtId="0" borderId="70" applyBorder="1" fontId="5" applyFont="1" fillId="15" applyFill="1" applyAlignment="1">
      <alignment horizontal="left"/>
    </xf>
    <xf xfId="0" numFmtId="0" borderId="69" applyBorder="1" fontId="12" applyFont="1" fillId="15" applyFill="1" applyAlignment="1">
      <alignment horizontal="right"/>
    </xf>
    <xf xfId="0" numFmtId="0" borderId="2" applyBorder="1" fontId="8" applyFont="1" fillId="15" applyFill="1" applyAlignment="1">
      <alignment horizontal="left"/>
    </xf>
    <xf xfId="0" numFmtId="0" borderId="2" applyBorder="1" fontId="5" applyFont="1" fillId="15" applyFill="1" applyAlignment="1">
      <alignment horizontal="left"/>
    </xf>
    <xf xfId="0" numFmtId="0" borderId="71" applyBorder="1" fontId="15" applyFont="1" fillId="11" applyFill="1" applyAlignment="1">
      <alignment horizontal="center"/>
    </xf>
    <xf xfId="0" numFmtId="167" applyNumberFormat="1" borderId="72" applyBorder="1" fontId="15" applyFont="1" fillId="11" applyFill="1" applyAlignment="1">
      <alignment horizontal="center"/>
    </xf>
    <xf xfId="0" numFmtId="0" borderId="73" applyBorder="1" fontId="12" applyFont="1" fillId="15" applyFill="1" applyAlignment="1">
      <alignment horizontal="right"/>
    </xf>
    <xf xfId="0" numFmtId="0" borderId="74" applyBorder="1" fontId="16" applyFont="1" fillId="12" applyFill="1" applyAlignment="1">
      <alignment horizontal="center"/>
    </xf>
    <xf xfId="0" numFmtId="167" applyNumberFormat="1" borderId="75" applyBorder="1" fontId="16" applyFont="1" fillId="12" applyFill="1" applyAlignment="1">
      <alignment horizontal="center"/>
    </xf>
    <xf xfId="0" numFmtId="167" applyNumberFormat="1" borderId="76" applyBorder="1" fontId="16" applyFont="1" fillId="12" applyFill="1" applyAlignment="1">
      <alignment horizontal="center"/>
    </xf>
    <xf xfId="0" numFmtId="0" borderId="29" applyBorder="1" fontId="19" applyFont="1" fillId="16" applyFill="1" applyAlignment="1">
      <alignment horizontal="left"/>
    </xf>
    <xf xfId="0" numFmtId="0" borderId="30" applyBorder="1" fontId="18" applyFont="1" fillId="16" applyFill="1" applyAlignment="1">
      <alignment horizontal="left"/>
    </xf>
    <xf xfId="0" numFmtId="0" borderId="31" applyBorder="1" fontId="18" applyFont="1" fillId="16" applyFill="1" applyAlignment="1">
      <alignment horizontal="left"/>
    </xf>
    <xf xfId="0" numFmtId="0" borderId="45" applyBorder="1" fontId="5" applyFont="1" fillId="17" applyFill="1" applyAlignment="1">
      <alignment horizontal="left"/>
    </xf>
    <xf xfId="0" numFmtId="0" borderId="46" applyBorder="1" fontId="5" applyFont="1" fillId="17" applyFill="1" applyAlignment="1">
      <alignment horizontal="left"/>
    </xf>
    <xf xfId="0" numFmtId="0" borderId="45" applyBorder="1" fontId="12" applyFont="1" fillId="17" applyFill="1" applyAlignment="1">
      <alignment horizontal="right"/>
    </xf>
    <xf xfId="0" numFmtId="0" borderId="2" applyBorder="1" fontId="8" applyFont="1" fillId="17" applyFill="1" applyAlignment="1">
      <alignment horizontal="left"/>
    </xf>
    <xf xfId="0" numFmtId="0" borderId="2" applyBorder="1" fontId="5" applyFont="1" fillId="17" applyFill="1" applyAlignment="1">
      <alignment horizontal="left"/>
    </xf>
    <xf xfId="0" numFmtId="0" borderId="47" applyBorder="1" fontId="12" applyFont="1" fillId="17" applyFill="1" applyAlignment="1">
      <alignment horizontal="right"/>
    </xf>
    <xf xfId="0" numFmtId="167" applyNumberFormat="1" borderId="18" applyBorder="1" fontId="16" applyFont="1" fillId="12" applyFill="1" applyAlignment="1">
      <alignment horizontal="center"/>
    </xf>
    <xf xfId="0" numFmtId="167" applyNumberFormat="1" borderId="19" applyBorder="1" fontId="16" applyFont="1" fillId="12" applyFill="1" applyAlignment="1">
      <alignment horizontal="center"/>
    </xf>
    <xf xfId="0" numFmtId="0" borderId="0" fontId="0" fillId="0" applyAlignment="1">
      <alignment horizontal="general" wrapText="1"/>
    </xf>
    <xf xfId="0" numFmtId="168" applyNumberFormat="1" borderId="0" fontId="0" fillId="0" applyAlignment="1">
      <alignment horizontal="general"/>
    </xf>
    <xf xfId="0" numFmtId="4" applyNumberFormat="1" borderId="0" fontId="0" fillId="0" applyAlignment="1">
      <alignment horizontal="general"/>
    </xf>
    <xf xfId="0" numFmtId="0" borderId="2" applyBorder="1" fontId="22" applyFont="1" fillId="4" applyFill="1" applyAlignment="1">
      <alignment horizontal="left"/>
    </xf>
    <xf xfId="0" numFmtId="3" applyNumberFormat="1" borderId="2" applyBorder="1" fontId="5" applyFont="1" fillId="4" applyFill="1" applyAlignment="1">
      <alignment horizontal="left"/>
    </xf>
    <xf xfId="0" numFmtId="4" applyNumberFormat="1" borderId="2" applyBorder="1" fontId="5" applyFont="1" fillId="4" applyFill="1" applyAlignment="1">
      <alignment horizontal="left"/>
    </xf>
    <xf xfId="0" numFmtId="0" borderId="2" applyBorder="1" fontId="5" applyFont="1" fillId="4" applyFill="1" applyAlignment="1">
      <alignment horizontal="left"/>
    </xf>
    <xf xfId="0" numFmtId="0" borderId="0" fontId="0" fillId="0" applyAlignment="1">
      <alignment horizontal="left"/>
    </xf>
    <xf xfId="0" numFmtId="3" applyNumberFormat="1" borderId="0" fontId="0" fillId="0" applyAlignment="1">
      <alignment horizontal="center"/>
    </xf>
    <xf xfId="0" numFmtId="0" borderId="77" applyBorder="1" fontId="5" applyFont="1" fillId="0" applyAlignment="1">
      <alignment horizontal="left"/>
    </xf>
    <xf xfId="0" numFmtId="3" applyNumberFormat="1" borderId="4" applyBorder="1" fontId="5" applyFont="1" fillId="0" applyAlignment="1">
      <alignment horizontal="left"/>
    </xf>
    <xf xfId="0" numFmtId="3" applyNumberFormat="1" borderId="5" applyBorder="1" fontId="5" applyFont="1" fillId="0" applyAlignment="1">
      <alignment horizontal="left"/>
    </xf>
    <xf xfId="0" numFmtId="171" applyNumberFormat="1" borderId="1" applyBorder="1" fontId="5" applyFont="1" fillId="0" applyAlignment="1">
      <alignment horizontal="right"/>
    </xf>
    <xf xfId="0" numFmtId="0" borderId="78" applyBorder="1" fontId="5" applyFont="1" fillId="0" applyAlignment="1">
      <alignment horizontal="left"/>
    </xf>
    <xf xfId="0" numFmtId="3" applyNumberFormat="1" borderId="10" applyBorder="1" fontId="5" applyFont="1" fillId="0" applyAlignment="1">
      <alignment horizontal="left"/>
    </xf>
    <xf xfId="0" numFmtId="3" applyNumberFormat="1" borderId="11" applyBorder="1" fontId="5" applyFont="1" fillId="0" applyAlignment="1">
      <alignment horizontal="left"/>
    </xf>
    <xf xfId="0" numFmtId="0" borderId="1" applyBorder="1" fontId="12" applyFont="1" fillId="0" applyAlignment="1">
      <alignment horizontal="left"/>
    </xf>
    <xf xfId="0" numFmtId="4" applyNumberFormat="1" borderId="1" applyBorder="1" fontId="12" applyFont="1" fillId="0" applyAlignment="1">
      <alignment horizontal="left"/>
    </xf>
    <xf xfId="0" numFmtId="0" borderId="0" fontId="0" fillId="0" applyAlignment="1">
      <alignment horizontal="left"/>
    </xf>
    <xf xfId="0" numFmtId="3" applyNumberFormat="1" borderId="1" applyBorder="1" fontId="5" applyFont="1" fillId="0" applyAlignment="1">
      <alignment horizontal="right"/>
    </xf>
    <xf xfId="0" numFmtId="0" borderId="0" fontId="0" fillId="0" applyAlignment="1">
      <alignment horizontal="general"/>
    </xf>
    <xf xfId="0" numFmtId="1" applyNumberFormat="1" borderId="1" applyBorder="1" fontId="5" applyFont="1" fillId="0" applyAlignment="1">
      <alignment horizontal="left"/>
    </xf>
    <xf xfId="0" numFmtId="0" borderId="2" applyBorder="1" fontId="23" applyFont="1" fillId="18" applyFill="1" applyAlignment="1">
      <alignment horizontal="left"/>
    </xf>
    <xf xfId="0" numFmtId="3" applyNumberFormat="1" borderId="79" applyBorder="1" fontId="24" applyFont="1" fillId="0" applyAlignment="1">
      <alignment horizontal="center" vertical="top" wrapText="1"/>
    </xf>
    <xf xfId="0" numFmtId="3" applyNumberFormat="1" borderId="80" applyBorder="1" fontId="12" applyFont="1" fillId="0" applyAlignment="1">
      <alignment horizontal="center"/>
    </xf>
    <xf xfId="0" numFmtId="4" applyNumberFormat="1" borderId="4" applyBorder="1" fontId="5" applyFont="1" fillId="0" applyAlignment="1">
      <alignment horizontal="left"/>
    </xf>
    <xf xfId="0" numFmtId="0" borderId="81" applyBorder="1" fontId="12" applyFont="1" fillId="0" applyAlignment="1">
      <alignment horizontal="center"/>
    </xf>
    <xf xfId="0" numFmtId="0" borderId="82" applyBorder="1" fontId="5" applyFont="1" fillId="0" applyAlignment="1">
      <alignment horizontal="left"/>
    </xf>
    <xf xfId="0" numFmtId="0" borderId="5" applyBorder="1" fontId="12" applyFont="1" fillId="0" applyAlignment="1">
      <alignment horizontal="center"/>
    </xf>
    <xf xfId="0" numFmtId="3" applyNumberFormat="1" borderId="83" applyBorder="1" fontId="5" applyFont="1" fillId="0" applyAlignment="1">
      <alignment horizontal="left"/>
    </xf>
    <xf xfId="0" numFmtId="3" applyNumberFormat="1" borderId="84" applyBorder="1" fontId="15" applyFont="1" fillId="0" applyAlignment="1">
      <alignment horizontal="center"/>
    </xf>
    <xf xfId="0" numFmtId="4" applyNumberFormat="1" borderId="84" applyBorder="1" fontId="5" applyFont="1" fillId="0" applyAlignment="1">
      <alignment horizontal="center"/>
    </xf>
    <xf xfId="0" numFmtId="0" borderId="84" applyBorder="1" fontId="15" applyFont="1" fillId="0" applyAlignment="1">
      <alignment horizontal="center"/>
    </xf>
    <xf xfId="0" numFmtId="0" borderId="85" applyBorder="1" fontId="5" applyFont="1" fillId="0" applyAlignment="1">
      <alignment horizontal="center"/>
    </xf>
    <xf xfId="0" numFmtId="0" borderId="86" applyBorder="1" fontId="15" applyFont="1" fillId="0" applyAlignment="1">
      <alignment horizontal="center"/>
    </xf>
    <xf xfId="0" numFmtId="0" borderId="87" applyBorder="1" fontId="5" applyFont="1" fillId="0" applyAlignment="1">
      <alignment horizontal="center"/>
    </xf>
    <xf xfId="0" numFmtId="3" applyNumberFormat="1" borderId="6" applyBorder="1" fontId="5" applyFont="1" fillId="0" applyAlignment="1">
      <alignment horizontal="left"/>
    </xf>
    <xf xfId="0" numFmtId="3" applyNumberFormat="1" borderId="88" applyBorder="1" fontId="15" applyFont="1" fillId="11" applyFill="1" applyAlignment="1">
      <alignment horizontal="center"/>
    </xf>
    <xf xfId="0" numFmtId="4" applyNumberFormat="1" borderId="88" applyBorder="1" fontId="15" applyFont="1" fillId="11" applyFill="1" applyAlignment="1">
      <alignment horizontal="center"/>
    </xf>
    <xf xfId="0" numFmtId="0" borderId="88" applyBorder="1" fontId="15" applyFont="1" fillId="11" applyFill="1" applyAlignment="1">
      <alignment horizontal="center"/>
    </xf>
    <xf xfId="0" numFmtId="0" borderId="89" applyBorder="1" fontId="15" applyFont="1" fillId="11" applyFill="1" applyAlignment="1">
      <alignment horizontal="center"/>
    </xf>
    <xf xfId="0" numFmtId="0" borderId="2" applyBorder="1" fontId="15" applyFont="1" fillId="11" applyFill="1" applyAlignment="1">
      <alignment horizontal="center"/>
    </xf>
    <xf xfId="0" numFmtId="0" borderId="90" applyBorder="1" fontId="15" applyFont="1" fillId="11" applyFill="1" applyAlignment="1">
      <alignment horizontal="center"/>
    </xf>
    <xf xfId="0" numFmtId="3" applyNumberFormat="1" borderId="78" applyBorder="1" fontId="5" applyFont="1" fillId="0" applyAlignment="1">
      <alignment horizontal="left"/>
    </xf>
    <xf xfId="0" numFmtId="3" applyNumberFormat="1" borderId="91" applyBorder="1" fontId="15" applyFont="1" fillId="11" applyFill="1" applyAlignment="1">
      <alignment horizontal="center"/>
    </xf>
    <xf xfId="0" numFmtId="4" applyNumberFormat="1" borderId="91" applyBorder="1" fontId="15" applyFont="1" fillId="11" applyFill="1" applyAlignment="1">
      <alignment horizontal="center"/>
    </xf>
    <xf xfId="0" numFmtId="0" borderId="91" applyBorder="1" fontId="15" applyFont="1" fillId="11" applyFill="1" applyAlignment="1">
      <alignment horizontal="center"/>
    </xf>
    <xf xfId="0" numFmtId="0" borderId="92" applyBorder="1" fontId="15" applyFont="1" fillId="11" applyFill="1" applyAlignment="1">
      <alignment horizontal="center"/>
    </xf>
    <xf xfId="0" numFmtId="0" borderId="48" applyBorder="1" fontId="15" applyFont="1" fillId="11" applyFill="1" applyAlignment="1">
      <alignment horizontal="center"/>
    </xf>
    <xf xfId="0" numFmtId="0" borderId="93" applyBorder="1" fontId="15" applyFont="1" fillId="11" applyFill="1" applyAlignment="1">
      <alignment horizontal="center"/>
    </xf>
    <xf xfId="0" numFmtId="0" borderId="0" fontId="0" fillId="0" applyAlignment="1">
      <alignment wrapText="1"/>
    </xf>
    <xf xfId="0" numFmtId="0" borderId="0" fontId="0" fillId="0" applyAlignment="1">
      <alignment horizontal="left" wrapText="1"/>
    </xf>
    <xf xfId="0" numFmtId="3" applyNumberFormat="1" borderId="79" applyBorder="1" fontId="24" applyFont="1" fillId="0" applyAlignment="1">
      <alignment horizontal="center" wrapText="1"/>
    </xf>
    <xf xfId="0" numFmtId="3" applyNumberFormat="1" borderId="94" applyBorder="1" fontId="5" applyFont="1" fillId="0" applyAlignment="1">
      <alignment horizontal="center" wrapText="1"/>
    </xf>
    <xf xfId="0" numFmtId="4" applyNumberFormat="1" borderId="94" applyBorder="1" fontId="5" applyFont="1" fillId="0" applyAlignment="1">
      <alignment horizontal="center" wrapText="1"/>
    </xf>
    <xf xfId="0" numFmtId="0" borderId="95" applyBorder="1" fontId="5" applyFont="1" fillId="0" applyAlignment="1">
      <alignment horizontal="center" wrapText="1"/>
    </xf>
    <xf xfId="0" numFmtId="0" borderId="94" applyBorder="1" fontId="5" applyFont="1" fillId="0" applyAlignment="1">
      <alignment horizontal="center" wrapText="1"/>
    </xf>
    <xf xfId="0" numFmtId="0" borderId="96" applyBorder="1" fontId="5" applyFont="1" fillId="0" applyAlignment="1">
      <alignment horizontal="center" wrapText="1"/>
    </xf>
    <xf xfId="0" numFmtId="4" applyNumberFormat="1" borderId="0" fontId="0" fillId="0" applyAlignment="1">
      <alignment horizontal="general" wrapText="1"/>
    </xf>
    <xf xfId="0" numFmtId="3" applyNumberFormat="1" borderId="89" applyBorder="1" fontId="15" applyFont="1" fillId="11" applyFill="1" applyAlignment="1">
      <alignment horizontal="center"/>
    </xf>
    <xf xfId="0" numFmtId="4" applyNumberFormat="1" borderId="2" applyBorder="1" fontId="15" applyFont="1" fillId="11" applyFill="1" applyAlignment="1">
      <alignment horizontal="center"/>
    </xf>
    <xf xfId="0" numFmtId="3" applyNumberFormat="1" borderId="92" applyBorder="1" fontId="15" applyFont="1" fillId="11" applyFill="1" applyAlignment="1">
      <alignment horizontal="center"/>
    </xf>
    <xf xfId="0" numFmtId="4" applyNumberFormat="1" borderId="48" applyBorder="1" fontId="15" applyFont="1" fillId="11" applyFill="1" applyAlignment="1">
      <alignment horizontal="center"/>
    </xf>
    <xf xfId="0" numFmtId="0" borderId="1" applyBorder="1" fontId="25" applyFont="1" fillId="0" applyAlignment="1">
      <alignment horizontal="left"/>
    </xf>
    <xf xfId="0" numFmtId="3" applyNumberFormat="1" borderId="97" applyBorder="1" fontId="26" applyFont="1" fillId="0" applyAlignment="1">
      <alignment horizontal="center"/>
    </xf>
    <xf xfId="0" numFmtId="3" applyNumberFormat="1" borderId="97" applyBorder="1" fontId="5" applyFont="1" fillId="0" applyAlignment="1">
      <alignment horizontal="left"/>
    </xf>
    <xf xfId="0" numFmtId="4" applyNumberFormat="1" borderId="97" applyBorder="1" fontId="5" applyFont="1" fillId="0" applyAlignment="1">
      <alignment horizontal="left"/>
    </xf>
    <xf xfId="0" numFmtId="0" borderId="97" applyBorder="1" fontId="5" applyFont="1" fillId="0" applyAlignment="1">
      <alignment horizontal="left"/>
    </xf>
    <xf xfId="0" numFmtId="0" borderId="97" applyBorder="1" fontId="26" applyFont="1" fillId="0" applyAlignment="1">
      <alignment horizontal="center"/>
    </xf>
    <xf xfId="0" numFmtId="0" borderId="97" applyBorder="1" fontId="27" applyFont="1" fillId="0" applyAlignment="1">
      <alignment horizontal="center"/>
    </xf>
    <xf xfId="0" numFmtId="3" applyNumberFormat="1" borderId="1" applyBorder="1" fontId="9" applyFont="1" fillId="0" applyAlignment="1">
      <alignment horizontal="center"/>
    </xf>
    <xf xfId="0" numFmtId="3" applyNumberFormat="1" borderId="1" applyBorder="1" fontId="9" applyFont="1" fillId="0" applyAlignment="1">
      <alignment horizontal="center" wrapText="1"/>
    </xf>
    <xf xfId="0" numFmtId="4" applyNumberFormat="1" borderId="1" applyBorder="1" fontId="9" applyFont="1" fillId="0" applyAlignment="1">
      <alignment horizontal="center" wrapText="1"/>
    </xf>
    <xf xfId="0" numFmtId="0" borderId="1" applyBorder="1" fontId="9" applyFont="1" fillId="0" applyAlignment="1">
      <alignment horizontal="center" wrapText="1"/>
    </xf>
    <xf xfId="0" numFmtId="0" borderId="1" applyBorder="1" fontId="9" applyFont="1" fillId="0" applyAlignment="1">
      <alignment horizontal="center"/>
    </xf>
    <xf xfId="0" numFmtId="170" applyNumberFormat="1" borderId="98" applyBorder="1" fontId="28" applyFont="1" fillId="2" applyFill="1" applyAlignment="1">
      <alignment horizontal="right"/>
    </xf>
    <xf xfId="0" numFmtId="170" applyNumberFormat="1" borderId="1" applyBorder="1" fontId="5" applyFont="1" fillId="0" applyAlignment="1">
      <alignment horizontal="right"/>
    </xf>
    <xf xfId="0" numFmtId="0" borderId="4" applyBorder="1" fontId="25" applyFont="1" fillId="0" applyAlignment="1">
      <alignment horizontal="left"/>
    </xf>
    <xf xfId="0" numFmtId="0" borderId="99" applyBorder="1" fontId="29" applyFont="1" fillId="0" applyAlignment="1">
      <alignment horizontal="center"/>
    </xf>
    <xf xfId="0" numFmtId="0" borderId="1" applyBorder="1" fontId="30" applyFont="1" fillId="0" applyAlignment="1">
      <alignment horizontal="left"/>
    </xf>
    <xf xfId="0" numFmtId="0" borderId="100" applyBorder="1" fontId="29" applyFont="1" fillId="0" applyAlignment="1">
      <alignment horizontal="center"/>
    </xf>
    <xf xfId="0" numFmtId="0" borderId="100" applyBorder="1" fontId="5" applyFont="1" fillId="0" applyAlignment="1">
      <alignment horizontal="left"/>
    </xf>
    <xf xfId="0" numFmtId="0" borderId="12" applyBorder="1" fontId="31" applyFont="1" fillId="11" applyFill="1" applyAlignment="1">
      <alignment horizontal="center"/>
    </xf>
    <xf xfId="0" numFmtId="0" borderId="12" applyBorder="1" fontId="15" applyFont="1" fillId="11" applyFill="1" applyAlignment="1">
      <alignment horizontal="center"/>
    </xf>
    <xf xfId="0" numFmtId="0" borderId="3" applyBorder="1" fontId="5" applyFont="1" fillId="0" applyAlignment="1">
      <alignment horizontal="center"/>
    </xf>
    <xf xfId="0" numFmtId="0" borderId="45" applyBorder="1" fontId="32" applyFont="1" fillId="19" applyFill="1" applyAlignment="1">
      <alignment horizontal="center"/>
    </xf>
    <xf xfId="0" numFmtId="169" applyNumberFormat="1" borderId="23" applyBorder="1" fontId="15" applyFont="1" fillId="11" applyFill="1" applyAlignment="1">
      <alignment horizontal="center"/>
    </xf>
    <xf xfId="0" numFmtId="169" applyNumberFormat="1" borderId="26" applyBorder="1" fontId="15" applyFont="1" fillId="11" applyFill="1" applyAlignment="1">
      <alignment horizontal="center"/>
    </xf>
    <xf xfId="0" numFmtId="171" applyNumberFormat="1" borderId="101" applyBorder="1" fontId="32" applyFont="1" fillId="19" applyFill="1" applyAlignment="1">
      <alignment horizontal="center"/>
    </xf>
    <xf xfId="0" numFmtId="0" borderId="45" applyBorder="1" fontId="32" applyFont="1" fillId="2" applyFill="1" applyAlignment="1">
      <alignment horizontal="center"/>
    </xf>
    <xf xfId="0" numFmtId="171" applyNumberFormat="1" borderId="101" applyBorder="1" fontId="32" applyFont="1" fillId="2" applyFill="1" applyAlignment="1">
      <alignment horizontal="center"/>
    </xf>
    <xf xfId="0" numFmtId="0" borderId="47" applyBorder="1" fontId="32" applyFont="1" fillId="2" applyFill="1" applyAlignment="1">
      <alignment horizontal="center"/>
    </xf>
    <xf xfId="0" numFmtId="169" applyNumberFormat="1" borderId="16" applyBorder="1" fontId="15" applyFont="1" fillId="11" applyFill="1" applyAlignment="1">
      <alignment horizontal="center"/>
    </xf>
    <xf xfId="0" numFmtId="0" borderId="102" applyBorder="1" fontId="5" applyFont="1" fillId="2" applyFill="1" applyAlignment="1">
      <alignment horizontal="center"/>
    </xf>
    <xf xfId="0" numFmtId="3" applyNumberFormat="1" borderId="12" applyBorder="1" fontId="14" applyFont="1" fillId="11" applyFill="1" applyAlignment="1">
      <alignment horizontal="center"/>
    </xf>
    <xf xfId="0" numFmtId="3" applyNumberFormat="1" borderId="14" applyBorder="1" fontId="15" applyFont="1" fillId="11" applyFill="1" applyAlignment="1">
      <alignment horizontal="center"/>
    </xf>
    <xf xfId="0" numFmtId="0" borderId="1" applyBorder="1" fontId="8" applyFont="1" fillId="0" applyAlignment="1">
      <alignment horizontal="left"/>
    </xf>
    <xf xfId="0" numFmtId="3" applyNumberFormat="1" borderId="16" applyBorder="1" fontId="15" applyFont="1" fillId="11" applyFill="1" applyAlignment="1">
      <alignment horizontal="center"/>
    </xf>
    <xf xfId="0" numFmtId="0" borderId="1" applyBorder="1" fontId="8" applyFont="1" fillId="0" applyAlignment="1">
      <alignment horizontal="left"/>
    </xf>
    <xf xfId="0" numFmtId="3" applyNumberFormat="1" borderId="47" applyBorder="1" fontId="16" applyFont="1" fillId="12" applyFill="1" applyAlignment="1">
      <alignment horizontal="center"/>
    </xf>
    <xf xfId="0" numFmtId="3" applyNumberFormat="1" borderId="1" applyBorder="1" fontId="8" applyFont="1" fillId="0" applyAlignment="1">
      <alignment horizontal="left"/>
    </xf>
    <xf xfId="0" numFmtId="4" applyNumberFormat="1" borderId="14" applyBorder="1" fontId="15" applyFont="1" fillId="11" applyFill="1" applyAlignment="1">
      <alignment horizontal="center"/>
    </xf>
    <xf xfId="0" numFmtId="0" borderId="45" applyBorder="1" fontId="16" applyFont="1" fillId="12" applyFill="1" applyAlignment="1">
      <alignment horizontal="center"/>
    </xf>
    <xf xfId="0" numFmtId="173" applyNumberFormat="1" borderId="103" applyBorder="1" fontId="16" applyFont="1" fillId="12" applyFill="1" applyAlignment="1">
      <alignment horizontal="center"/>
    </xf>
    <xf xfId="0" numFmtId="173" applyNumberFormat="1" borderId="104" applyBorder="1" fontId="16" applyFont="1" fillId="12" applyFill="1" applyAlignment="1">
      <alignment horizontal="center"/>
    </xf>
    <xf xfId="0" numFmtId="0" borderId="6" applyBorder="1" fontId="5" applyFont="1" fillId="0" applyAlignment="1">
      <alignment horizontal="left"/>
    </xf>
    <xf xfId="0" numFmtId="3" applyNumberFormat="1" borderId="2" applyBorder="1" fontId="5" applyFont="1" fillId="7" applyFill="1" applyAlignment="1">
      <alignment horizontal="left"/>
    </xf>
    <xf xfId="0" numFmtId="170" applyNumberFormat="1" borderId="2" applyBorder="1" fontId="5" applyFont="1" fillId="20" applyFill="1" applyAlignment="1">
      <alignment horizontal="right"/>
    </xf>
    <xf xfId="0" numFmtId="173" applyNumberFormat="1" borderId="2" applyBorder="1" fontId="5" applyFont="1" fillId="6" applyFill="1" applyAlignment="1">
      <alignment horizontal="right"/>
    </xf>
    <xf xfId="0" numFmtId="169" applyNumberFormat="1" borderId="1" applyBorder="1" fontId="5" applyFont="1" fillId="0" applyAlignment="1">
      <alignment horizontal="right"/>
    </xf>
    <xf xfId="0" numFmtId="166" applyNumberFormat="1" borderId="7" applyBorder="1" fontId="12" applyFont="1" fillId="0" applyAlignment="1">
      <alignment horizontal="right"/>
    </xf>
    <xf xfId="0" numFmtId="1" applyNumberFormat="1" borderId="2" applyBorder="1" fontId="5" applyFont="1" fillId="7" applyFill="1" applyAlignment="1">
      <alignment horizontal="left"/>
    </xf>
    <xf xfId="0" numFmtId="0" borderId="79" applyBorder="1" fontId="33" applyFont="1" fillId="0" applyAlignment="1">
      <alignment horizontal="center" wrapText="1"/>
    </xf>
    <xf xfId="0" numFmtId="3" applyNumberFormat="1" borderId="105" applyBorder="1" fontId="30" applyFont="1" fillId="7" applyFill="1" applyAlignment="1">
      <alignment horizontal="center" wrapText="1"/>
    </xf>
    <xf xfId="0" numFmtId="3" applyNumberFormat="1" borderId="94" applyBorder="1" fontId="30" applyFont="1" fillId="0" applyAlignment="1">
      <alignment horizontal="center" wrapText="1"/>
    </xf>
    <xf xfId="0" numFmtId="4" applyNumberFormat="1" borderId="94" applyBorder="1" fontId="30" applyFont="1" fillId="0" applyAlignment="1">
      <alignment horizontal="center" wrapText="1"/>
    </xf>
    <xf xfId="0" numFmtId="0" borderId="105" applyBorder="1" fontId="30" applyFont="1" fillId="10" applyFill="1" applyAlignment="1">
      <alignment horizontal="center"/>
    </xf>
    <xf xfId="0" numFmtId="0" borderId="94" applyBorder="1" fontId="30" applyFont="1" fillId="0" applyAlignment="1">
      <alignment horizontal="center" wrapText="1"/>
    </xf>
    <xf xfId="0" numFmtId="0" borderId="105" applyBorder="1" fontId="30" applyFont="1" fillId="6" applyFill="1" applyAlignment="1">
      <alignment horizontal="center"/>
    </xf>
    <xf xfId="0" numFmtId="4" applyNumberFormat="1" borderId="94" applyBorder="1" fontId="30" applyFont="1" fillId="0" applyAlignment="1">
      <alignment horizontal="center"/>
    </xf>
    <xf xfId="0" numFmtId="4" applyNumberFormat="1" borderId="105" applyBorder="1" fontId="30" applyFont="1" fillId="6" applyFill="1" applyAlignment="1">
      <alignment horizontal="center" wrapText="1"/>
    </xf>
    <xf xfId="0" numFmtId="0" borderId="106" applyBorder="1" fontId="30" applyFont="1" fillId="0" applyAlignment="1">
      <alignment horizontal="center" wrapText="1"/>
    </xf>
    <xf xfId="0" numFmtId="170" applyNumberFormat="1" borderId="7" applyBorder="1" fontId="5" applyFont="1" fillId="0" applyAlignment="1">
      <alignment horizontal="right"/>
    </xf>
    <xf xfId="0" numFmtId="0" borderId="78" applyBorder="1" fontId="5" applyFont="1" fillId="0" applyAlignment="1">
      <alignment horizontal="left"/>
    </xf>
    <xf xfId="0" numFmtId="1" applyNumberFormat="1" borderId="48" applyBorder="1" fontId="5" applyFont="1" fillId="7" applyFill="1" applyAlignment="1">
      <alignment horizontal="left"/>
    </xf>
    <xf xfId="0" numFmtId="170" applyNumberFormat="1" borderId="10" applyBorder="1" fontId="5" applyFont="1" fillId="0" applyAlignment="1">
      <alignment horizontal="right"/>
    </xf>
    <xf xfId="0" numFmtId="170" applyNumberFormat="1" borderId="48" applyBorder="1" fontId="5" applyFont="1" fillId="20" applyFill="1" applyAlignment="1">
      <alignment horizontal="right"/>
    </xf>
    <xf xfId="0" numFmtId="173" applyNumberFormat="1" borderId="48" applyBorder="1" fontId="5" applyFont="1" fillId="6" applyFill="1" applyAlignment="1">
      <alignment horizontal="right"/>
    </xf>
    <xf xfId="0" numFmtId="169" applyNumberFormat="1" borderId="10" applyBorder="1" fontId="5" applyFont="1" fillId="0" applyAlignment="1">
      <alignment horizontal="right"/>
    </xf>
    <xf xfId="0" numFmtId="170" applyNumberFormat="1" borderId="11" applyBorder="1" fontId="5" applyFont="1" fillId="0" applyAlignment="1">
      <alignment horizontal="right"/>
    </xf>
    <xf xfId="0" numFmtId="173" applyNumberFormat="1" borderId="18" applyBorder="1" fontId="16" applyFont="1" fillId="12" applyFill="1" applyAlignment="1">
      <alignment horizontal="center"/>
    </xf>
    <xf xfId="0" numFmtId="173" applyNumberFormat="1" borderId="19" applyBorder="1" fontId="16" applyFont="1" fillId="12" applyFill="1" applyAlignment="1">
      <alignment horizontal="center"/>
    </xf>
    <xf xfId="0" numFmtId="0" borderId="107" applyBorder="1" fontId="14" applyFont="1" fillId="11" applyFill="1" applyAlignment="1">
      <alignment horizontal="center"/>
    </xf>
    <xf xfId="0" numFmtId="3" applyNumberFormat="1" borderId="95" applyBorder="1" fontId="15" applyFont="1" fillId="11" applyFill="1" applyAlignment="1">
      <alignment horizontal="center"/>
    </xf>
    <xf xfId="0" numFmtId="4" applyNumberFormat="1" borderId="96" applyBorder="1" fontId="15" applyFont="1" fillId="11" applyFill="1" applyAlignment="1">
      <alignment horizontal="center"/>
    </xf>
    <xf xfId="0" numFmtId="0" borderId="95" applyBorder="1" fontId="15" applyFont="1" fillId="11" applyFill="1" applyAlignment="1">
      <alignment horizontal="center"/>
    </xf>
    <xf xfId="0" numFmtId="0" borderId="96" applyBorder="1" fontId="15" applyFont="1" fillId="11" applyFill="1" applyAlignment="1">
      <alignment horizontal="center"/>
    </xf>
    <xf xfId="0" numFmtId="4" applyNumberFormat="1" borderId="1" applyBorder="1" fontId="5" applyFont="1" fillId="0" applyAlignment="1">
      <alignment horizontal="right"/>
    </xf>
    <xf xfId="0" numFmtId="0" borderId="108" applyBorder="1" fontId="15" applyFont="1" fillId="11" applyFill="1" applyAlignment="1">
      <alignment horizontal="center"/>
    </xf>
    <xf xfId="0" numFmtId="167" applyNumberFormat="1" borderId="109" applyBorder="1" fontId="15" applyFont="1" fillId="11" applyFill="1" applyAlignment="1">
      <alignment horizontal="center"/>
    </xf>
    <xf xfId="0" numFmtId="167" applyNumberFormat="1" borderId="110" applyBorder="1" fontId="15" applyFont="1" fillId="11" applyFill="1" applyAlignment="1">
      <alignment horizontal="center"/>
    </xf>
    <xf xfId="0" numFmtId="0" borderId="111" applyBorder="1" fontId="15" applyFont="1" fillId="11" applyFill="1" applyAlignment="1">
      <alignment horizontal="center"/>
    </xf>
    <xf xfId="0" numFmtId="169" applyNumberFormat="1" borderId="112" applyBorder="1" fontId="15" applyFont="1" fillId="11" applyFill="1" applyAlignment="1">
      <alignment horizontal="center"/>
    </xf>
    <xf xfId="0" numFmtId="169" applyNumberFormat="1" borderId="113" applyBorder="1" fontId="15" applyFont="1" fillId="11" applyFill="1" applyAlignment="1">
      <alignment horizontal="center"/>
    </xf>
    <xf xfId="0" numFmtId="167" applyNumberFormat="1" borderId="92" applyBorder="1" fontId="16" applyFont="1" fillId="12" applyFill="1" applyAlignment="1">
      <alignment horizontal="center"/>
    </xf>
    <xf xfId="0" numFmtId="167" applyNumberFormat="1" borderId="93" applyBorder="1" fontId="16" applyFont="1" fillId="12" applyFill="1" applyAlignment="1">
      <alignment horizontal="center"/>
    </xf>
    <xf xfId="0" numFmtId="168" applyNumberFormat="1" borderId="92" applyBorder="1" fontId="16" applyFont="1" fillId="12" applyFill="1" applyAlignment="1">
      <alignment horizontal="center"/>
    </xf>
    <xf xfId="0" numFmtId="4" applyNumberFormat="1" borderId="93" applyBorder="1" fontId="16" applyFont="1" fillId="12" applyFill="1" applyAlignment="1">
      <alignment horizontal="center"/>
    </xf>
    <xf xfId="0" numFmtId="3" applyNumberFormat="1" borderId="1" applyBorder="1" fontId="25" applyFont="1" fillId="0" applyAlignment="1">
      <alignment horizontal="left"/>
    </xf>
    <xf xfId="0" numFmtId="4" applyNumberFormat="1" borderId="1" applyBorder="1" fontId="25" applyFont="1" fillId="0" applyAlignment="1">
      <alignment horizontal="left"/>
    </xf>
    <xf xfId="0" numFmtId="0" borderId="20" applyBorder="1" fontId="5" applyFont="1" fillId="20" applyFill="1" applyAlignment="1">
      <alignment horizontal="center"/>
    </xf>
    <xf xfId="0" numFmtId="3" applyNumberFormat="1" borderId="114" applyBorder="1" fontId="5" applyFont="1" fillId="20" applyFill="1" applyAlignment="1">
      <alignment horizontal="center"/>
    </xf>
    <xf xfId="0" numFmtId="3" applyNumberFormat="1" borderId="14" applyBorder="1" fontId="5" applyFont="1" fillId="2" applyFill="1" applyAlignment="1">
      <alignment horizontal="center"/>
    </xf>
    <xf xfId="0" numFmtId="4" applyNumberFormat="1" borderId="15" applyBorder="1" fontId="5" applyFont="1" fillId="20" applyFill="1" applyAlignment="1">
      <alignment horizontal="center"/>
    </xf>
    <xf xfId="0" numFmtId="0" borderId="12" applyBorder="1" fontId="5" applyFont="1" fillId="20" applyFill="1" applyAlignment="1">
      <alignment horizontal="center"/>
    </xf>
    <xf xfId="0" numFmtId="0" borderId="14" applyBorder="1" fontId="5" applyFont="1" fillId="2" applyFill="1" applyAlignment="1">
      <alignment horizontal="center"/>
    </xf>
    <xf xfId="0" numFmtId="0" borderId="15" applyBorder="1" fontId="5" applyFont="1" fillId="20" applyFill="1" applyAlignment="1">
      <alignment horizontal="center"/>
    </xf>
    <xf xfId="0" numFmtId="0" borderId="45" applyBorder="1" fontId="5" applyFont="1" fillId="2" applyFill="1" applyAlignment="1">
      <alignment horizontal="center" vertical="top" wrapText="1"/>
    </xf>
    <xf xfId="0" numFmtId="0" borderId="2" applyBorder="1" fontId="5" applyFont="1" fillId="2" applyFill="1" applyAlignment="1">
      <alignment horizontal="center" vertical="top" wrapText="1"/>
    </xf>
    <xf xfId="0" numFmtId="0" borderId="2" applyBorder="1" fontId="5" applyFont="1" fillId="2" applyFill="1" applyAlignment="1">
      <alignment horizontal="left"/>
    </xf>
    <xf xfId="0" numFmtId="0" borderId="2" applyBorder="1" fontId="5" applyFont="1" fillId="20" applyFill="1" applyAlignment="1">
      <alignment horizontal="center" vertical="top" wrapText="1"/>
    </xf>
    <xf xfId="0" numFmtId="4" applyNumberFormat="1" borderId="2" applyBorder="1" fontId="5" applyFont="1" fillId="20" applyFill="1" applyAlignment="1">
      <alignment horizontal="center" vertical="top" wrapText="1"/>
    </xf>
    <xf xfId="0" numFmtId="0" borderId="101" applyBorder="1" fontId="5" applyFont="1" fillId="20" applyFill="1" applyAlignment="1">
      <alignment horizontal="center"/>
    </xf>
    <xf xfId="0" numFmtId="3" applyNumberFormat="1" borderId="115" applyBorder="1" fontId="5" applyFont="1" fillId="20" applyFill="1" applyAlignment="1">
      <alignment horizontal="center"/>
    </xf>
    <xf xfId="0" numFmtId="3" applyNumberFormat="1" borderId="89" applyBorder="1" fontId="5" applyFont="1" fillId="2" applyFill="1" applyAlignment="1">
      <alignment horizontal="center"/>
    </xf>
    <xf xfId="0" numFmtId="4" applyNumberFormat="1" borderId="90" applyBorder="1" fontId="5" applyFont="1" fillId="20" applyFill="1" applyAlignment="1">
      <alignment horizontal="center"/>
    </xf>
    <xf xfId="0" numFmtId="0" borderId="116" applyBorder="1" fontId="5" applyFont="1" fillId="20" applyFill="1" applyAlignment="1">
      <alignment horizontal="center"/>
    </xf>
    <xf xfId="0" numFmtId="0" borderId="89" applyBorder="1" fontId="5" applyFont="1" fillId="2" applyFill="1" applyAlignment="1">
      <alignment horizontal="center"/>
    </xf>
    <xf xfId="0" numFmtId="0" borderId="90" applyBorder="1" fontId="5" applyFont="1" fillId="20" applyFill="1" applyAlignment="1">
      <alignment horizontal="center"/>
    </xf>
    <xf xfId="0" numFmtId="0" borderId="117" applyBorder="1" fontId="5" applyFont="1" fillId="0" applyAlignment="1">
      <alignment horizontal="left"/>
    </xf>
    <xf xfId="0" numFmtId="0" borderId="117" applyBorder="1" fontId="9" applyFont="1" fillId="0" applyAlignment="1">
      <alignment horizontal="center" wrapText="1"/>
    </xf>
    <xf xfId="0" numFmtId="0" borderId="118" applyBorder="1" fontId="5" applyFont="1" fillId="20" applyFill="1" applyAlignment="1">
      <alignment horizontal="center"/>
    </xf>
    <xf xfId="0" numFmtId="3" applyNumberFormat="1" borderId="119" applyBorder="1" fontId="5" applyFont="1" fillId="20" applyFill="1" applyAlignment="1">
      <alignment horizontal="center"/>
    </xf>
    <xf xfId="0" numFmtId="3" applyNumberFormat="1" borderId="18" applyBorder="1" fontId="5" applyFont="1" fillId="2" applyFill="1" applyAlignment="1">
      <alignment horizontal="center"/>
    </xf>
    <xf xfId="0" numFmtId="4" applyNumberFormat="1" borderId="19" applyBorder="1" fontId="5" applyFont="1" fillId="20" applyFill="1" applyAlignment="1">
      <alignment horizontal="center"/>
    </xf>
    <xf xfId="0" numFmtId="0" borderId="16" applyBorder="1" fontId="5" applyFont="1" fillId="20" applyFill="1" applyAlignment="1">
      <alignment horizontal="center"/>
    </xf>
    <xf xfId="0" numFmtId="0" borderId="18" applyBorder="1" fontId="5" applyFont="1" fillId="2" applyFill="1" applyAlignment="1">
      <alignment horizontal="center"/>
    </xf>
    <xf xfId="0" numFmtId="0" borderId="19" applyBorder="1" fontId="5" applyFont="1" fillId="20" applyFill="1" applyAlignment="1">
      <alignment horizontal="center"/>
    </xf>
    <xf xfId="0" numFmtId="0" borderId="1" applyBorder="1" fontId="34" applyFont="1" fillId="0" applyAlignment="1">
      <alignment horizontal="left"/>
    </xf>
    <xf xfId="0" numFmtId="173" applyNumberFormat="1" borderId="1" applyBorder="1" fontId="4" applyFont="1" fillId="0" applyAlignment="1">
      <alignment horizontal="right"/>
    </xf>
    <xf xfId="0" numFmtId="0" borderId="1" applyBorder="1" fontId="4" applyFont="1" fillId="0" applyAlignment="1">
      <alignment horizontal="left"/>
    </xf>
    <xf xfId="0" numFmtId="0" borderId="2" applyBorder="1" fontId="5" applyFont="1" fillId="21" applyFill="1" applyAlignment="1">
      <alignment horizontal="center"/>
    </xf>
    <xf xfId="0" numFmtId="173" applyNumberFormat="1" borderId="98" applyBorder="1" fontId="35" applyFont="1" fillId="21" applyFill="1" applyAlignment="1">
      <alignment horizontal="center"/>
    </xf>
    <xf xfId="0" numFmtId="0" borderId="1" applyBorder="1" fontId="5" applyFont="1" fillId="0" applyAlignment="1">
      <alignment horizontal="center"/>
    </xf>
    <xf xfId="0" numFmtId="173" applyNumberFormat="1" borderId="1" applyBorder="1" fontId="5" applyFont="1" fillId="0" applyAlignment="1">
      <alignment horizontal="right"/>
    </xf>
    <xf xfId="0" numFmtId="1" applyNumberFormat="1" borderId="1" applyBorder="1" fontId="4" applyFont="1" fillId="0" applyAlignment="1">
      <alignment horizontal="left"/>
    </xf>
    <xf xfId="0" numFmtId="1" applyNumberFormat="1" borderId="2" applyBorder="1" fontId="5" applyFont="1" fillId="21" applyFill="1" applyAlignment="1">
      <alignment horizontal="center"/>
    </xf>
    <xf xfId="0" numFmtId="3" applyNumberFormat="1" borderId="24" applyBorder="1" fontId="5" applyFont="1" fillId="0" applyAlignment="1">
      <alignment horizontal="center"/>
    </xf>
    <xf xfId="0" numFmtId="4" applyNumberFormat="1" borderId="24" applyBorder="1" fontId="5" applyFont="1" fillId="0" applyAlignment="1">
      <alignment horizontal="center"/>
    </xf>
    <xf xfId="0" numFmtId="0" borderId="120" applyBorder="1" fontId="34" applyFont="1" fillId="0" applyAlignment="1">
      <alignment horizontal="left"/>
    </xf>
    <xf xfId="0" numFmtId="173" applyNumberFormat="1" borderId="120" applyBorder="1" fontId="4" applyFont="1" fillId="0" applyAlignment="1">
      <alignment horizontal="right"/>
    </xf>
    <xf xfId="0" numFmtId="0" borderId="121" applyBorder="1" fontId="5" applyFont="1" fillId="0" applyAlignment="1">
      <alignment horizontal="left"/>
    </xf>
    <xf xfId="0" numFmtId="3" applyNumberFormat="1" borderId="122" applyBorder="1" fontId="5" applyFont="1" fillId="0" applyAlignment="1">
      <alignment horizontal="left"/>
    </xf>
    <xf xfId="0" numFmtId="4" applyNumberFormat="1" borderId="122" applyBorder="1" fontId="5" applyFont="1" fillId="0" applyAlignment="1">
      <alignment horizontal="left"/>
    </xf>
    <xf xfId="0" numFmtId="0" borderId="122" applyBorder="1" fontId="5" applyFont="1" fillId="0" applyAlignment="1">
      <alignment horizontal="left"/>
    </xf>
    <xf xfId="0" numFmtId="0" borderId="1" applyBorder="1" fontId="5" applyFont="1" fillId="0" applyAlignment="1">
      <alignment horizontal="center"/>
    </xf>
    <xf xfId="0" numFmtId="3" applyNumberFormat="1" borderId="123" applyBorder="1" fontId="5" applyFont="1" fillId="0" applyAlignment="1">
      <alignment horizontal="left"/>
    </xf>
    <xf xfId="0" numFmtId="4" applyNumberFormat="1" borderId="123" applyBorder="1" fontId="5" applyFont="1" fillId="0" applyAlignment="1">
      <alignment horizontal="right"/>
    </xf>
    <xf xfId="0" numFmtId="0" borderId="123" applyBorder="1" fontId="5" applyFont="1" fillId="0" applyAlignment="1">
      <alignment horizontal="left"/>
    </xf>
    <xf xfId="0" numFmtId="169" applyNumberFormat="1" borderId="124" applyBorder="1" fontId="5" applyFont="1" fillId="22" applyFill="1" applyAlignment="1">
      <alignment horizontal="right"/>
    </xf>
    <xf xfId="0" numFmtId="174" applyNumberFormat="1" borderId="123" applyBorder="1" fontId="5" applyFont="1" fillId="0" applyAlignment="1">
      <alignment horizontal="right"/>
    </xf>
    <xf xfId="0" numFmtId="169" applyNumberFormat="1" borderId="124" applyBorder="1" fontId="5" applyFont="1" fillId="21" applyFill="1" applyAlignment="1">
      <alignment horizontal="right"/>
    </xf>
    <xf xfId="0" numFmtId="3" applyNumberFormat="1" borderId="2" applyBorder="1" fontId="36" applyFont="1" fillId="11" applyFill="1" applyAlignment="1">
      <alignment horizontal="left"/>
    </xf>
    <xf xfId="0" numFmtId="167" applyNumberFormat="1" borderId="2" applyBorder="1" fontId="15" applyFont="1" fillId="11" applyFill="1" applyAlignment="1">
      <alignment horizontal="left"/>
    </xf>
    <xf xfId="0" numFmtId="3" applyNumberFormat="1" borderId="32" applyBorder="1" fontId="8" applyFont="1" fillId="23" applyFill="1" applyAlignment="1">
      <alignment horizontal="left"/>
    </xf>
    <xf xfId="0" numFmtId="3" applyNumberFormat="1" borderId="125" applyBorder="1" fontId="8" applyFont="1" fillId="23" applyFill="1" applyAlignment="1">
      <alignment horizontal="left"/>
    </xf>
    <xf xfId="0" numFmtId="4" applyNumberFormat="1" borderId="126" applyBorder="1" fontId="8" applyFont="1" fillId="23" applyFill="1" applyAlignment="1">
      <alignment horizontal="left"/>
    </xf>
    <xf xfId="0" numFmtId="3" applyNumberFormat="1" borderId="23" applyBorder="1" fontId="8" applyFont="1" fillId="0" applyAlignment="1">
      <alignment horizontal="center"/>
    </xf>
    <xf xfId="0" numFmtId="4" applyNumberFormat="1" borderId="26" applyBorder="1" fontId="8" applyFont="1" fillId="0" applyAlignment="1">
      <alignment horizontal="center" wrapText="1"/>
    </xf>
    <xf xfId="0" numFmtId="3" applyNumberFormat="1" borderId="23" applyBorder="1" fontId="8" applyFont="1" fillId="0" applyAlignment="1">
      <alignment horizontal="center" wrapText="1"/>
    </xf>
    <xf xfId="0" numFmtId="3" applyNumberFormat="1" borderId="16" applyBorder="1" fontId="8" applyFont="1" fillId="0" applyAlignment="1">
      <alignment horizontal="center" wrapText="1"/>
    </xf>
    <xf xfId="0" numFmtId="3" applyNumberFormat="1" borderId="1" applyBorder="1" fontId="8" applyFont="1" fillId="0" applyAlignment="1">
      <alignment horizontal="center"/>
    </xf>
    <xf xfId="0" numFmtId="167" applyNumberFormat="1" borderId="1" applyBorder="1" fontId="8" applyFont="1" fillId="0" applyAlignment="1">
      <alignment horizontal="center"/>
    </xf>
    <xf xfId="0" numFmtId="3" applyNumberFormat="1" borderId="2" applyBorder="1" fontId="16" applyFont="1" fillId="12" applyFill="1" applyAlignment="1">
      <alignment horizontal="left"/>
    </xf>
    <xf xfId="0" numFmtId="3" applyNumberFormat="1" borderId="2" applyBorder="1" fontId="5" applyFont="1" fillId="12" applyFill="1" applyAlignment="1">
      <alignment horizontal="left"/>
    </xf>
    <xf xfId="0" numFmtId="4" applyNumberFormat="1" borderId="2" applyBorder="1" fontId="5" applyFont="1" fillId="12" applyFill="1" applyAlignment="1">
      <alignment horizontal="left"/>
    </xf>
    <xf xfId="0" numFmtId="0" borderId="2" applyBorder="1" fontId="5" applyFont="1" fillId="12" applyFill="1" applyAlignment="1">
      <alignment horizontal="left"/>
    </xf>
    <xf xfId="0" numFmtId="167" applyNumberFormat="1" borderId="1" applyBorder="1" fontId="5" applyFont="1" fillId="0" applyAlignment="1">
      <alignment horizontal="right"/>
    </xf>
    <xf xfId="0" numFmtId="3" applyNumberFormat="1" borderId="1" applyBorder="1" fontId="4" applyFont="1" fillId="0" applyAlignment="1">
      <alignment horizontal="center"/>
    </xf>
    <xf xfId="0" numFmtId="3" applyNumberFormat="1" borderId="29" applyBorder="1" fontId="8" applyFont="1" fillId="23" applyFill="1" applyAlignment="1">
      <alignment horizontal="center"/>
    </xf>
    <xf xfId="0" numFmtId="3" applyNumberFormat="1" borderId="30" applyBorder="1" fontId="8" applyFont="1" fillId="23" applyFill="1" applyAlignment="1">
      <alignment horizontal="center"/>
    </xf>
    <xf xfId="0" numFmtId="4" applyNumberFormat="1" borderId="30" applyBorder="1" fontId="8" applyFont="1" fillId="23" applyFill="1" applyAlignment="1">
      <alignment horizontal="center"/>
    </xf>
    <xf xfId="0" numFmtId="0" borderId="30" applyBorder="1" fontId="8" applyFont="1" fillId="23" applyFill="1" applyAlignment="1">
      <alignment horizontal="center"/>
    </xf>
    <xf xfId="0" numFmtId="0" borderId="31" applyBorder="1" fontId="8" applyFont="1" fillId="23" applyFill="1" applyAlignment="1">
      <alignment horizontal="center"/>
    </xf>
    <xf xfId="0" numFmtId="0" borderId="32" applyBorder="1" fontId="8" applyFont="1" fillId="23" applyFill="1" applyAlignment="1">
      <alignment horizontal="center" vertical="top" wrapText="1"/>
    </xf>
    <xf xfId="0" numFmtId="0" borderId="15" applyBorder="1" fontId="8" applyFont="1" fillId="23" applyFill="1" applyAlignment="1">
      <alignment horizontal="center" vertical="top" wrapText="1"/>
    </xf>
    <xf xfId="0" numFmtId="3" applyNumberFormat="1" borderId="33" applyBorder="1" fontId="8" applyFont="1" fillId="23" applyFill="1" applyAlignment="1">
      <alignment horizontal="center"/>
    </xf>
    <xf xfId="0" numFmtId="3" applyNumberFormat="1" borderId="34" applyBorder="1" fontId="8" applyFont="1" fillId="23" applyFill="1" applyAlignment="1">
      <alignment horizontal="center"/>
    </xf>
    <xf xfId="0" numFmtId="4" applyNumberFormat="1" borderId="34" applyBorder="1" fontId="8" applyFont="1" fillId="23" applyFill="1" applyAlignment="1">
      <alignment horizontal="center"/>
    </xf>
    <xf xfId="0" numFmtId="0" borderId="34" applyBorder="1" fontId="8" applyFont="1" fillId="23" applyFill="1" applyAlignment="1">
      <alignment horizontal="center"/>
    </xf>
    <xf xfId="0" numFmtId="0" borderId="35" applyBorder="1" fontId="8" applyFont="1" fillId="23" applyFill="1" applyAlignment="1">
      <alignment horizontal="center"/>
    </xf>
    <xf xfId="0" numFmtId="3" applyNumberFormat="1" borderId="38" applyBorder="1" fontId="8" applyFont="1" fillId="0" applyAlignment="1">
      <alignment horizontal="center"/>
    </xf>
    <xf xfId="0" numFmtId="173" applyNumberFormat="1" borderId="1" applyBorder="1" fontId="5" applyFont="1" fillId="0" applyAlignment="1">
      <alignment horizontal="center"/>
    </xf>
    <xf xfId="0" numFmtId="173" applyNumberFormat="1" borderId="24" applyBorder="1" fontId="5" applyFont="1" fillId="0" applyAlignment="1">
      <alignment horizontal="center"/>
    </xf>
    <xf xfId="0" numFmtId="3" applyNumberFormat="1" borderId="12" applyBorder="1" fontId="8" applyFont="1" fillId="3" applyFill="1" applyAlignment="1">
      <alignment horizontal="center" wrapText="1"/>
    </xf>
    <xf xfId="0" numFmtId="4" applyNumberFormat="1" borderId="13" applyBorder="1" fontId="5" applyFont="1" fillId="0" applyAlignment="1">
      <alignment horizontal="left"/>
    </xf>
    <xf xfId="0" numFmtId="3" applyNumberFormat="1" borderId="16" applyBorder="1" fontId="8" applyFont="1" fillId="3" applyFill="1" applyAlignment="1">
      <alignment horizontal="center" wrapText="1"/>
    </xf>
    <xf xfId="0" numFmtId="4" applyNumberFormat="1" borderId="17" applyBorder="1" fontId="5" applyFont="1" fillId="0" applyAlignment="1">
      <alignment horizontal="left"/>
    </xf>
    <xf xfId="0" numFmtId="0" borderId="0" fontId="0" fillId="0" applyAlignment="1">
      <alignment horizontal="left"/>
    </xf>
    <xf xfId="0" numFmtId="3" applyNumberFormat="1" borderId="0" fontId="0" fillId="0" applyAlignment="1">
      <alignment horizontal="center"/>
    </xf>
    <xf xfId="0" numFmtId="0" borderId="2" applyBorder="1" fontId="22" applyFont="1" fillId="8" applyFill="1" applyAlignment="1">
      <alignment horizontal="left"/>
    </xf>
    <xf xfId="0" numFmtId="3" applyNumberFormat="1" borderId="2" applyBorder="1" fontId="5" applyFont="1" fillId="8" applyFill="1" applyAlignment="1">
      <alignment horizontal="left"/>
    </xf>
    <xf xfId="0" numFmtId="4" applyNumberFormat="1" borderId="2" applyBorder="1" fontId="5" applyFont="1" fillId="8" applyFill="1" applyAlignment="1">
      <alignment horizontal="left"/>
    </xf>
    <xf xfId="0" numFmtId="0" borderId="2" applyBorder="1" fontId="5" applyFont="1" fillId="8" applyFill="1" applyAlignment="1">
      <alignment horizontal="left"/>
    </xf>
    <xf xfId="0" numFmtId="3" applyNumberFormat="1" borderId="0" fontId="0" fillId="0" applyAlignment="1">
      <alignment horizontal="left"/>
    </xf>
    <xf xfId="0" numFmtId="0" borderId="0" fontId="0" fillId="0" applyAlignment="1">
      <alignment horizontal="right"/>
    </xf>
    <xf xfId="0" numFmtId="4" applyNumberFormat="1" borderId="1" applyBorder="1" fontId="9" applyFont="1" fillId="0" applyAlignment="1">
      <alignment horizontal="center"/>
    </xf>
    <xf xfId="0" numFmtId="0" borderId="0" fontId="0" fillId="0" applyAlignment="1">
      <alignment horizontal="right"/>
    </xf>
    <xf xfId="0" numFmtId="166" applyNumberFormat="1" borderId="11" applyBorder="1" fontId="12" applyFont="1" fillId="0" applyAlignment="1">
      <alignment horizontal="right"/>
    </xf>
    <xf xfId="0" numFmtId="170" applyNumberFormat="1" borderId="98" applyBorder="1" fontId="35" applyFont="1" fillId="21" applyFill="1" applyAlignment="1">
      <alignment horizontal="center"/>
    </xf>
    <xf xfId="0" numFmtId="1" applyNumberFormat="1" borderId="120" applyBorder="1" fontId="4" applyFont="1" fillId="0" applyAlignment="1">
      <alignment horizontal="left"/>
    </xf>
    <xf xfId="0" numFmtId="0" borderId="121" applyBorder="1" fontId="5" applyFont="1" fillId="0" applyAlignment="1">
      <alignment horizontal="center"/>
    </xf>
    <xf xfId="0" numFmtId="3" applyNumberFormat="1" borderId="122" applyBorder="1" fontId="5" applyFont="1" fillId="0" applyAlignment="1">
      <alignment horizontal="center"/>
    </xf>
    <xf xfId="0" numFmtId="4" applyNumberFormat="1" borderId="122" applyBorder="1" fontId="5" applyFont="1" fillId="0" applyAlignment="1">
      <alignment horizontal="center"/>
    </xf>
    <xf xfId="0" numFmtId="0" borderId="122" applyBorder="1" fontId="5" applyFont="1" fillId="0" applyAlignment="1">
      <alignment horizontal="center"/>
    </xf>
    <xf xfId="0" numFmtId="0" borderId="124" applyBorder="1" fontId="5" applyFont="1" fillId="22" applyFill="1" applyAlignment="1">
      <alignment horizontal="left"/>
    </xf>
    <xf xfId="0" numFmtId="3" applyNumberFormat="1" borderId="0" fontId="0" fillId="0" applyAlignment="1">
      <alignment horizontal="left"/>
    </xf>
    <xf xfId="0" numFmtId="0" borderId="0" fontId="0" fillId="0" applyAlignment="1">
      <alignment horizontal="right"/>
    </xf>
    <xf xfId="0" numFmtId="0" borderId="2" applyBorder="1" fontId="37" applyFont="1" fillId="20" applyFill="1" applyAlignment="1">
      <alignment horizontal="left"/>
    </xf>
    <xf xfId="0" numFmtId="1" applyNumberFormat="1" borderId="2" applyBorder="1" fontId="5" applyFont="1" fillId="20" applyFill="1" applyAlignment="1">
      <alignment horizontal="left"/>
    </xf>
    <xf xfId="0" numFmtId="3" applyNumberFormat="1" borderId="2" applyBorder="1" fontId="5" applyFont="1" fillId="20" applyFill="1" applyAlignment="1">
      <alignment horizontal="left"/>
    </xf>
    <xf xfId="0" numFmtId="0" borderId="2" applyBorder="1" fontId="5" applyFont="1" fillId="20" applyFill="1" applyAlignment="1">
      <alignment horizontal="left"/>
    </xf>
    <xf xfId="0" numFmtId="0" borderId="1" applyBorder="1" fontId="38" applyFont="1" fillId="0" applyAlignment="1">
      <alignment horizontal="left"/>
    </xf>
    <xf xfId="0" numFmtId="1" applyNumberFormat="1" borderId="0" fontId="0" fillId="0" applyAlignment="1">
      <alignment horizontal="right"/>
    </xf>
    <xf xfId="0" numFmtId="1" applyNumberFormat="1" borderId="1" applyBorder="1" fontId="38" applyFont="1" fillId="0" applyAlignment="1">
      <alignment horizontal="left"/>
    </xf>
    <xf xfId="0" numFmtId="3" applyNumberFormat="1" borderId="1" applyBorder="1" fontId="38" applyFont="1" fillId="0" applyAlignment="1">
      <alignment horizontal="left"/>
    </xf>
    <xf xfId="0" numFmtId="0" borderId="1" applyBorder="1" fontId="39" applyFont="1" fillId="0" applyAlignment="1">
      <alignment horizontal="left"/>
    </xf>
    <xf xfId="0" numFmtId="14" applyNumberFormat="1" borderId="1" applyBorder="1" fontId="12" applyFont="1" fillId="0" applyAlignment="1">
      <alignment horizontal="center"/>
    </xf>
    <xf xfId="0" numFmtId="3" applyNumberFormat="1" borderId="1" applyBorder="1" fontId="12" applyFont="1" fillId="0" applyAlignment="1">
      <alignment horizontal="center"/>
    </xf>
    <xf xfId="0" numFmtId="0" borderId="1" applyBorder="1" fontId="12" applyFont="1" fillId="0" applyAlignment="1">
      <alignment horizontal="center"/>
    </xf>
    <xf xfId="0" numFmtId="3" applyNumberFormat="1" borderId="1" applyBorder="1" fontId="12" applyFont="1" fillId="0" applyAlignment="1">
      <alignment horizontal="left"/>
    </xf>
    <xf xfId="0" numFmtId="14" applyNumberFormat="1" borderId="1" applyBorder="1" fontId="5" applyFont="1" fillId="0" applyAlignment="1">
      <alignment horizontal="right"/>
    </xf>
    <xf xfId="0" numFmtId="0" borderId="98" applyBorder="1" fontId="35" applyFont="1" fillId="18" applyFill="1" applyAlignment="1">
      <alignment horizontal="left"/>
    </xf>
    <xf xfId="0" numFmtId="1" applyNumberFormat="1" borderId="98" applyBorder="1" fontId="35" applyFont="1" fillId="18" applyFill="1" applyAlignment="1">
      <alignment horizontal="right"/>
    </xf>
    <xf xfId="0" numFmtId="3" applyNumberFormat="1" borderId="127" applyBorder="1" fontId="40" applyFont="1" fillId="0" applyAlignment="1">
      <alignment horizontal="center"/>
    </xf>
    <xf xfId="0" numFmtId="3" applyNumberFormat="1" borderId="128" applyBorder="1" fontId="40" applyFont="1" fillId="0" applyAlignment="1">
      <alignment horizontal="center"/>
    </xf>
    <xf xfId="0" numFmtId="3" applyNumberFormat="1" borderId="98" applyBorder="1" fontId="35" applyFont="1" fillId="18" applyFill="1" applyAlignment="1">
      <alignment horizontal="right"/>
    </xf>
    <xf xfId="0" numFmtId="4" applyNumberFormat="1" borderId="98" applyBorder="1" fontId="35" applyFont="1" fillId="18" applyFill="1" applyAlignment="1">
      <alignment horizontal="right"/>
    </xf>
    <xf xfId="0" numFmtId="3" applyNumberFormat="1" borderId="39" applyBorder="1" fontId="40" applyFont="1" fillId="0" applyAlignment="1">
      <alignment horizontal="center"/>
    </xf>
    <xf xfId="0" numFmtId="0" borderId="129" applyBorder="1" fontId="41" applyFont="1" fillId="3" applyFill="1" applyAlignment="1">
      <alignment horizontal="center" wrapText="1"/>
    </xf>
    <xf xfId="0" numFmtId="3" applyNumberFormat="1" borderId="130" applyBorder="1" fontId="5" applyFont="1" fillId="0" applyAlignment="1">
      <alignment horizontal="left"/>
    </xf>
    <xf xfId="0" numFmtId="3" applyNumberFormat="1" borderId="131" applyBorder="1" fontId="42" applyFont="1" fillId="4" applyFill="1" applyAlignment="1">
      <alignment horizontal="center" wrapText="1"/>
    </xf>
    <xf xfId="0" numFmtId="3" applyNumberFormat="1" borderId="132" applyBorder="1" fontId="5" applyFont="1" fillId="0" applyAlignment="1">
      <alignment horizontal="left"/>
    </xf>
    <xf xfId="0" numFmtId="0" borderId="133" applyBorder="1" fontId="12" applyFont="1" fillId="9" applyFill="1" applyAlignment="1">
      <alignment horizontal="center"/>
    </xf>
    <xf xfId="0" numFmtId="3" applyNumberFormat="1" borderId="134" applyBorder="1" fontId="5" applyFont="1" fillId="0" applyAlignment="1">
      <alignment horizontal="left"/>
    </xf>
    <xf xfId="0" numFmtId="3" applyNumberFormat="1" borderId="135" applyBorder="1" fontId="12" applyFont="1" fillId="15" applyFill="1" applyAlignment="1">
      <alignment horizontal="center"/>
    </xf>
    <xf xfId="0" numFmtId="3" applyNumberFormat="1" borderId="136" applyBorder="1" fontId="5" applyFont="1" fillId="0" applyAlignment="1">
      <alignment horizontal="left"/>
    </xf>
    <xf xfId="0" numFmtId="0" borderId="137" applyBorder="1" fontId="5" applyFont="1" fillId="9" applyFill="1" applyAlignment="1">
      <alignment horizontal="left"/>
    </xf>
    <xf xfId="0" numFmtId="3" applyNumberFormat="1" borderId="138" applyBorder="1" fontId="5" applyFont="1" fillId="9" applyFill="1" applyAlignment="1">
      <alignment horizontal="center"/>
    </xf>
    <xf xfId="0" numFmtId="3" applyNumberFormat="1" borderId="69" applyBorder="1" fontId="5" applyFont="1" fillId="15" applyFill="1" applyAlignment="1">
      <alignment horizontal="left"/>
    </xf>
    <xf xfId="0" numFmtId="3" applyNumberFormat="1" borderId="70" applyBorder="1" fontId="5" applyFont="1" fillId="15" applyFill="1" applyAlignment="1">
      <alignment horizontal="center"/>
    </xf>
    <xf xfId="0" numFmtId="1" applyNumberFormat="1" borderId="1" applyBorder="1" fontId="5" applyFont="1" fillId="0" applyAlignment="1">
      <alignment horizontal="right"/>
    </xf>
    <xf xfId="0" numFmtId="1" applyNumberFormat="1" borderId="138" applyBorder="1" fontId="5" applyFont="1" fillId="9" applyFill="1" applyAlignment="1">
      <alignment horizontal="center"/>
    </xf>
    <xf xfId="0" numFmtId="1" applyNumberFormat="1" borderId="70" applyBorder="1" fontId="5" applyFont="1" fillId="15" applyFill="1" applyAlignment="1">
      <alignment horizontal="center"/>
    </xf>
    <xf xfId="0" numFmtId="0" borderId="139" applyBorder="1" fontId="5" applyFont="1" fillId="9" applyFill="1" applyAlignment="1">
      <alignment horizontal="left"/>
    </xf>
    <xf xfId="0" numFmtId="1" applyNumberFormat="1" borderId="140" applyBorder="1" fontId="5" applyFont="1" fillId="9" applyFill="1" applyAlignment="1">
      <alignment horizontal="center"/>
    </xf>
    <xf xfId="0" numFmtId="3" applyNumberFormat="1" borderId="73" applyBorder="1" fontId="5" applyFont="1" fillId="15" applyFill="1" applyAlignment="1">
      <alignment horizontal="left"/>
    </xf>
    <xf xfId="0" numFmtId="1" applyNumberFormat="1" borderId="141" applyBorder="1" fontId="5" applyFont="1" fillId="15" applyFill="1" applyAlignment="1">
      <alignment horizontal="center"/>
    </xf>
    <xf xfId="0" numFmtId="0" borderId="2" applyBorder="1" fontId="43" applyFont="1" fillId="3" applyFill="1" applyAlignment="1">
      <alignment horizontal="center" vertical="top" wrapText="1"/>
    </xf>
    <xf xfId="0" numFmtId="1" applyNumberFormat="1" borderId="142" applyBorder="1" fontId="24" applyFont="1" fillId="8" applyFill="1" applyAlignment="1">
      <alignment horizontal="center" vertical="top" wrapText="1"/>
    </xf>
    <xf xfId="0" numFmtId="3" applyNumberFormat="1" borderId="143" applyBorder="1" fontId="12" applyFont="1" fillId="8" applyFill="1" applyAlignment="1">
      <alignment horizontal="center"/>
    </xf>
    <xf xfId="0" numFmtId="0" borderId="144" applyBorder="1" fontId="5" applyFont="1" fillId="0" applyAlignment="1">
      <alignment horizontal="left"/>
    </xf>
    <xf xfId="0" numFmtId="3" applyNumberFormat="1" borderId="145" applyBorder="1" fontId="12" applyFont="1" fillId="8" applyFill="1" applyAlignment="1">
      <alignment horizontal="center"/>
    </xf>
    <xf xfId="0" numFmtId="0" borderId="146" applyBorder="1" fontId="5" applyFont="1" fillId="0" applyAlignment="1">
      <alignment horizontal="left"/>
    </xf>
    <xf xfId="0" numFmtId="3" applyNumberFormat="1" borderId="56" applyBorder="1" fontId="12" applyFont="1" fillId="8" applyFill="1" applyAlignment="1">
      <alignment horizontal="center"/>
    </xf>
    <xf xfId="0" numFmtId="3" applyNumberFormat="1" borderId="147" applyBorder="1" fontId="5" applyFont="1" fillId="0" applyAlignment="1">
      <alignment horizontal="left"/>
    </xf>
    <xf xfId="0" numFmtId="1" applyNumberFormat="1" borderId="148" applyBorder="1" fontId="5" applyFont="1" fillId="0" applyAlignment="1">
      <alignment horizontal="left"/>
    </xf>
    <xf xfId="0" numFmtId="3" applyNumberFormat="1" borderId="149" applyBorder="1" fontId="15" applyFont="1" fillId="8" applyFill="1" applyAlignment="1">
      <alignment horizontal="center"/>
    </xf>
    <xf xfId="0" numFmtId="0" borderId="149" applyBorder="1" fontId="5" applyFont="1" fillId="8" applyFill="1" applyAlignment="1">
      <alignment horizontal="center"/>
    </xf>
    <xf xfId="0" numFmtId="3" applyNumberFormat="1" borderId="150" applyBorder="1" fontId="5" applyFont="1" fillId="8" applyFill="1" applyAlignment="1">
      <alignment horizontal="center"/>
    </xf>
    <xf xfId="0" numFmtId="1" applyNumberFormat="1" borderId="58" applyBorder="1" fontId="5" applyFont="1" fillId="9" applyFill="1" applyAlignment="1">
      <alignment horizontal="left"/>
    </xf>
    <xf xfId="0" numFmtId="4" applyNumberFormat="1" borderId="88" applyBorder="1" fontId="15" applyFont="1" fillId="18" applyFill="1" applyAlignment="1">
      <alignment horizontal="center"/>
    </xf>
    <xf xfId="0" numFmtId="1" applyNumberFormat="1" borderId="62" applyBorder="1" fontId="5" applyFont="1" fillId="9" applyFill="1" applyAlignment="1">
      <alignment horizontal="left"/>
    </xf>
    <xf xfId="0" numFmtId="1" applyNumberFormat="1" borderId="151" applyBorder="1" fontId="5" applyFont="1" fillId="0" applyAlignment="1">
      <alignment horizontal="left"/>
    </xf>
    <xf xfId="0" numFmtId="1" applyNumberFormat="1" borderId="152" applyBorder="1" fontId="24" applyFont="1" fillId="8" applyFill="1" applyAlignment="1">
      <alignment horizontal="center" wrapText="1"/>
    </xf>
    <xf xfId="0" numFmtId="3" applyNumberFormat="1" borderId="153" applyBorder="1" fontId="5" applyFont="1" fillId="8" applyFill="1" applyAlignment="1">
      <alignment horizontal="center" wrapText="1"/>
    </xf>
    <xf xfId="0" numFmtId="0" borderId="153" applyBorder="1" fontId="5" applyFont="1" fillId="8" applyFill="1" applyAlignment="1">
      <alignment horizontal="center" wrapText="1"/>
    </xf>
    <xf xfId="0" numFmtId="3" applyNumberFormat="1" borderId="154" applyBorder="1" fontId="5" applyFont="1" fillId="8" applyFill="1" applyAlignment="1">
      <alignment horizontal="center" wrapText="1"/>
    </xf>
    <xf xfId="0" numFmtId="0" borderId="155" applyBorder="1" fontId="5" applyFont="1" fillId="8" applyFill="1" applyAlignment="1">
      <alignment horizontal="center" wrapText="1"/>
    </xf>
    <xf xfId="0" numFmtId="1" applyNumberFormat="1" borderId="142" applyBorder="1" fontId="24" applyFont="1" fillId="8" applyFill="1" applyAlignment="1">
      <alignment horizontal="center" wrapText="1"/>
    </xf>
    <xf xfId="0" numFmtId="0" borderId="2" applyBorder="1" fontId="44" applyFont="1" fillId="4" applyFill="1" applyAlignment="1">
      <alignment horizontal="center" vertical="top" wrapText="1"/>
    </xf>
    <xf xfId="0" numFmtId="1" applyNumberFormat="1" borderId="156" applyBorder="1" fontId="24" applyFont="1" fillId="4" applyFill="1" applyAlignment="1">
      <alignment horizontal="center" vertical="top" wrapText="1"/>
    </xf>
    <xf xfId="0" numFmtId="3" applyNumberFormat="1" borderId="157" applyBorder="1" fontId="12" applyFont="1" fillId="4" applyFill="1" applyAlignment="1">
      <alignment horizontal="center"/>
    </xf>
    <xf xfId="0" numFmtId="0" borderId="158" applyBorder="1" fontId="5" applyFont="1" fillId="0" applyAlignment="1">
      <alignment horizontal="left"/>
    </xf>
    <xf xfId="0" numFmtId="3" applyNumberFormat="1" borderId="159" applyBorder="1" fontId="12" applyFont="1" fillId="4" applyFill="1" applyAlignment="1">
      <alignment horizontal="center"/>
    </xf>
    <xf xfId="0" numFmtId="0" borderId="160" applyBorder="1" fontId="5" applyFont="1" fillId="0" applyAlignment="1">
      <alignment horizontal="left"/>
    </xf>
    <xf xfId="0" numFmtId="3" applyNumberFormat="1" borderId="68" applyBorder="1" fontId="12" applyFont="1" fillId="4" applyFill="1" applyAlignment="1">
      <alignment horizontal="center"/>
    </xf>
    <xf xfId="0" numFmtId="1" applyNumberFormat="1" borderId="161" applyBorder="1" fontId="5" applyFont="1" fillId="0" applyAlignment="1">
      <alignment horizontal="left"/>
    </xf>
    <xf xfId="0" numFmtId="3" applyNumberFormat="1" borderId="149" applyBorder="1" fontId="15" applyFont="1" fillId="4" applyFill="1" applyAlignment="1">
      <alignment horizontal="center"/>
    </xf>
    <xf xfId="0" numFmtId="0" borderId="149" applyBorder="1" fontId="5" applyFont="1" fillId="4" applyFill="1" applyAlignment="1">
      <alignment horizontal="center"/>
    </xf>
    <xf xfId="0" numFmtId="0" borderId="162" applyBorder="1" fontId="5" applyFont="1" fillId="4" applyFill="1" applyAlignment="1">
      <alignment horizontal="center"/>
    </xf>
    <xf xfId="0" numFmtId="3" applyNumberFormat="1" borderId="163" applyBorder="1" fontId="15" applyFont="1" fillId="4" applyFill="1" applyAlignment="1">
      <alignment horizontal="center"/>
    </xf>
    <xf xfId="0" numFmtId="3" applyNumberFormat="1" borderId="164" applyBorder="1" fontId="5" applyFont="1" fillId="4" applyFill="1" applyAlignment="1">
      <alignment horizontal="center"/>
    </xf>
    <xf xfId="0" numFmtId="1" applyNumberFormat="1" borderId="69" applyBorder="1" fontId="5" applyFont="1" fillId="15" applyFill="1" applyAlignment="1">
      <alignment horizontal="left"/>
    </xf>
    <xf xfId="0" numFmtId="1" applyNumberFormat="1" borderId="73" applyBorder="1" fontId="5" applyFont="1" fillId="15" applyFill="1" applyAlignment="1">
      <alignment horizontal="left"/>
    </xf>
    <xf xfId="0" numFmtId="1" applyNumberFormat="1" borderId="156" applyBorder="1" fontId="24" applyFont="1" fillId="4" applyFill="1" applyAlignment="1">
      <alignment horizontal="center" wrapText="1"/>
    </xf>
    <xf xfId="0" numFmtId="3" applyNumberFormat="1" borderId="165" applyBorder="1" fontId="5" applyFont="1" fillId="4" applyFill="1" applyAlignment="1">
      <alignment horizontal="center" wrapText="1"/>
    </xf>
    <xf xfId="0" numFmtId="0" borderId="165" applyBorder="1" fontId="5" applyFont="1" fillId="4" applyFill="1" applyAlignment="1">
      <alignment horizontal="center" wrapText="1"/>
    </xf>
    <xf xfId="0" numFmtId="3" applyNumberFormat="1" borderId="166" applyBorder="1" fontId="5" applyFont="1" fillId="4" applyFill="1" applyAlignment="1">
      <alignment horizontal="center" wrapText="1"/>
    </xf>
    <xf xfId="0" numFmtId="0" borderId="167" applyBorder="1" fontId="5" applyFont="1" fillId="4" applyFill="1" applyAlignment="1">
      <alignment horizontal="center" wrapText="1"/>
    </xf>
    <xf xfId="0" numFmtId="0" borderId="2" applyBorder="1" fontId="19" applyFont="1" fillId="24" applyFill="1" applyAlignment="1">
      <alignment horizontal="center" vertical="top" wrapText="1"/>
    </xf>
    <xf xfId="0" numFmtId="3" applyNumberFormat="1" borderId="2" applyBorder="1" fontId="5" applyFont="1" fillId="20" applyFill="1" applyAlignment="1">
      <alignment horizontal="right"/>
    </xf>
    <xf xfId="0" numFmtId="171" applyNumberFormat="1" borderId="2" applyBorder="1" fontId="12" applyFont="1" fillId="20" applyFill="1" applyAlignment="1">
      <alignment horizontal="right"/>
    </xf>
    <xf xfId="0" numFmtId="1" applyNumberFormat="1" borderId="98" applyBorder="1" fontId="35" applyFont="1" fillId="18" applyFill="1" applyAlignment="1">
      <alignment horizontal="left"/>
    </xf>
    <xf xfId="0" numFmtId="3" applyNumberFormat="1" borderId="1" applyBorder="1" fontId="45" applyFont="1" fillId="0" applyAlignment="1">
      <alignment horizontal="left"/>
    </xf>
    <xf xfId="0" numFmtId="1" applyNumberFormat="1" borderId="1" applyBorder="1" fontId="35" applyFont="1" fillId="0" applyAlignment="1">
      <alignment horizontal="right"/>
    </xf>
    <xf xfId="0" numFmtId="1" applyNumberFormat="1" borderId="0" fontId="0" fillId="0" applyAlignment="1">
      <alignment horizontal="right"/>
    </xf>
    <xf xfId="0" numFmtId="0" borderId="168" applyBorder="1" fontId="37" applyFont="1" fillId="25" applyFill="1" applyAlignment="1">
      <alignment horizontal="left"/>
    </xf>
    <xf xfId="0" numFmtId="171" applyNumberFormat="1" borderId="169" applyBorder="1" fontId="5" applyFont="1" fillId="25" applyFill="1" applyAlignment="1">
      <alignment horizontal="left"/>
    </xf>
    <xf xfId="0" numFmtId="3" applyNumberFormat="1" borderId="169" applyBorder="1" fontId="5" applyFont="1" fillId="25" applyFill="1" applyAlignment="1">
      <alignment horizontal="left"/>
    </xf>
    <xf xfId="0" numFmtId="4" applyNumberFormat="1" borderId="169" applyBorder="1" fontId="5" applyFont="1" fillId="25" applyFill="1" applyAlignment="1">
      <alignment horizontal="left"/>
    </xf>
    <xf xfId="0" numFmtId="0" borderId="169" applyBorder="1" fontId="5" applyFont="1" fillId="25" applyFill="1" applyAlignment="1">
      <alignment horizontal="left"/>
    </xf>
    <xf xfId="0" numFmtId="0" borderId="170" applyBorder="1" fontId="5" applyFont="1" fillId="25" applyFill="1" applyAlignment="1">
      <alignment horizontal="left"/>
    </xf>
    <xf xfId="0" numFmtId="171" applyNumberFormat="1" borderId="0" fontId="0" fillId="0" applyAlignment="1">
      <alignment horizontal="general"/>
    </xf>
    <xf xfId="0" numFmtId="4" applyNumberFormat="1" borderId="0" fontId="0" fillId="0" applyAlignment="1">
      <alignment horizontal="center"/>
    </xf>
    <xf xfId="0" numFmtId="3" applyNumberFormat="1" borderId="1" applyBorder="1" fontId="46" applyFont="1" fillId="0" applyAlignment="1">
      <alignment horizontal="left"/>
    </xf>
    <xf xfId="0" numFmtId="4" applyNumberFormat="1" borderId="1" applyBorder="1" fontId="46" applyFont="1" fillId="0" applyAlignment="1">
      <alignment horizontal="left"/>
    </xf>
    <xf xfId="0" numFmtId="0" borderId="0" fontId="0" fillId="0" applyAlignment="1">
      <alignment horizontal="center"/>
    </xf>
    <xf xfId="0" numFmtId="0" borderId="171" applyBorder="1" fontId="5" applyFont="1" fillId="0" applyAlignment="1">
      <alignment horizontal="left"/>
    </xf>
    <xf xfId="0" numFmtId="171" applyNumberFormat="1" borderId="172" applyBorder="1" fontId="5" applyFont="1" fillId="0" applyAlignment="1">
      <alignment horizontal="center"/>
    </xf>
    <xf xfId="0" numFmtId="3" applyNumberFormat="1" borderId="172" applyBorder="1" fontId="5" applyFont="1" fillId="0" applyAlignment="1">
      <alignment horizontal="left"/>
    </xf>
    <xf xfId="0" numFmtId="3" applyNumberFormat="1" borderId="173" applyBorder="1" fontId="5" applyFont="1" fillId="0" applyAlignment="1">
      <alignment horizontal="left"/>
    </xf>
    <xf xfId="0" numFmtId="4" applyNumberFormat="1" borderId="173" applyBorder="1" fontId="5" applyFont="1" fillId="0" applyAlignment="1">
      <alignment horizontal="left"/>
    </xf>
    <xf xfId="0" numFmtId="0" borderId="172" applyBorder="1" fontId="5" applyFont="1" fillId="0" applyAlignment="1">
      <alignment horizontal="left"/>
    </xf>
    <xf xfId="0" numFmtId="0" borderId="174" applyBorder="1" fontId="47" applyFont="1" fillId="12" applyFill="1" applyAlignment="1">
      <alignment horizontal="left"/>
    </xf>
    <xf xfId="0" numFmtId="0" borderId="174" applyBorder="1" fontId="47" applyFont="1" fillId="8" applyFill="1" applyAlignment="1">
      <alignment horizontal="left"/>
    </xf>
    <xf xfId="0" numFmtId="0" borderId="175" applyBorder="1" fontId="5" applyFont="1" fillId="26" applyFill="1" applyAlignment="1">
      <alignment horizontal="left"/>
    </xf>
    <xf xfId="0" numFmtId="171" applyNumberFormat="1" borderId="173" applyBorder="1" fontId="5" applyFont="1" fillId="0" applyAlignment="1">
      <alignment horizontal="center"/>
    </xf>
    <xf xfId="0" numFmtId="3" applyNumberFormat="1" borderId="176" applyBorder="1" fontId="5" applyFont="1" fillId="0" applyAlignment="1">
      <alignment horizontal="left"/>
    </xf>
    <xf xfId="0" numFmtId="3" applyNumberFormat="1" borderId="177" applyBorder="1" fontId="35" applyFont="1" fillId="27" applyFill="1" applyAlignment="1">
      <alignment horizontal="right"/>
    </xf>
    <xf xfId="0" numFmtId="3" applyNumberFormat="1" borderId="178" applyBorder="1" fontId="35" applyFont="1" fillId="27" applyFill="1" applyAlignment="1">
      <alignment horizontal="right"/>
    </xf>
    <xf xfId="0" numFmtId="4" applyNumberFormat="1" borderId="178" applyBorder="1" fontId="35" applyFont="1" fillId="27" applyFill="1" applyAlignment="1">
      <alignment horizontal="right"/>
    </xf>
    <xf xfId="0" numFmtId="4" applyNumberFormat="1" borderId="179" applyBorder="1" fontId="35" applyFont="1" fillId="27" applyFill="1" applyAlignment="1">
      <alignment horizontal="right"/>
    </xf>
    <xf xfId="0" numFmtId="0" borderId="173" applyBorder="1" fontId="35" applyFont="1" fillId="0" applyAlignment="1">
      <alignment horizontal="left"/>
    </xf>
    <xf xfId="0" numFmtId="4" applyNumberFormat="1" borderId="174" applyBorder="1" fontId="47" applyFont="1" fillId="12" applyFill="1" applyAlignment="1">
      <alignment horizontal="right"/>
    </xf>
    <xf xfId="0" numFmtId="0" borderId="173" applyBorder="1" fontId="5" applyFont="1" fillId="0" applyAlignment="1">
      <alignment horizontal="left"/>
    </xf>
    <xf xfId="0" numFmtId="4" applyNumberFormat="1" borderId="174" applyBorder="1" fontId="47" applyFont="1" fillId="8" applyFill="1" applyAlignment="1">
      <alignment horizontal="right"/>
    </xf>
    <xf xfId="0" numFmtId="166" applyNumberFormat="1" borderId="173" applyBorder="1" fontId="12" applyFont="1" fillId="0" applyAlignment="1">
      <alignment horizontal="right"/>
    </xf>
    <xf xfId="0" numFmtId="166" applyNumberFormat="1" borderId="180" applyBorder="1" fontId="12" applyFont="1" fillId="0" applyAlignment="1">
      <alignment horizontal="right"/>
    </xf>
    <xf xfId="0" numFmtId="0" borderId="88" applyBorder="1" fontId="5" applyFont="1" fillId="26" applyFill="1" applyAlignment="1">
      <alignment horizontal="left"/>
    </xf>
    <xf xfId="0" numFmtId="171" applyNumberFormat="1" borderId="1" applyBorder="1" fontId="5" applyFont="1" fillId="0" applyAlignment="1">
      <alignment horizontal="center"/>
    </xf>
    <xf xfId="0" numFmtId="3" applyNumberFormat="1" borderId="181" applyBorder="1" fontId="35" applyFont="1" fillId="27" applyFill="1" applyAlignment="1">
      <alignment horizontal="right"/>
    </xf>
    <xf xfId="0" numFmtId="3" applyNumberFormat="1" borderId="182" applyBorder="1" fontId="35" applyFont="1" fillId="27" applyFill="1" applyAlignment="1">
      <alignment horizontal="right"/>
    </xf>
    <xf xfId="0" numFmtId="4" applyNumberFormat="1" borderId="182" applyBorder="1" fontId="35" applyFont="1" fillId="27" applyFill="1" applyAlignment="1">
      <alignment horizontal="right"/>
    </xf>
    <xf xfId="0" numFmtId="4" applyNumberFormat="1" borderId="183" applyBorder="1" fontId="35" applyFont="1" fillId="27" applyFill="1" applyAlignment="1">
      <alignment horizontal="right"/>
    </xf>
    <xf xfId="0" numFmtId="0" borderId="1" applyBorder="1" fontId="35" applyFont="1" fillId="0" applyAlignment="1">
      <alignment horizontal="left"/>
    </xf>
    <xf xfId="0" numFmtId="0" borderId="1" applyBorder="1" fontId="46" applyFont="1" fillId="0" applyAlignment="1">
      <alignment horizontal="left"/>
    </xf>
    <xf xfId="0" numFmtId="166" applyNumberFormat="1" borderId="1" applyBorder="1" fontId="12" applyFont="1" fillId="0" applyAlignment="1">
      <alignment horizontal="right"/>
    </xf>
    <xf xfId="0" numFmtId="166" applyNumberFormat="1" borderId="184" applyBorder="1" fontId="12" applyFont="1" fillId="0" applyAlignment="1">
      <alignment horizontal="right"/>
    </xf>
    <xf xfId="0" numFmtId="3" applyNumberFormat="1" borderId="185" applyBorder="1" fontId="35" applyFont="1" fillId="28" applyFill="1" applyAlignment="1">
      <alignment horizontal="right"/>
    </xf>
    <xf xfId="0" numFmtId="3" applyNumberFormat="1" borderId="186" applyBorder="1" fontId="35" applyFont="1" fillId="28" applyFill="1" applyAlignment="1">
      <alignment horizontal="right"/>
    </xf>
    <xf xfId="0" numFmtId="4" applyNumberFormat="1" borderId="186" applyBorder="1" fontId="35" applyFont="1" fillId="28" applyFill="1" applyAlignment="1">
      <alignment horizontal="right"/>
    </xf>
    <xf xfId="0" numFmtId="4" applyNumberFormat="1" borderId="187" applyBorder="1" fontId="35" applyFont="1" fillId="28" applyFill="1" applyAlignment="1">
      <alignment horizontal="right"/>
    </xf>
    <xf xfId="0" numFmtId="3" applyNumberFormat="1" borderId="181" applyBorder="1" fontId="35" applyFont="1" fillId="28" applyFill="1" applyAlignment="1">
      <alignment horizontal="right"/>
    </xf>
    <xf xfId="0" numFmtId="3" applyNumberFormat="1" borderId="182" applyBorder="1" fontId="35" applyFont="1" fillId="28" applyFill="1" applyAlignment="1">
      <alignment horizontal="right"/>
    </xf>
    <xf xfId="0" numFmtId="4" applyNumberFormat="1" borderId="182" applyBorder="1" fontId="35" applyFont="1" fillId="28" applyFill="1" applyAlignment="1">
      <alignment horizontal="right"/>
    </xf>
    <xf xfId="0" numFmtId="4" applyNumberFormat="1" borderId="183" applyBorder="1" fontId="35" applyFont="1" fillId="28" applyFill="1" applyAlignment="1">
      <alignment horizontal="right"/>
    </xf>
    <xf xfId="0" numFmtId="3" applyNumberFormat="1" borderId="181" applyBorder="1" fontId="35" applyFont="1" fillId="28" applyFill="1" applyAlignment="1">
      <alignment horizontal="left"/>
    </xf>
    <xf xfId="0" numFmtId="3" applyNumberFormat="1" borderId="182" applyBorder="1" fontId="35" applyFont="1" fillId="28" applyFill="1" applyAlignment="1">
      <alignment horizontal="left"/>
    </xf>
    <xf xfId="0" numFmtId="4" applyNumberFormat="1" borderId="182" applyBorder="1" fontId="35" applyFont="1" fillId="28" applyFill="1" applyAlignment="1">
      <alignment horizontal="left"/>
    </xf>
    <xf xfId="0" numFmtId="4" applyNumberFormat="1" borderId="183" applyBorder="1" fontId="35" applyFont="1" fillId="28" applyFill="1" applyAlignment="1">
      <alignment horizontal="left"/>
    </xf>
    <xf xfId="0" numFmtId="0" borderId="188" applyBorder="1" fontId="5" applyFont="1" fillId="26" applyFill="1" applyAlignment="1">
      <alignment horizontal="left"/>
    </xf>
    <xf xfId="0" numFmtId="171" applyNumberFormat="1" borderId="120" applyBorder="1" fontId="5" applyFont="1" fillId="0" applyAlignment="1">
      <alignment horizontal="center"/>
    </xf>
    <xf xfId="0" numFmtId="3" applyNumberFormat="1" borderId="189" applyBorder="1" fontId="35" applyFont="1" fillId="28" applyFill="1" applyAlignment="1">
      <alignment horizontal="left"/>
    </xf>
    <xf xfId="0" numFmtId="3" applyNumberFormat="1" borderId="190" applyBorder="1" fontId="35" applyFont="1" fillId="28" applyFill="1" applyAlignment="1">
      <alignment horizontal="left"/>
    </xf>
    <xf xfId="0" numFmtId="4" applyNumberFormat="1" borderId="190" applyBorder="1" fontId="35" applyFont="1" fillId="28" applyFill="1" applyAlignment="1">
      <alignment horizontal="left"/>
    </xf>
    <xf xfId="0" numFmtId="4" applyNumberFormat="1" borderId="191" applyBorder="1" fontId="35" applyFont="1" fillId="28" applyFill="1" applyAlignment="1">
      <alignment horizontal="left"/>
    </xf>
    <xf xfId="0" numFmtId="0" borderId="120" applyBorder="1" fontId="35" applyFont="1" fillId="0" applyAlignment="1">
      <alignment horizontal="left"/>
    </xf>
    <xf xfId="0" numFmtId="0" borderId="120" applyBorder="1" fontId="5" applyFont="1" fillId="0" applyAlignment="1">
      <alignment horizontal="left"/>
    </xf>
    <xf xfId="0" numFmtId="166" applyNumberFormat="1" borderId="120" applyBorder="1" fontId="12" applyFont="1" fillId="0" applyAlignment="1">
      <alignment horizontal="right"/>
    </xf>
    <xf xfId="0" numFmtId="166" applyNumberFormat="1" borderId="192" applyBorder="1" fontId="12" applyFont="1" fillId="0" applyAlignment="1">
      <alignment horizontal="right"/>
    </xf>
    <xf xfId="0" numFmtId="3" applyNumberFormat="1" borderId="193" applyBorder="1" fontId="35" applyFont="1" fillId="28" applyFill="1" applyAlignment="1">
      <alignment horizontal="left"/>
    </xf>
    <xf xfId="0" numFmtId="3" applyNumberFormat="1" borderId="194" applyBorder="1" fontId="35" applyFont="1" fillId="28" applyFill="1" applyAlignment="1">
      <alignment horizontal="left"/>
    </xf>
    <xf xfId="0" numFmtId="4" applyNumberFormat="1" borderId="194" applyBorder="1" fontId="35" applyFont="1" fillId="28" applyFill="1" applyAlignment="1">
      <alignment horizontal="left"/>
    </xf>
    <xf xfId="0" numFmtId="4" applyNumberFormat="1" borderId="195" applyBorder="1" fontId="35" applyFont="1" fillId="28" applyFill="1" applyAlignment="1">
      <alignment horizontal="left"/>
    </xf>
    <xf xfId="0" numFmtId="0" borderId="196" applyBorder="1" fontId="5" applyFont="1" fillId="29" applyFill="1" applyAlignment="1">
      <alignment horizontal="left"/>
    </xf>
    <xf xfId="0" numFmtId="0" borderId="175" applyBorder="1" fontId="5" applyFont="1" fillId="29" applyFill="1" applyAlignment="1">
      <alignment horizontal="left"/>
    </xf>
    <xf xfId="0" numFmtId="0" borderId="174" applyBorder="1" fontId="47" applyFont="1" fillId="12" applyFill="1" applyAlignment="1">
      <alignment horizontal="left"/>
    </xf>
    <xf xfId="0" numFmtId="0" borderId="88" applyBorder="1" fontId="5" applyFont="1" fillId="29" applyFill="1" applyAlignment="1">
      <alignment horizontal="left"/>
    </xf>
    <xf xfId="0" numFmtId="0" borderId="188" applyBorder="1" fontId="5" applyFont="1" fillId="29" applyFill="1" applyAlignment="1">
      <alignment horizontal="left"/>
    </xf>
    <xf xfId="0" numFmtId="0" borderId="1" applyBorder="1" fontId="46" applyFont="1" fillId="0" applyAlignment="1">
      <alignment horizontal="left"/>
    </xf>
    <xf xfId="0" numFmtId="0" borderId="2" applyBorder="1" fontId="46" applyFont="1" fillId="25" applyFill="1" applyAlignment="1">
      <alignment horizontal="left"/>
    </xf>
    <xf xfId="0" numFmtId="0" borderId="2" applyBorder="1" fontId="15" applyFont="1" fillId="11" applyFill="1" applyAlignment="1">
      <alignment horizontal="left"/>
    </xf>
    <xf xfId="0" numFmtId="0" borderId="184" applyBorder="1" fontId="5" applyFont="1" fillId="0" applyAlignment="1">
      <alignment horizontal="left"/>
    </xf>
    <xf xfId="0" numFmtId="171" applyNumberFormat="1" borderId="196" applyBorder="1" fontId="48" applyFont="1" fillId="26" applyFill="1" applyAlignment="1">
      <alignment horizontal="center" vertical="top"/>
    </xf>
    <xf xfId="0" numFmtId="0" borderId="196" applyBorder="1" fontId="48" applyFont="1" fillId="26" applyFill="1" applyAlignment="1">
      <alignment horizontal="center"/>
    </xf>
    <xf xfId="0" numFmtId="0" borderId="24" applyBorder="1" fontId="49" applyFont="1" fillId="29" applyFill="1" applyAlignment="1">
      <alignment horizontal="center" vertical="top"/>
    </xf>
    <xf xfId="0" numFmtId="0" borderId="173" applyBorder="1" fontId="5" applyFont="1" fillId="0" applyAlignment="1">
      <alignment horizontal="left"/>
    </xf>
    <xf xfId="0" numFmtId="0" borderId="180" applyBorder="1" fontId="5" applyFont="1" fillId="0" applyAlignment="1">
      <alignment horizontal="left"/>
    </xf>
    <xf xfId="0" numFmtId="171" applyNumberFormat="1" borderId="197" applyBorder="1" fontId="5" applyFont="1" fillId="0" applyAlignment="1">
      <alignment horizontal="left"/>
    </xf>
    <xf xfId="0" numFmtId="3" applyNumberFormat="1" borderId="120" applyBorder="1" fontId="5" applyFont="1" fillId="0" applyAlignment="1">
      <alignment horizontal="left"/>
    </xf>
    <xf xfId="0" numFmtId="4" applyNumberFormat="1" borderId="120" applyBorder="1" fontId="5" applyFont="1" fillId="0" applyAlignment="1">
      <alignment horizontal="left"/>
    </xf>
    <xf xfId="0" numFmtId="0" borderId="197" applyBorder="1" fontId="5" applyFont="1" fillId="0" applyAlignment="1">
      <alignment horizontal="left"/>
    </xf>
    <xf xfId="0" numFmtId="0" borderId="120" applyBorder="1" fontId="5" applyFont="1" fillId="0" applyAlignment="1">
      <alignment horizontal="left"/>
    </xf>
    <xf xfId="0" numFmtId="0" borderId="192" applyBorder="1" fontId="5" applyFont="1" fillId="0" applyAlignment="1">
      <alignment horizontal="left"/>
    </xf>
    <xf xfId="0" numFmtId="0" borderId="198" applyBorder="1" fontId="5" applyFont="1" fillId="0" applyAlignment="1">
      <alignment horizontal="left"/>
    </xf>
    <xf xfId="0" numFmtId="3" applyNumberFormat="1" borderId="2" applyBorder="1" fontId="5" applyFont="1" fillId="25" applyFill="1" applyAlignment="1">
      <alignment horizontal="left"/>
    </xf>
    <xf xfId="0" numFmtId="3" applyNumberFormat="1" borderId="2" applyBorder="1" fontId="15" applyFont="1" fillId="11" applyFill="1" applyAlignment="1">
      <alignment horizontal="left"/>
    </xf>
    <xf xfId="0" numFmtId="171" applyNumberFormat="1" borderId="120" applyBorder="1" fontId="5" applyFont="1" fillId="0" applyAlignment="1">
      <alignment horizontal="left"/>
    </xf>
    <xf xfId="0" numFmtId="171" applyNumberFormat="1" borderId="142" applyBorder="1" fontId="24" applyFont="1" fillId="8" applyFill="1" applyAlignment="1">
      <alignment horizontal="center" vertical="top" wrapText="1"/>
    </xf>
    <xf xfId="0" numFmtId="3" applyNumberFormat="1" borderId="144" applyBorder="1" fontId="5" applyFont="1" fillId="0" applyAlignment="1">
      <alignment horizontal="left"/>
    </xf>
    <xf xfId="0" numFmtId="4" applyNumberFormat="1" borderId="146" applyBorder="1" fontId="5" applyFont="1" fillId="0" applyAlignment="1">
      <alignment horizontal="left"/>
    </xf>
    <xf xfId="0" numFmtId="4" applyNumberFormat="1" borderId="147" applyBorder="1" fontId="5" applyFont="1" fillId="0" applyAlignment="1">
      <alignment horizontal="left"/>
    </xf>
    <xf xfId="0" numFmtId="171" applyNumberFormat="1" borderId="148" applyBorder="1" fontId="5" applyFont="1" fillId="0" applyAlignment="1">
      <alignment horizontal="left"/>
    </xf>
    <xf xfId="0" numFmtId="3" applyNumberFormat="1" borderId="149" applyBorder="1" fontId="5" applyFont="1" fillId="8" applyFill="1" applyAlignment="1">
      <alignment horizontal="center"/>
    </xf>
    <xf xfId="0" numFmtId="4" applyNumberFormat="1" borderId="149" applyBorder="1" fontId="5" applyFont="1" fillId="8" applyFill="1" applyAlignment="1">
      <alignment horizontal="center"/>
    </xf>
    <xf xfId="0" numFmtId="4" applyNumberFormat="1" borderId="150" applyBorder="1" fontId="5" applyFont="1" fillId="8" applyFill="1" applyAlignment="1">
      <alignment horizontal="center"/>
    </xf>
    <xf xfId="0" numFmtId="171" applyNumberFormat="1" borderId="58" applyBorder="1" fontId="5" applyFont="1" fillId="9" applyFill="1" applyAlignment="1">
      <alignment horizontal="left"/>
    </xf>
    <xf xfId="0" numFmtId="171" applyNumberFormat="1" borderId="62" applyBorder="1" fontId="5" applyFont="1" fillId="9" applyFill="1" applyAlignment="1">
      <alignment horizontal="left"/>
    </xf>
    <xf xfId="0" numFmtId="4" applyNumberFormat="1" borderId="199" applyBorder="1" fontId="15" applyFont="1" fillId="18" applyFill="1" applyAlignment="1">
      <alignment horizontal="center"/>
    </xf>
    <xf xfId="0" numFmtId="4" applyNumberFormat="1" borderId="200" applyBorder="1" fontId="15" applyFont="1" fillId="18" applyFill="1" applyAlignment="1">
      <alignment horizontal="center"/>
    </xf>
    <xf xfId="0" numFmtId="171" applyNumberFormat="1" borderId="151" applyBorder="1" fontId="5" applyFont="1" fillId="0" applyAlignment="1">
      <alignment horizontal="left"/>
    </xf>
    <xf xfId="0" numFmtId="171" applyNumberFormat="1" borderId="152" applyBorder="1" fontId="24" applyFont="1" fillId="8" applyFill="1" applyAlignment="1">
      <alignment horizontal="center" wrapText="1"/>
    </xf>
    <xf xfId="0" numFmtId="4" applyNumberFormat="1" borderId="153" applyBorder="1" fontId="5" applyFont="1" fillId="8" applyFill="1" applyAlignment="1">
      <alignment horizontal="center" wrapText="1"/>
    </xf>
    <xf xfId="0" numFmtId="4" applyNumberFormat="1" borderId="201" applyBorder="1" fontId="15" applyFont="1" fillId="18" applyFill="1" applyAlignment="1">
      <alignment horizontal="center"/>
    </xf>
    <xf xfId="0" numFmtId="0" borderId="202" applyBorder="1" fontId="15" applyFont="1" fillId="18" applyFill="1" applyAlignment="1">
      <alignment horizontal="center"/>
    </xf>
    <xf xfId="0" numFmtId="171" applyNumberFormat="1" borderId="142" applyBorder="1" fontId="24" applyFont="1" fillId="8" applyFill="1" applyAlignment="1">
      <alignment horizontal="center" wrapText="1"/>
    </xf>
    <xf xfId="0" numFmtId="4" applyNumberFormat="1" borderId="89" applyBorder="1" fontId="15" applyFont="1" fillId="18" applyFill="1" applyAlignment="1">
      <alignment horizontal="center"/>
    </xf>
    <xf xfId="0" numFmtId="4" applyNumberFormat="1" borderId="2" applyBorder="1" fontId="15" applyFont="1" fillId="18" applyFill="1" applyAlignment="1">
      <alignment horizontal="center"/>
    </xf>
    <xf xfId="0" numFmtId="3" applyNumberFormat="1" borderId="199" applyBorder="1" fontId="15" applyFont="1" fillId="18" applyFill="1" applyAlignment="1">
      <alignment horizontal="center"/>
    </xf>
    <xf xfId="0" numFmtId="3" applyNumberFormat="1" borderId="200" applyBorder="1" fontId="15" applyFont="1" fillId="18" applyFill="1" applyAlignment="1">
      <alignment horizontal="center"/>
    </xf>
    <xf xfId="0" numFmtId="4" applyNumberFormat="1" borderId="203" applyBorder="1" fontId="15" applyFont="1" fillId="18" applyFill="1" applyAlignment="1">
      <alignment horizontal="center"/>
    </xf>
    <xf xfId="0" numFmtId="171" applyNumberFormat="1" borderId="156" applyBorder="1" fontId="24" applyFont="1" fillId="4" applyFill="1" applyAlignment="1">
      <alignment horizontal="center" vertical="top" wrapText="1"/>
    </xf>
    <xf xfId="0" numFmtId="3" applyNumberFormat="1" borderId="158" applyBorder="1" fontId="5" applyFont="1" fillId="0" applyAlignment="1">
      <alignment horizontal="left"/>
    </xf>
    <xf xfId="0" numFmtId="4" applyNumberFormat="1" borderId="160" applyBorder="1" fontId="5" applyFont="1" fillId="0" applyAlignment="1">
      <alignment horizontal="left"/>
    </xf>
    <xf xfId="0" numFmtId="4" applyNumberFormat="1" borderId="132" applyBorder="1" fontId="5" applyFont="1" fillId="0" applyAlignment="1">
      <alignment horizontal="left"/>
    </xf>
    <xf xfId="0" numFmtId="171" applyNumberFormat="1" borderId="161" applyBorder="1" fontId="5" applyFont="1" fillId="0" applyAlignment="1">
      <alignment horizontal="left"/>
    </xf>
    <xf xfId="0" numFmtId="3" applyNumberFormat="1" borderId="149" applyBorder="1" fontId="5" applyFont="1" fillId="4" applyFill="1" applyAlignment="1">
      <alignment horizontal="center"/>
    </xf>
    <xf xfId="0" numFmtId="4" applyNumberFormat="1" borderId="162" applyBorder="1" fontId="5" applyFont="1" fillId="4" applyFill="1" applyAlignment="1">
      <alignment horizontal="center"/>
    </xf>
    <xf xfId="0" numFmtId="4" applyNumberFormat="1" borderId="164" applyBorder="1" fontId="5" applyFont="1" fillId="4" applyFill="1" applyAlignment="1">
      <alignment horizontal="center"/>
    </xf>
    <xf xfId="0" numFmtId="171" applyNumberFormat="1" borderId="69" applyBorder="1" fontId="5" applyFont="1" fillId="15" applyFill="1" applyAlignment="1">
      <alignment horizontal="left"/>
    </xf>
    <xf xfId="0" numFmtId="4" applyNumberFormat="1" borderId="204" applyBorder="1" fontId="15" applyFont="1" fillId="18" applyFill="1" applyAlignment="1">
      <alignment horizontal="center"/>
    </xf>
    <xf xfId="0" numFmtId="171" applyNumberFormat="1" borderId="73" applyBorder="1" fontId="5" applyFont="1" fillId="15" applyFill="1" applyAlignment="1">
      <alignment horizontal="left"/>
    </xf>
    <xf xfId="0" numFmtId="4" applyNumberFormat="1" borderId="205" applyBorder="1" fontId="15" applyFont="1" fillId="18" applyFill="1" applyAlignment="1">
      <alignment horizontal="center"/>
    </xf>
    <xf xfId="0" numFmtId="4" applyNumberFormat="1" borderId="206" applyBorder="1" fontId="15" applyFont="1" fillId="18" applyFill="1" applyAlignment="1">
      <alignment horizontal="center"/>
    </xf>
    <xf xfId="0" numFmtId="4" applyNumberFormat="1" borderId="207" applyBorder="1" fontId="15" applyFont="1" fillId="18" applyFill="1" applyAlignment="1">
      <alignment horizontal="center"/>
    </xf>
    <xf xfId="0" numFmtId="4" applyNumberFormat="1" borderId="208" applyBorder="1" fontId="15" applyFont="1" fillId="18" applyFill="1" applyAlignment="1">
      <alignment horizontal="center"/>
    </xf>
    <xf xfId="0" numFmtId="171" applyNumberFormat="1" borderId="156" applyBorder="1" fontId="24" applyFont="1" fillId="4" applyFill="1" applyAlignment="1">
      <alignment horizontal="center" wrapText="1"/>
    </xf>
    <xf xfId="0" numFmtId="4" applyNumberFormat="1" borderId="165" applyBorder="1" fontId="5" applyFont="1" fillId="4" applyFill="1" applyAlignment="1">
      <alignment horizontal="center" wrapText="1"/>
    </xf>
    <xf xfId="0" numFmtId="171" applyNumberFormat="1" borderId="0" fontId="0" fillId="0" applyAlignment="1">
      <alignment horizontal="general"/>
    </xf>
    <xf xfId="0" numFmtId="4" applyNumberFormat="1" borderId="0" fontId="0" fillId="0" applyAlignment="1">
      <alignment horizontal="center"/>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85"/>
  <sheetViews>
    <sheetView workbookViewId="0" tabSelected="1"/>
  </sheetViews>
  <sheetFormatPr defaultRowHeight="15" x14ac:dyDescent="0.25"/>
  <cols>
    <col min="1" max="1" style="92" width="9.005" customWidth="1" bestFit="1"/>
    <col min="2" max="2" style="682" width="10.290714285714287" customWidth="1" bestFit="1"/>
    <col min="3" max="3" style="442" width="12.43357142857143" customWidth="1" bestFit="1"/>
    <col min="4" max="4" style="442" width="16.290714285714284" customWidth="1" bestFit="1"/>
    <col min="5" max="5" style="442" width="11.719285714285713" customWidth="1" bestFit="1"/>
    <col min="6" max="6" style="683" width="11.43357142857143" customWidth="1" bestFit="1"/>
    <col min="7" max="7" style="442" width="18.005" customWidth="1" bestFit="1"/>
    <col min="8" max="8" style="683" width="10.005" customWidth="1" bestFit="1"/>
    <col min="9" max="9" style="684" width="13.43357142857143" customWidth="1" bestFit="1"/>
    <col min="10" max="10" style="92" width="14.005" customWidth="1" bestFit="1"/>
    <col min="11" max="11" style="92" width="13.43357142857143" customWidth="1" bestFit="1"/>
    <col min="12" max="12" style="92" width="19.433571428571426" customWidth="1" bestFit="1"/>
    <col min="13" max="13" style="92" width="20.719285714285714" customWidth="1" bestFit="1"/>
    <col min="14" max="14" style="92" width="11.719285714285713" customWidth="1" bestFit="1"/>
    <col min="15" max="15" style="92" width="15.147857142857141" customWidth="1" bestFit="1"/>
    <col min="16" max="16" style="92" width="16.005" customWidth="1" bestFit="1"/>
    <col min="17" max="17" style="92" width="10.862142857142858" customWidth="1" bestFit="1"/>
    <col min="18" max="18" style="92" width="10.43357142857143" customWidth="1" bestFit="1"/>
    <col min="19" max="19" style="92" width="9.005" customWidth="1" bestFit="1"/>
  </cols>
  <sheetData>
    <row x14ac:dyDescent="0.25" r="1" customHeight="1" ht="21.600000000000005">
      <c r="A1" s="550" t="s">
        <v>242</v>
      </c>
      <c r="B1" s="551"/>
      <c r="C1" s="552"/>
      <c r="D1" s="552"/>
      <c r="E1" s="552"/>
      <c r="F1" s="553"/>
      <c r="G1" s="552"/>
      <c r="H1" s="553"/>
      <c r="I1" s="554"/>
      <c r="J1" s="554"/>
      <c r="K1" s="554"/>
      <c r="L1" s="554"/>
      <c r="M1" s="554"/>
      <c r="N1" s="554"/>
      <c r="O1" s="554"/>
      <c r="P1" s="554"/>
      <c r="Q1" s="554"/>
      <c r="R1" s="554"/>
      <c r="S1" s="555"/>
    </row>
    <row x14ac:dyDescent="0.25" r="2" customHeight="1" ht="14.4">
      <c r="A2" s="1"/>
      <c r="B2" s="556"/>
      <c r="C2" s="211"/>
      <c r="D2" s="211"/>
      <c r="E2" s="211"/>
      <c r="F2" s="557"/>
      <c r="G2" s="558" t="s">
        <v>243</v>
      </c>
      <c r="H2" s="559">
        <f>'Istruzioni Uso'!B14</f>
      </c>
      <c r="I2" s="560"/>
      <c r="J2" s="1"/>
      <c r="K2" s="1"/>
      <c r="L2" s="1"/>
      <c r="M2" s="1"/>
      <c r="N2" s="1"/>
      <c r="O2" s="1"/>
      <c r="P2" s="1"/>
      <c r="Q2" s="1"/>
      <c r="R2" s="1"/>
      <c r="S2" s="1"/>
    </row>
    <row x14ac:dyDescent="0.25" r="3" customHeight="1" ht="18.75">
      <c r="A3" s="1"/>
      <c r="B3" s="556"/>
      <c r="C3" s="211"/>
      <c r="D3" s="211"/>
      <c r="E3" s="211"/>
      <c r="F3" s="557"/>
      <c r="G3" s="558" t="s">
        <v>244</v>
      </c>
      <c r="H3" s="559">
        <f>'Istruzioni Uso'!B13</f>
      </c>
      <c r="I3" s="560"/>
      <c r="J3" s="1"/>
      <c r="K3" s="1"/>
      <c r="L3" s="1"/>
      <c r="M3" s="1"/>
      <c r="N3" s="1"/>
      <c r="O3" s="1"/>
      <c r="P3" s="1"/>
      <c r="Q3" s="1"/>
      <c r="R3" s="1"/>
      <c r="S3" s="1"/>
    </row>
    <row x14ac:dyDescent="0.25" r="4" customHeight="1" ht="18.75">
      <c r="A4" s="1"/>
      <c r="B4" s="556"/>
      <c r="C4" s="211"/>
      <c r="D4" s="558" t="s">
        <v>245</v>
      </c>
      <c r="E4" s="558">
        <f>AVERAGE(E7,E9,E25,E11,E13,E19)</f>
      </c>
      <c r="F4" s="557"/>
      <c r="G4" s="211"/>
      <c r="H4" s="557"/>
      <c r="I4" s="560"/>
      <c r="J4" s="1"/>
      <c r="K4" s="1"/>
      <c r="L4" s="1"/>
      <c r="M4" s="1"/>
      <c r="N4" s="1"/>
      <c r="O4" s="1"/>
      <c r="P4" s="1"/>
      <c r="Q4" s="1"/>
      <c r="R4" s="1"/>
      <c r="S4" s="1"/>
    </row>
    <row x14ac:dyDescent="0.25" r="5" customHeight="1" ht="18.75">
      <c r="A5" s="1"/>
      <c r="B5" s="556"/>
      <c r="C5" s="211"/>
      <c r="D5" s="558" t="s">
        <v>246</v>
      </c>
      <c r="E5" s="558">
        <f>AVERAGE(H7,H9,H25,H11,H13,H19)</f>
      </c>
      <c r="F5" s="557"/>
      <c r="G5" s="211"/>
      <c r="H5" s="557"/>
      <c r="I5" s="560"/>
      <c r="J5" s="1"/>
      <c r="K5" s="1"/>
      <c r="L5" s="1"/>
      <c r="M5" s="1"/>
      <c r="N5" s="1"/>
      <c r="O5" s="1"/>
      <c r="P5" s="1"/>
      <c r="Q5" s="1"/>
      <c r="R5" s="1"/>
      <c r="S5" s="1"/>
    </row>
    <row x14ac:dyDescent="0.25" r="6" customHeight="1" ht="15">
      <c r="A6" s="561" t="s">
        <v>247</v>
      </c>
      <c r="B6" s="562" t="s">
        <v>248</v>
      </c>
      <c r="C6" s="563" t="s">
        <v>249</v>
      </c>
      <c r="D6" s="564" t="s">
        <v>250</v>
      </c>
      <c r="E6" s="564" t="s">
        <v>251</v>
      </c>
      <c r="F6" s="565" t="s">
        <v>252</v>
      </c>
      <c r="G6" s="564" t="s">
        <v>253</v>
      </c>
      <c r="H6" s="565" t="s">
        <v>254</v>
      </c>
      <c r="I6" s="566" t="s">
        <v>255</v>
      </c>
      <c r="J6" s="567" t="s">
        <v>256</v>
      </c>
      <c r="K6" s="566" t="s">
        <v>257</v>
      </c>
      <c r="L6" s="568" t="s">
        <v>258</v>
      </c>
      <c r="M6" s="566" t="s">
        <v>259</v>
      </c>
      <c r="N6" s="566" t="s">
        <v>260</v>
      </c>
      <c r="O6" s="566" t="s">
        <v>261</v>
      </c>
      <c r="P6" s="566" t="s">
        <v>259</v>
      </c>
      <c r="Q6" s="566" t="s">
        <v>260</v>
      </c>
      <c r="R6" s="45" t="s">
        <v>261</v>
      </c>
      <c r="S6" s="1"/>
    </row>
    <row x14ac:dyDescent="0.25" r="7" customHeight="1" ht="14.4">
      <c r="A7" s="569" t="s">
        <v>68</v>
      </c>
      <c r="B7" s="570">
        <v>0</v>
      </c>
      <c r="C7" s="571">
        <f>SetPnt_N_0</f>
      </c>
      <c r="D7" s="572">
        <v>837</v>
      </c>
      <c r="E7" s="573">
        <v>0</v>
      </c>
      <c r="F7" s="574">
        <v>-156.5579745837849</v>
      </c>
      <c r="G7" s="574">
        <v>-1.5696</v>
      </c>
      <c r="H7" s="575">
        <v>0.001</v>
      </c>
      <c r="I7" s="576">
        <f>(H7-$E$5)+$H$2</f>
      </c>
      <c r="J7" s="577">
        <f>(I7-$H$2)*$H$3</f>
      </c>
      <c r="K7" s="578">
        <f>COS(ASIN((E7-D7)/800))</f>
      </c>
      <c r="L7" s="579">
        <f>-F7*K7</f>
      </c>
      <c r="M7" s="578">
        <f>L7*$D$54+$E$54</f>
      </c>
      <c r="N7" s="578">
        <f>H7-M7</f>
      </c>
      <c r="O7" s="580">
        <f>N7/4</f>
      </c>
      <c r="P7" s="578">
        <f>L7*$J$49+$E$54</f>
      </c>
      <c r="Q7" s="578">
        <f>M7-P7</f>
      </c>
      <c r="R7" s="581">
        <f>Q7/4</f>
      </c>
      <c r="S7" s="1"/>
    </row>
    <row x14ac:dyDescent="0.25" r="8" customHeight="1" ht="14.4">
      <c r="A8" s="582" t="s">
        <v>68</v>
      </c>
      <c r="B8" s="583">
        <v>1</v>
      </c>
      <c r="C8" s="558">
        <f>C_Tar_min</f>
      </c>
      <c r="D8" s="584">
        <v>837</v>
      </c>
      <c r="E8" s="585">
        <v>0</v>
      </c>
      <c r="F8" s="586">
        <v>-157.0411782090434</v>
      </c>
      <c r="G8" s="586">
        <v>-1.5696</v>
      </c>
      <c r="H8" s="587">
        <v>0.001</v>
      </c>
      <c r="I8" s="588">
        <f>(H8-$E$5)+$H$2</f>
      </c>
      <c r="J8" s="577">
        <f>(I8-$H$2)*$H$3</f>
      </c>
      <c r="K8" s="223">
        <f>COS(ASIN((E8-D8)/800))</f>
      </c>
      <c r="L8" s="579">
        <f>-F8*K8</f>
      </c>
      <c r="M8" s="589">
        <f>L8*$D$54+$E$54</f>
      </c>
      <c r="N8" s="589">
        <f>H8-M8</f>
      </c>
      <c r="O8" s="590">
        <f>N8/4</f>
      </c>
      <c r="P8" s="589">
        <f>L8*$J$49+$E$54</f>
      </c>
      <c r="Q8" s="589">
        <f>M8-P8</f>
      </c>
      <c r="R8" s="591">
        <f>Q8/4</f>
      </c>
      <c r="S8" s="1"/>
    </row>
    <row x14ac:dyDescent="0.25" r="9" customHeight="1" ht="14.4">
      <c r="A9" s="582" t="s">
        <v>68</v>
      </c>
      <c r="B9" s="583">
        <v>0</v>
      </c>
      <c r="C9" s="571">
        <f>SetPnt_N_0</f>
      </c>
      <c r="D9" s="584">
        <v>837</v>
      </c>
      <c r="E9" s="585">
        <v>0</v>
      </c>
      <c r="F9" s="586">
        <v>-156.5579745837849</v>
      </c>
      <c r="G9" s="586">
        <v>-1.5696</v>
      </c>
      <c r="H9" s="587">
        <v>0.001</v>
      </c>
      <c r="I9" s="588">
        <f>(H9-$E$5)+$H$2</f>
      </c>
      <c r="J9" s="577">
        <f>(I9-$H$2)*$H$3</f>
      </c>
      <c r="K9" s="223">
        <f>COS(ASIN((E9-D9)/800))</f>
      </c>
      <c r="L9" s="579">
        <f>-F9*K9</f>
      </c>
      <c r="M9" s="589">
        <f>L9*$D$54+$E$54</f>
      </c>
      <c r="N9" s="589">
        <f>H9-M9</f>
      </c>
      <c r="O9" s="590">
        <f>N9/4</f>
      </c>
      <c r="P9" s="589">
        <f>L9*$J$49+$E$54</f>
      </c>
      <c r="Q9" s="589">
        <f>M9-P9</f>
      </c>
      <c r="R9" s="591">
        <f>Q9/4</f>
      </c>
      <c r="S9" s="1"/>
    </row>
    <row x14ac:dyDescent="0.25" r="10" customHeight="1" ht="14.4">
      <c r="A10" s="582" t="s">
        <v>68</v>
      </c>
      <c r="B10" s="583">
        <v>1</v>
      </c>
      <c r="C10" s="558">
        <f>C_Tar_min</f>
      </c>
      <c r="D10" s="584">
        <v>837</v>
      </c>
      <c r="E10" s="585">
        <v>0</v>
      </c>
      <c r="F10" s="586">
        <v>-156.5579745837849</v>
      </c>
      <c r="G10" s="586">
        <v>-1.5696</v>
      </c>
      <c r="H10" s="587">
        <v>0.001</v>
      </c>
      <c r="I10" s="588">
        <f>(H10-$E$5)+$H$2</f>
      </c>
      <c r="J10" s="577">
        <f>(I10-$H$2)*$H$3</f>
      </c>
      <c r="K10" s="223">
        <f>COS(ASIN((E10-D10)/800))</f>
      </c>
      <c r="L10" s="579">
        <f>-F10*K10</f>
      </c>
      <c r="M10" s="589">
        <f>L10*$D$54+$E$54</f>
      </c>
      <c r="N10" s="589">
        <f>H10-M10</f>
      </c>
      <c r="O10" s="590">
        <f>N10/4</f>
      </c>
      <c r="P10" s="589">
        <f>L10*$J$49+$E$54</f>
      </c>
      <c r="Q10" s="589">
        <f>M10-P10</f>
      </c>
      <c r="R10" s="591">
        <f>Q10/4</f>
      </c>
      <c r="S10" s="1"/>
    </row>
    <row x14ac:dyDescent="0.25" r="11" customHeight="1" ht="14.4">
      <c r="A11" s="582" t="s">
        <v>68</v>
      </c>
      <c r="B11" s="583">
        <v>0</v>
      </c>
      <c r="C11" s="571">
        <f>SetPnt_N_0</f>
      </c>
      <c r="D11" s="584">
        <v>837</v>
      </c>
      <c r="E11" s="585">
        <v>0</v>
      </c>
      <c r="F11" s="586">
        <v>-156.5579745837849</v>
      </c>
      <c r="G11" s="586">
        <v>-1.5696</v>
      </c>
      <c r="H11" s="587">
        <v>0.001</v>
      </c>
      <c r="I11" s="588">
        <f>(H11-$E$5)+$H$2</f>
      </c>
      <c r="J11" s="577">
        <f>(I11-$H$2)*$H$3</f>
      </c>
      <c r="K11" s="223">
        <f>COS(ASIN((E11-D11)/800))</f>
      </c>
      <c r="L11" s="579">
        <f>-F11*K11</f>
      </c>
      <c r="M11" s="589">
        <f>L11*$D$54+$E$54</f>
      </c>
      <c r="N11" s="589">
        <f>H11-M11</f>
      </c>
      <c r="O11" s="590">
        <f>N11/4</f>
      </c>
      <c r="P11" s="589">
        <f>L11*$J$49+$E$54</f>
      </c>
      <c r="Q11" s="589">
        <f>M11-P11</f>
      </c>
      <c r="R11" s="591">
        <f>Q11/4</f>
      </c>
      <c r="S11" s="1"/>
    </row>
    <row x14ac:dyDescent="0.25" r="12" customHeight="1" ht="14.4">
      <c r="A12" s="582" t="s">
        <v>68</v>
      </c>
      <c r="B12" s="583">
        <v>1</v>
      </c>
      <c r="C12" s="558">
        <f>C_Tar_min</f>
      </c>
      <c r="D12" s="584">
        <v>837</v>
      </c>
      <c r="E12" s="585">
        <v>0</v>
      </c>
      <c r="F12" s="586">
        <v>-157.0411782090434</v>
      </c>
      <c r="G12" s="586">
        <v>-1.5696</v>
      </c>
      <c r="H12" s="587">
        <v>0.001</v>
      </c>
      <c r="I12" s="588">
        <f>(H12-$E$5)+$H$2</f>
      </c>
      <c r="J12" s="577">
        <f>(I12-$H$2)*$H$3</f>
      </c>
      <c r="K12" s="223">
        <f>COS(ASIN((E12-D12)/800))</f>
      </c>
      <c r="L12" s="579">
        <f>-F12*K12</f>
      </c>
      <c r="M12" s="589">
        <f>L12*$D$54+$E$54</f>
      </c>
      <c r="N12" s="589">
        <f>H12-M12</f>
      </c>
      <c r="O12" s="590">
        <f>N12/4</f>
      </c>
      <c r="P12" s="589">
        <f>L12*$J$49+$E$54</f>
      </c>
      <c r="Q12" s="589">
        <f>M12-P12</f>
      </c>
      <c r="R12" s="591">
        <f>Q12/4</f>
      </c>
      <c r="S12" s="1"/>
    </row>
    <row x14ac:dyDescent="0.25" r="13" customHeight="1" ht="14.4">
      <c r="A13" s="569" t="s">
        <v>68</v>
      </c>
      <c r="B13" s="570">
        <v>0</v>
      </c>
      <c r="C13" s="564">
        <f>SetPnt_N_0</f>
      </c>
      <c r="D13" s="592">
        <v>837</v>
      </c>
      <c r="E13" s="593">
        <v>0</v>
      </c>
      <c r="F13" s="594">
        <v>-157.0411782090434</v>
      </c>
      <c r="G13" s="594">
        <v>-1.5696</v>
      </c>
      <c r="H13" s="595">
        <v>0.001</v>
      </c>
      <c r="I13" s="576">
        <f>(H13-$E$5)+$H$2</f>
      </c>
      <c r="J13" s="577">
        <f>(I13-$H$2)*$H$3</f>
      </c>
      <c r="K13" s="578">
        <f>COS(ASIN((E13-D13)/800))</f>
      </c>
      <c r="L13" s="579">
        <f>-F13*K13</f>
      </c>
      <c r="M13" s="578">
        <f>L13*$D$54+$E$54</f>
      </c>
      <c r="N13" s="578">
        <f>H13-M13</f>
      </c>
      <c r="O13" s="580">
        <f>N13/4</f>
      </c>
      <c r="P13" s="578">
        <f>L13*$J$49+$E$54</f>
      </c>
      <c r="Q13" s="578">
        <f>M13-P13</f>
      </c>
      <c r="R13" s="581">
        <f>Q13/4</f>
      </c>
      <c r="S13" s="1"/>
    </row>
    <row x14ac:dyDescent="0.25" r="14" customHeight="1" ht="14.4">
      <c r="A14" s="582" t="s">
        <v>68</v>
      </c>
      <c r="B14" s="583">
        <v>0.2</v>
      </c>
      <c r="C14" s="564">
        <f>SetPnt_N_1</f>
      </c>
      <c r="D14" s="596">
        <v>837</v>
      </c>
      <c r="E14" s="597">
        <v>0</v>
      </c>
      <c r="F14" s="598">
        <v>-156.5579745837849</v>
      </c>
      <c r="G14" s="598">
        <v>-1.5696</v>
      </c>
      <c r="H14" s="599">
        <v>0.001</v>
      </c>
      <c r="I14" s="588">
        <f>(H14-$E$5)+$H$2</f>
      </c>
      <c r="J14" s="577">
        <f>(I14-$H$2)*$H$3</f>
      </c>
      <c r="K14" s="223">
        <f>COS(ASIN((E14-D14)/800))</f>
      </c>
      <c r="L14" s="579">
        <f>-F14*K14</f>
      </c>
      <c r="M14" s="589">
        <f>L14*$D$54+$E$54</f>
      </c>
      <c r="N14" s="589">
        <f>H14-M14</f>
      </c>
      <c r="O14" s="590">
        <f>N14/4</f>
      </c>
      <c r="P14" s="589">
        <f>L14*$J$49+$E$54</f>
      </c>
      <c r="Q14" s="589">
        <f>M14-P14</f>
      </c>
      <c r="R14" s="591">
        <f>Q14/4</f>
      </c>
      <c r="S14" s="1"/>
    </row>
    <row x14ac:dyDescent="0.25" r="15" customHeight="1" ht="14.4">
      <c r="A15" s="582" t="s">
        <v>68</v>
      </c>
      <c r="B15" s="583">
        <v>0.4</v>
      </c>
      <c r="C15" s="564">
        <f>SetPnt_N_2</f>
      </c>
      <c r="D15" s="596">
        <v>837</v>
      </c>
      <c r="E15" s="597">
        <v>0</v>
      </c>
      <c r="F15" s="598">
        <v>-156.5579745837849</v>
      </c>
      <c r="G15" s="598">
        <v>-1.5696</v>
      </c>
      <c r="H15" s="599">
        <v>0.001</v>
      </c>
      <c r="I15" s="588">
        <f>(H15-$E$5)+$H$2</f>
      </c>
      <c r="J15" s="577">
        <f>(I15-$H$2)*$H$3</f>
      </c>
      <c r="K15" s="223">
        <f>COS(ASIN((E15-D15)/800))</f>
      </c>
      <c r="L15" s="579">
        <f>-F15*K15</f>
      </c>
      <c r="M15" s="589">
        <f>L15*$D$54+$E$54</f>
      </c>
      <c r="N15" s="589">
        <f>H15-M15</f>
      </c>
      <c r="O15" s="590">
        <f>N15/4</f>
      </c>
      <c r="P15" s="589">
        <f>L15*$J$49+$E$54</f>
      </c>
      <c r="Q15" s="589">
        <f>M15-P15</f>
      </c>
      <c r="R15" s="591">
        <f>Q15/4</f>
      </c>
      <c r="S15" s="1"/>
    </row>
    <row x14ac:dyDescent="0.25" r="16" customHeight="1" ht="14.4">
      <c r="A16" s="582" t="s">
        <v>68</v>
      </c>
      <c r="B16" s="583">
        <v>0.6</v>
      </c>
      <c r="C16" s="564">
        <f>SetPnt_N_3</f>
      </c>
      <c r="D16" s="596">
        <v>837</v>
      </c>
      <c r="E16" s="597">
        <v>0</v>
      </c>
      <c r="F16" s="598">
        <v>-156.5579745837849</v>
      </c>
      <c r="G16" s="598">
        <v>-1.5696</v>
      </c>
      <c r="H16" s="599">
        <v>0.001</v>
      </c>
      <c r="I16" s="588">
        <f>(H16-$E$5)+$H$2</f>
      </c>
      <c r="J16" s="577">
        <f>(I16-$H$2)*$H$3</f>
      </c>
      <c r="K16" s="223">
        <f>COS(ASIN((E16-D16)/800))</f>
      </c>
      <c r="L16" s="579">
        <f>-F16*K16</f>
      </c>
      <c r="M16" s="589">
        <f>L16*$D$54+$E$54</f>
      </c>
      <c r="N16" s="589">
        <f>H16-M16</f>
      </c>
      <c r="O16" s="590">
        <f>N16/4</f>
      </c>
      <c r="P16" s="589">
        <f>L16*$J$49+$E$54</f>
      </c>
      <c r="Q16" s="589">
        <f>M16-P16</f>
      </c>
      <c r="R16" s="591">
        <f>Q16/4</f>
      </c>
      <c r="S16" s="1"/>
    </row>
    <row x14ac:dyDescent="0.25" r="17" customHeight="1" ht="14.4">
      <c r="A17" s="582" t="s">
        <v>68</v>
      </c>
      <c r="B17" s="583">
        <v>0.8</v>
      </c>
      <c r="C17" s="564">
        <f>SetPnt_N_4</f>
      </c>
      <c r="D17" s="596">
        <v>837</v>
      </c>
      <c r="E17" s="597">
        <v>0</v>
      </c>
      <c r="F17" s="598">
        <v>-157.0411782090434</v>
      </c>
      <c r="G17" s="598">
        <v>-1.5696</v>
      </c>
      <c r="H17" s="599">
        <v>0.001</v>
      </c>
      <c r="I17" s="588">
        <f>(H17-$E$5)+$H$2</f>
      </c>
      <c r="J17" s="577">
        <f>(I17-$H$2)*$H$3</f>
      </c>
      <c r="K17" s="223">
        <f>COS(ASIN((E17-D17)/800))</f>
      </c>
      <c r="L17" s="579">
        <f>-F17*K17</f>
      </c>
      <c r="M17" s="589">
        <f>L17*$D$54+$E$54</f>
      </c>
      <c r="N17" s="589">
        <f>H17-M17</f>
      </c>
      <c r="O17" s="590">
        <f>N17/4</f>
      </c>
      <c r="P17" s="589">
        <f>L17*$J$49+$E$54</f>
      </c>
      <c r="Q17" s="589">
        <f>M17-P17</f>
      </c>
      <c r="R17" s="591">
        <f>Q17/4</f>
      </c>
      <c r="S17" s="1"/>
    </row>
    <row x14ac:dyDescent="0.25" r="18" customHeight="1" ht="14.4">
      <c r="A18" s="582" t="s">
        <v>68</v>
      </c>
      <c r="B18" s="583">
        <v>1</v>
      </c>
      <c r="C18" s="564">
        <f>SetPnt_N_5</f>
      </c>
      <c r="D18" s="596">
        <v>837</v>
      </c>
      <c r="E18" s="597">
        <v>0</v>
      </c>
      <c r="F18" s="598">
        <v>-156.5579745837849</v>
      </c>
      <c r="G18" s="598">
        <v>-1.5696</v>
      </c>
      <c r="H18" s="599">
        <v>0.001</v>
      </c>
      <c r="I18" s="588">
        <f>(H18-$E$5)+$H$2</f>
      </c>
      <c r="J18" s="577">
        <f>(I18-$H$2)*$H$3</f>
      </c>
      <c r="K18" s="223">
        <f>COS(ASIN((E18-D18)/800))</f>
      </c>
      <c r="L18" s="579">
        <f>-F18*K18</f>
      </c>
      <c r="M18" s="589">
        <f>L18*$D$54+$E$54</f>
      </c>
      <c r="N18" s="589">
        <f>H18-M18</f>
      </c>
      <c r="O18" s="590">
        <f>N18/4</f>
      </c>
      <c r="P18" s="589">
        <f>L18*$J$49+$E$54</f>
      </c>
      <c r="Q18" s="589">
        <f>M18-P18</f>
      </c>
      <c r="R18" s="591">
        <f>Q18/4</f>
      </c>
      <c r="S18" s="1"/>
    </row>
    <row x14ac:dyDescent="0.25" r="19" customHeight="1" ht="14.4">
      <c r="A19" s="569" t="s">
        <v>68</v>
      </c>
      <c r="B19" s="570">
        <v>0</v>
      </c>
      <c r="C19" s="564">
        <f>SetPnt_N_0</f>
      </c>
      <c r="D19" s="592">
        <v>837</v>
      </c>
      <c r="E19" s="593">
        <v>0</v>
      </c>
      <c r="F19" s="594">
        <v>-156.5579745837849</v>
      </c>
      <c r="G19" s="594">
        <v>-1.5696</v>
      </c>
      <c r="H19" s="595">
        <v>0.001</v>
      </c>
      <c r="I19" s="576">
        <f>(H19-$E$5)+$H$2</f>
      </c>
      <c r="J19" s="577">
        <f>(I19-$H$2)*$H$3</f>
      </c>
      <c r="K19" s="578">
        <f>COS(ASIN((E19-D19)/800))</f>
      </c>
      <c r="L19" s="579">
        <f>-F19*K19</f>
      </c>
      <c r="M19" s="578">
        <f>L19*$D$54+$E$54</f>
      </c>
      <c r="N19" s="578">
        <f>H19-M19</f>
      </c>
      <c r="O19" s="580">
        <f>N19/4</f>
      </c>
      <c r="P19" s="578">
        <f>L19*$J$49+$E$54</f>
      </c>
      <c r="Q19" s="578">
        <f>M19-P19</f>
      </c>
      <c r="R19" s="581">
        <f>Q19/4</f>
      </c>
      <c r="S19" s="1"/>
    </row>
    <row x14ac:dyDescent="0.25" r="20" customHeight="1" ht="14.4">
      <c r="A20" s="582" t="s">
        <v>68</v>
      </c>
      <c r="B20" s="583">
        <v>0.2</v>
      </c>
      <c r="C20" s="564">
        <f>SetPnt_N_1</f>
      </c>
      <c r="D20" s="600"/>
      <c r="E20" s="601"/>
      <c r="F20" s="602"/>
      <c r="G20" s="601"/>
      <c r="H20" s="603"/>
      <c r="I20" s="588">
        <f>(H20-$E$5)+$H$2</f>
      </c>
      <c r="J20" s="577">
        <f>(I20-$H$2)*$H$3</f>
      </c>
      <c r="K20" s="223">
        <f>COS(ASIN((E20-D20)/800))</f>
      </c>
      <c r="L20" s="579">
        <f>-F20*K20</f>
      </c>
      <c r="M20" s="589">
        <f>L20*$D$54+$E$54</f>
      </c>
      <c r="N20" s="589">
        <f>H20-M20</f>
      </c>
      <c r="O20" s="590">
        <f>N20/4</f>
      </c>
      <c r="P20" s="589">
        <f>L20*$J$49+$E$54</f>
      </c>
      <c r="Q20" s="589">
        <f>M20-P20</f>
      </c>
      <c r="R20" s="591">
        <f>Q20/4</f>
      </c>
      <c r="S20" s="1"/>
    </row>
    <row x14ac:dyDescent="0.25" r="21" customHeight="1" ht="14.4">
      <c r="A21" s="582" t="s">
        <v>68</v>
      </c>
      <c r="B21" s="583">
        <v>0.4</v>
      </c>
      <c r="C21" s="564">
        <f>SetPnt_N_2</f>
      </c>
      <c r="D21" s="600"/>
      <c r="E21" s="601"/>
      <c r="F21" s="602"/>
      <c r="G21" s="601"/>
      <c r="H21" s="603"/>
      <c r="I21" s="588">
        <f>(H21-$E$5)+$H$2</f>
      </c>
      <c r="J21" s="577">
        <f>(I21-$H$2)*$H$3</f>
      </c>
      <c r="K21" s="223">
        <f>COS(ASIN((E21-D21)/800))</f>
      </c>
      <c r="L21" s="579">
        <f>-F21*K21</f>
      </c>
      <c r="M21" s="589">
        <f>L21*$D$54+$E$54</f>
      </c>
      <c r="N21" s="589">
        <f>H21-M21</f>
      </c>
      <c r="O21" s="590">
        <f>N21/4</f>
      </c>
      <c r="P21" s="589">
        <f>L21*$J$49+$E$54</f>
      </c>
      <c r="Q21" s="589">
        <f>M21-P21</f>
      </c>
      <c r="R21" s="591">
        <f>Q21/4</f>
      </c>
      <c r="S21" s="1"/>
    </row>
    <row x14ac:dyDescent="0.25" r="22" customHeight="1" ht="14.4">
      <c r="A22" s="582" t="s">
        <v>68</v>
      </c>
      <c r="B22" s="583">
        <v>0.6</v>
      </c>
      <c r="C22" s="564">
        <f>SetPnt_N_3</f>
      </c>
      <c r="D22" s="600"/>
      <c r="E22" s="601"/>
      <c r="F22" s="602"/>
      <c r="G22" s="601"/>
      <c r="H22" s="603"/>
      <c r="I22" s="588">
        <f>(H22-$E$5)+$H$2</f>
      </c>
      <c r="J22" s="577">
        <f>(I22-$H$2)*$H$3</f>
      </c>
      <c r="K22" s="223">
        <f>COS(ASIN((E22-D22)/800))</f>
      </c>
      <c r="L22" s="579">
        <f>-F22*K22</f>
      </c>
      <c r="M22" s="589">
        <f>L22*$D$54+$E$54</f>
      </c>
      <c r="N22" s="589">
        <f>H22-M22</f>
      </c>
      <c r="O22" s="590">
        <f>N22/4</f>
      </c>
      <c r="P22" s="589">
        <f>L22*$J$49+$E$54</f>
      </c>
      <c r="Q22" s="589">
        <f>M22-P22</f>
      </c>
      <c r="R22" s="591">
        <f>Q22/4</f>
      </c>
      <c r="S22" s="1"/>
    </row>
    <row x14ac:dyDescent="0.25" r="23" customHeight="1" ht="14.4">
      <c r="A23" s="582" t="s">
        <v>68</v>
      </c>
      <c r="B23" s="583">
        <v>0.8</v>
      </c>
      <c r="C23" s="564">
        <f>SetPnt_N_4</f>
      </c>
      <c r="D23" s="600"/>
      <c r="E23" s="601"/>
      <c r="F23" s="602"/>
      <c r="G23" s="601"/>
      <c r="H23" s="603"/>
      <c r="I23" s="588">
        <f>(H23-$E$5)+$H$2</f>
      </c>
      <c r="J23" s="577">
        <f>(I23-$H$2)*$H$3</f>
      </c>
      <c r="K23" s="223">
        <f>COS(ASIN((E23-D23)/800))</f>
      </c>
      <c r="L23" s="579">
        <f>-F23*K23</f>
      </c>
      <c r="M23" s="589">
        <f>L23*$D$54+$E$54</f>
      </c>
      <c r="N23" s="589">
        <f>H23-M23</f>
      </c>
      <c r="O23" s="590">
        <f>N23/4</f>
      </c>
      <c r="P23" s="589">
        <f>L23*$J$49+$E$54</f>
      </c>
      <c r="Q23" s="589">
        <f>M23-P23</f>
      </c>
      <c r="R23" s="591">
        <f>Q23/4</f>
      </c>
      <c r="S23" s="1"/>
    </row>
    <row x14ac:dyDescent="0.25" r="24" customHeight="1" ht="14.4">
      <c r="A24" s="604" t="s">
        <v>68</v>
      </c>
      <c r="B24" s="605">
        <v>1</v>
      </c>
      <c r="C24" s="564">
        <f>SetPnt_N_5</f>
      </c>
      <c r="D24" s="606"/>
      <c r="E24" s="607"/>
      <c r="F24" s="608"/>
      <c r="G24" s="607"/>
      <c r="H24" s="609"/>
      <c r="I24" s="610">
        <f>(H24-$E$5)+$H$2</f>
      </c>
      <c r="J24" s="577">
        <f>(I24-$H$2)*$H$3</f>
      </c>
      <c r="K24" s="611">
        <f>COS(ASIN((E24-D24)/800))</f>
      </c>
      <c r="L24" s="579">
        <f>-F24*K24</f>
      </c>
      <c r="M24" s="611">
        <f>L24*$D$54+$E$54</f>
      </c>
      <c r="N24" s="611">
        <f>H24-M24</f>
      </c>
      <c r="O24" s="612">
        <f>N24/4</f>
      </c>
      <c r="P24" s="611">
        <f>L24*$J$49+$E$54</f>
      </c>
      <c r="Q24" s="611">
        <f>M24-P24</f>
      </c>
      <c r="R24" s="613">
        <f>Q24/4</f>
      </c>
      <c r="S24" s="1"/>
    </row>
    <row x14ac:dyDescent="0.25" r="25" customHeight="1" ht="15">
      <c r="A25" s="604" t="s">
        <v>68</v>
      </c>
      <c r="B25" s="605">
        <v>0</v>
      </c>
      <c r="C25" s="571">
        <f>SetPnt_N_0</f>
      </c>
      <c r="D25" s="614"/>
      <c r="E25" s="615"/>
      <c r="F25" s="616"/>
      <c r="G25" s="615"/>
      <c r="H25" s="617"/>
      <c r="I25" s="610">
        <f>(H25-$E$5)+$H$2</f>
      </c>
      <c r="J25" s="577">
        <f>(I25-$H$2)*$H$3</f>
      </c>
      <c r="K25" s="611">
        <f>COS(ASIN((E25-D25)/800))</f>
      </c>
      <c r="L25" s="579">
        <f>-F25*K25</f>
      </c>
      <c r="M25" s="611">
        <f>L25*$D$54+$E$54</f>
      </c>
      <c r="N25" s="611">
        <f>H25-M25</f>
      </c>
      <c r="O25" s="612">
        <f>N25/4</f>
      </c>
      <c r="P25" s="611">
        <f>L25*$J$49+$E$54</f>
      </c>
      <c r="Q25" s="611">
        <f>M25-P25</f>
      </c>
      <c r="R25" s="613">
        <f>Q25/4</f>
      </c>
      <c r="S25" s="1"/>
    </row>
    <row x14ac:dyDescent="0.25" r="26" customHeight="1" ht="14.4">
      <c r="A26" s="1"/>
      <c r="B26" s="556"/>
      <c r="C26" s="211"/>
      <c r="D26" s="558" t="s">
        <v>245</v>
      </c>
      <c r="E26" s="558">
        <f>AVERAGE(E29,E31,E33,E35,E41,E47)</f>
      </c>
      <c r="F26" s="557"/>
      <c r="G26" s="211"/>
      <c r="H26" s="557"/>
      <c r="I26" s="560"/>
      <c r="J26" s="1"/>
      <c r="K26" s="1"/>
      <c r="L26" s="1"/>
      <c r="M26" s="1"/>
      <c r="N26" s="1"/>
      <c r="O26" s="590"/>
      <c r="P26" s="1"/>
      <c r="Q26" s="1"/>
      <c r="R26" s="590"/>
      <c r="S26" s="1"/>
    </row>
    <row x14ac:dyDescent="0.25" r="27" customHeight="1" ht="14.4">
      <c r="A27" s="1"/>
      <c r="B27" s="556"/>
      <c r="C27" s="211"/>
      <c r="D27" s="558" t="s">
        <v>246</v>
      </c>
      <c r="E27" s="558">
        <f>AVERAGE(H29,H31,H33,H35,H41,H47)</f>
      </c>
      <c r="F27" s="557"/>
      <c r="G27" s="211"/>
      <c r="H27" s="557"/>
      <c r="I27" s="560"/>
      <c r="J27" s="1"/>
      <c r="K27" s="1"/>
      <c r="L27" s="1"/>
      <c r="M27" s="1"/>
      <c r="N27" s="1"/>
      <c r="O27" s="1"/>
      <c r="P27" s="1"/>
      <c r="Q27" s="1"/>
      <c r="R27" s="590"/>
      <c r="S27" s="1"/>
    </row>
    <row x14ac:dyDescent="0.25" r="28" customHeight="1" ht="15">
      <c r="A28" s="618" t="s">
        <v>247</v>
      </c>
      <c r="B28" s="562" t="s">
        <v>248</v>
      </c>
      <c r="C28" s="563" t="s">
        <v>249</v>
      </c>
      <c r="D28" s="564" t="s">
        <v>250</v>
      </c>
      <c r="E28" s="564" t="s">
        <v>251</v>
      </c>
      <c r="F28" s="565" t="s">
        <v>252</v>
      </c>
      <c r="G28" s="564" t="s">
        <v>253</v>
      </c>
      <c r="H28" s="565" t="s">
        <v>254</v>
      </c>
      <c r="I28" s="566" t="s">
        <v>255</v>
      </c>
      <c r="J28" s="567" t="s">
        <v>256</v>
      </c>
      <c r="K28" s="566" t="s">
        <v>257</v>
      </c>
      <c r="L28" s="568" t="s">
        <v>258</v>
      </c>
      <c r="M28" s="566" t="s">
        <v>259</v>
      </c>
      <c r="N28" s="566" t="s">
        <v>260</v>
      </c>
      <c r="O28" s="566" t="s">
        <v>261</v>
      </c>
      <c r="P28" s="566" t="s">
        <v>259</v>
      </c>
      <c r="Q28" s="566" t="s">
        <v>260</v>
      </c>
      <c r="R28" s="45" t="s">
        <v>261</v>
      </c>
      <c r="S28" s="1"/>
    </row>
    <row x14ac:dyDescent="0.25" r="29" customHeight="1" ht="14.4">
      <c r="A29" s="619" t="s">
        <v>65</v>
      </c>
      <c r="B29" s="570">
        <v>0</v>
      </c>
      <c r="C29" s="571">
        <f>SetPnt_P_0</f>
      </c>
      <c r="D29" s="572">
        <v>837</v>
      </c>
      <c r="E29" s="573">
        <v>0</v>
      </c>
      <c r="F29" s="574">
        <v>-156.5579745837849</v>
      </c>
      <c r="G29" s="574">
        <v>-1.5696</v>
      </c>
      <c r="H29" s="575">
        <v>0.001</v>
      </c>
      <c r="I29" s="576">
        <f>(H29-$E$27)+$H$2</f>
      </c>
      <c r="J29" s="620">
        <f>(H29-$E$27)*$H$3</f>
      </c>
      <c r="K29" s="578">
        <f>COS(ASIN((E29-D29)/800))</f>
      </c>
      <c r="L29" s="579">
        <f>F29*K29</f>
      </c>
      <c r="M29" s="578">
        <f>L29*$M$54+$N$54</f>
      </c>
      <c r="N29" s="578">
        <f>H29-M29</f>
      </c>
      <c r="O29" s="580">
        <f>N29/4</f>
      </c>
      <c r="P29" s="578">
        <f>L29*$J$49+$N$54</f>
      </c>
      <c r="Q29" s="578">
        <f>M29-P29</f>
      </c>
      <c r="R29" s="581">
        <f>Q29/4</f>
      </c>
      <c r="S29" s="1"/>
    </row>
    <row x14ac:dyDescent="0.25" r="30" customHeight="1" ht="14.4">
      <c r="A30" s="621" t="s">
        <v>65</v>
      </c>
      <c r="B30" s="583">
        <v>1</v>
      </c>
      <c r="C30" s="558">
        <f>C_Tar_max</f>
      </c>
      <c r="D30" s="584">
        <v>837</v>
      </c>
      <c r="E30" s="585">
        <v>0</v>
      </c>
      <c r="F30" s="586">
        <v>-157.0411782090434</v>
      </c>
      <c r="G30" s="586">
        <v>-1.5696</v>
      </c>
      <c r="H30" s="587">
        <v>0.001</v>
      </c>
      <c r="I30" s="588">
        <f>(H30-$E$27)+$H$2</f>
      </c>
      <c r="J30" s="620">
        <f>(H30-$E$27)*$H$3</f>
      </c>
      <c r="K30" s="223">
        <f>COS(ASIN((E30-D30)/800))</f>
      </c>
      <c r="L30" s="579">
        <f>F30*K30</f>
      </c>
      <c r="M30" s="589">
        <f>L30*$M$54+$N$54</f>
      </c>
      <c r="N30" s="589">
        <f>H30-M30</f>
      </c>
      <c r="O30" s="590">
        <f>N30/4</f>
      </c>
      <c r="P30" s="589">
        <f>L30*$J$49+$N$54</f>
      </c>
      <c r="Q30" s="589">
        <f>M30-P30</f>
      </c>
      <c r="R30" s="591">
        <f>Q30/4</f>
      </c>
      <c r="S30" s="1"/>
    </row>
    <row x14ac:dyDescent="0.25" r="31" customHeight="1" ht="14.4">
      <c r="A31" s="621" t="s">
        <v>65</v>
      </c>
      <c r="B31" s="583">
        <v>0</v>
      </c>
      <c r="C31" s="571">
        <f>SetPnt_P_0</f>
      </c>
      <c r="D31" s="584">
        <v>837</v>
      </c>
      <c r="E31" s="585">
        <v>0</v>
      </c>
      <c r="F31" s="586">
        <v>-156.5579745837849</v>
      </c>
      <c r="G31" s="586">
        <v>-1.5696</v>
      </c>
      <c r="H31" s="587">
        <v>0.001</v>
      </c>
      <c r="I31" s="588">
        <f>(H31-$E$27)+$H$2</f>
      </c>
      <c r="J31" s="620">
        <f>(H31-$E$27)*$H$3</f>
      </c>
      <c r="K31" s="223">
        <f>COS(ASIN((E31-D31)/800))</f>
      </c>
      <c r="L31" s="579">
        <f>F31*K31</f>
      </c>
      <c r="M31" s="589">
        <f>L31*$M$54+$N$54</f>
      </c>
      <c r="N31" s="589">
        <f>H31-M31</f>
      </c>
      <c r="O31" s="590">
        <f>N31/4</f>
      </c>
      <c r="P31" s="589">
        <f>L31*$J$49+$N$54</f>
      </c>
      <c r="Q31" s="589">
        <f>M31-P31</f>
      </c>
      <c r="R31" s="591">
        <f>Q31/4</f>
      </c>
      <c r="S31" s="1"/>
    </row>
    <row x14ac:dyDescent="0.25" r="32" customHeight="1" ht="14.4">
      <c r="A32" s="621" t="s">
        <v>65</v>
      </c>
      <c r="B32" s="583">
        <v>1</v>
      </c>
      <c r="C32" s="558">
        <f>C_Tar_max</f>
      </c>
      <c r="D32" s="584">
        <v>837</v>
      </c>
      <c r="E32" s="585">
        <v>0</v>
      </c>
      <c r="F32" s="586">
        <v>-157.0411782090434</v>
      </c>
      <c r="G32" s="586">
        <v>-1.5696</v>
      </c>
      <c r="H32" s="587">
        <v>0.001</v>
      </c>
      <c r="I32" s="588">
        <f>(H32-$E$27)+$H$2</f>
      </c>
      <c r="J32" s="620">
        <f>(H32-$E$27)*$H$3</f>
      </c>
      <c r="K32" s="223">
        <f>COS(ASIN((E32-D32)/800))</f>
      </c>
      <c r="L32" s="579">
        <f>F32*K32</f>
      </c>
      <c r="M32" s="589">
        <f>L32*$M$54+$N$54</f>
      </c>
      <c r="N32" s="589">
        <f>H32-M32</f>
      </c>
      <c r="O32" s="590">
        <f>N32/4</f>
      </c>
      <c r="P32" s="589">
        <f>L32*$J$49+$N$54</f>
      </c>
      <c r="Q32" s="589">
        <f>M32-P32</f>
      </c>
      <c r="R32" s="591">
        <f>Q32/4</f>
      </c>
      <c r="S32" s="1"/>
    </row>
    <row x14ac:dyDescent="0.25" r="33" customHeight="1" ht="14.4">
      <c r="A33" s="621" t="s">
        <v>65</v>
      </c>
      <c r="B33" s="583">
        <v>0</v>
      </c>
      <c r="C33" s="571">
        <f>SetPnt_P_0</f>
      </c>
      <c r="D33" s="584">
        <v>837</v>
      </c>
      <c r="E33" s="585">
        <v>0</v>
      </c>
      <c r="F33" s="586">
        <v>-156.5579745837849</v>
      </c>
      <c r="G33" s="586">
        <v>-1.5696</v>
      </c>
      <c r="H33" s="587">
        <v>0.001</v>
      </c>
      <c r="I33" s="588">
        <f>(H33-$E$27)+$H$2</f>
      </c>
      <c r="J33" s="620">
        <f>(H33-$E$27)*$H$3</f>
      </c>
      <c r="K33" s="223">
        <f>COS(ASIN((E33-D33)/800))</f>
      </c>
      <c r="L33" s="579">
        <f>F33*K33</f>
      </c>
      <c r="M33" s="589">
        <f>L33*$M$54+$N$54</f>
      </c>
      <c r="N33" s="589">
        <f>H33-M33</f>
      </c>
      <c r="O33" s="590">
        <f>N33/4</f>
      </c>
      <c r="P33" s="589">
        <f>L33*$J$49+$N$54</f>
      </c>
      <c r="Q33" s="589">
        <f>M33-P33</f>
      </c>
      <c r="R33" s="591">
        <f>Q33/4</f>
      </c>
      <c r="S33" s="1"/>
    </row>
    <row x14ac:dyDescent="0.25" r="34" customHeight="1" ht="14.4">
      <c r="A34" s="621" t="s">
        <v>65</v>
      </c>
      <c r="B34" s="583">
        <v>1</v>
      </c>
      <c r="C34" s="558">
        <f>C_Tar_max</f>
      </c>
      <c r="D34" s="584">
        <v>837</v>
      </c>
      <c r="E34" s="585">
        <v>0</v>
      </c>
      <c r="F34" s="586">
        <v>-156.5579745837849</v>
      </c>
      <c r="G34" s="586">
        <v>-1.5696</v>
      </c>
      <c r="H34" s="587">
        <v>0.001</v>
      </c>
      <c r="I34" s="588">
        <f>(H34-$E$27)+$H$2</f>
      </c>
      <c r="J34" s="620">
        <f>(H34-$E$27)*$H$3</f>
      </c>
      <c r="K34" s="223">
        <f>COS(ASIN((E34-D34)/800))</f>
      </c>
      <c r="L34" s="579">
        <f>F34*K34</f>
      </c>
      <c r="M34" s="589">
        <f>L34*$M$54+$N$54</f>
      </c>
      <c r="N34" s="589">
        <f>H34-M34</f>
      </c>
      <c r="O34" s="590">
        <f>N34/4</f>
      </c>
      <c r="P34" s="589">
        <f>L34*$J$49+$N$54</f>
      </c>
      <c r="Q34" s="589">
        <f>M34-P34</f>
      </c>
      <c r="R34" s="591">
        <f>Q34/4</f>
      </c>
      <c r="S34" s="1"/>
    </row>
    <row x14ac:dyDescent="0.25" r="35" customHeight="1" ht="14.4">
      <c r="A35" s="619" t="s">
        <v>65</v>
      </c>
      <c r="B35" s="570">
        <v>0</v>
      </c>
      <c r="C35" s="564">
        <f>SetPnt_P_0</f>
      </c>
      <c r="D35" s="592">
        <v>837</v>
      </c>
      <c r="E35" s="593">
        <v>0</v>
      </c>
      <c r="F35" s="594">
        <v>-157.0411782090434</v>
      </c>
      <c r="G35" s="594">
        <v>-1.5696</v>
      </c>
      <c r="H35" s="595">
        <v>0.001</v>
      </c>
      <c r="I35" s="576">
        <f>(H35-$E$27)+$H$2</f>
      </c>
      <c r="J35" s="620">
        <f>(H35-$E$27)*$H$3</f>
      </c>
      <c r="K35" s="578">
        <f>COS(ASIN((E35-D35)/800))</f>
      </c>
      <c r="L35" s="579">
        <f>F35*K35</f>
      </c>
      <c r="M35" s="578">
        <f>L35*$M$54+$N$54</f>
      </c>
      <c r="N35" s="578">
        <f>H35-M35</f>
      </c>
      <c r="O35" s="580">
        <f>N35/4</f>
      </c>
      <c r="P35" s="578">
        <f>L35*$J$49+$N$54</f>
      </c>
      <c r="Q35" s="578">
        <f>M35-P35</f>
      </c>
      <c r="R35" s="581">
        <f>Q35/4</f>
      </c>
      <c r="S35" s="1"/>
    </row>
    <row x14ac:dyDescent="0.25" r="36" customHeight="1" ht="14.4">
      <c r="A36" s="621" t="s">
        <v>65</v>
      </c>
      <c r="B36" s="583">
        <v>0.2</v>
      </c>
      <c r="C36" s="564">
        <f>SetPnt_P_1</f>
      </c>
      <c r="D36" s="596">
        <v>837</v>
      </c>
      <c r="E36" s="597">
        <v>0</v>
      </c>
      <c r="F36" s="598">
        <v>-157.0411782090434</v>
      </c>
      <c r="G36" s="598">
        <v>-1.5696</v>
      </c>
      <c r="H36" s="599">
        <v>0.001</v>
      </c>
      <c r="I36" s="588">
        <f>(H36-$E$27)+$H$2</f>
      </c>
      <c r="J36" s="620">
        <f>(H36-$E$27)*$H$3</f>
      </c>
      <c r="K36" s="223">
        <f>COS(ASIN((E36-D36)/800))</f>
      </c>
      <c r="L36" s="579">
        <f>F36*K36</f>
      </c>
      <c r="M36" s="589">
        <f>L36*$M$54+$N$54</f>
      </c>
      <c r="N36" s="589">
        <f>H36-M36</f>
      </c>
      <c r="O36" s="590">
        <f>N36/4</f>
      </c>
      <c r="P36" s="589">
        <f>L36*$J$49+$N$54</f>
      </c>
      <c r="Q36" s="589">
        <f>M36-P36</f>
      </c>
      <c r="R36" s="591">
        <f>Q36/4</f>
      </c>
      <c r="S36" s="1"/>
    </row>
    <row x14ac:dyDescent="0.25" r="37" customHeight="1" ht="14.4">
      <c r="A37" s="621" t="s">
        <v>65</v>
      </c>
      <c r="B37" s="583">
        <v>0.4</v>
      </c>
      <c r="C37" s="564">
        <f>SetPnt_P_2</f>
      </c>
      <c r="D37" s="596">
        <v>837</v>
      </c>
      <c r="E37" s="597">
        <v>0</v>
      </c>
      <c r="F37" s="598">
        <v>-156.5579745837849</v>
      </c>
      <c r="G37" s="598">
        <v>-1.5696</v>
      </c>
      <c r="H37" s="599">
        <v>0.001</v>
      </c>
      <c r="I37" s="588">
        <f>(H37-$E$27)+$H$2</f>
      </c>
      <c r="J37" s="620">
        <f>(H37-$E$27)*$H$3</f>
      </c>
      <c r="K37" s="223">
        <f>COS(ASIN((E37-D37)/800))</f>
      </c>
      <c r="L37" s="579">
        <f>F37*K37</f>
      </c>
      <c r="M37" s="589">
        <f>L37*$M$54+$N$54</f>
      </c>
      <c r="N37" s="589">
        <f>H37-M37</f>
      </c>
      <c r="O37" s="590">
        <f>N37/4</f>
      </c>
      <c r="P37" s="589">
        <f>L37*$J$49+$N$54</f>
      </c>
      <c r="Q37" s="589">
        <f>M37-P37</f>
      </c>
      <c r="R37" s="591">
        <f>Q37/4</f>
      </c>
      <c r="S37" s="1"/>
    </row>
    <row x14ac:dyDescent="0.25" r="38" customHeight="1" ht="14.4">
      <c r="A38" s="621" t="s">
        <v>65</v>
      </c>
      <c r="B38" s="583">
        <v>0.6</v>
      </c>
      <c r="C38" s="564">
        <f>SetPnt_P_3</f>
      </c>
      <c r="D38" s="596">
        <v>837</v>
      </c>
      <c r="E38" s="597">
        <v>0</v>
      </c>
      <c r="F38" s="598">
        <v>-157.0411782090434</v>
      </c>
      <c r="G38" s="598">
        <v>-1.5696</v>
      </c>
      <c r="H38" s="599">
        <v>0.001</v>
      </c>
      <c r="I38" s="588">
        <f>(H38-$E$27)+$H$2</f>
      </c>
      <c r="J38" s="620">
        <f>(H38-$E$27)*$H$3</f>
      </c>
      <c r="K38" s="223">
        <f>COS(ASIN((E38-D38)/800))</f>
      </c>
      <c r="L38" s="579">
        <f>F38*K38</f>
      </c>
      <c r="M38" s="589">
        <f>L38*$M$54+$N$54</f>
      </c>
      <c r="N38" s="589">
        <f>H38-M38</f>
      </c>
      <c r="O38" s="590">
        <f>N38/4</f>
      </c>
      <c r="P38" s="589">
        <f>L38*$J$49+$N$54</f>
      </c>
      <c r="Q38" s="589">
        <f>M38-P38</f>
      </c>
      <c r="R38" s="591">
        <f>Q38/4</f>
      </c>
      <c r="S38" s="1"/>
    </row>
    <row x14ac:dyDescent="0.25" r="39" customHeight="1" ht="14.4">
      <c r="A39" s="621" t="s">
        <v>65</v>
      </c>
      <c r="B39" s="583">
        <v>0.8</v>
      </c>
      <c r="C39" s="564">
        <f>SetPnt_P_4</f>
      </c>
      <c r="D39" s="596">
        <v>837</v>
      </c>
      <c r="E39" s="597">
        <v>0</v>
      </c>
      <c r="F39" s="598">
        <v>-156.5579745837849</v>
      </c>
      <c r="G39" s="598">
        <v>-1.5696</v>
      </c>
      <c r="H39" s="599">
        <v>0.001</v>
      </c>
      <c r="I39" s="588">
        <f>(H39-$E$27)+$H$2</f>
      </c>
      <c r="J39" s="620">
        <f>(H39-$E$27)*$H$3</f>
      </c>
      <c r="K39" s="223">
        <f>COS(ASIN((E39-D39)/800))</f>
      </c>
      <c r="L39" s="579">
        <f>F39*K39</f>
      </c>
      <c r="M39" s="589">
        <f>L39*$M$54+$N$54</f>
      </c>
      <c r="N39" s="589">
        <f>H39-M39</f>
      </c>
      <c r="O39" s="590">
        <f>N39/4</f>
      </c>
      <c r="P39" s="589">
        <f>L39*$J$49+$N$54</f>
      </c>
      <c r="Q39" s="589">
        <f>M39-P39</f>
      </c>
      <c r="R39" s="591">
        <f>Q39/4</f>
      </c>
      <c r="S39" s="1"/>
    </row>
    <row x14ac:dyDescent="0.25" r="40" customHeight="1" ht="14.4">
      <c r="A40" s="621" t="s">
        <v>65</v>
      </c>
      <c r="B40" s="583">
        <v>1</v>
      </c>
      <c r="C40" s="564">
        <f>SetPnt_P_5</f>
      </c>
      <c r="D40" s="596">
        <v>837</v>
      </c>
      <c r="E40" s="597">
        <v>0</v>
      </c>
      <c r="F40" s="598">
        <v>-157.0411782090434</v>
      </c>
      <c r="G40" s="598">
        <v>-1.5696</v>
      </c>
      <c r="H40" s="599">
        <v>0.001</v>
      </c>
      <c r="I40" s="588">
        <f>(H40-$E$27)+$H$2</f>
      </c>
      <c r="J40" s="620">
        <f>(H40-$E$27)*$H$3</f>
      </c>
      <c r="K40" s="223">
        <f>COS(ASIN((E40-D40)/800))</f>
      </c>
      <c r="L40" s="579">
        <f>F40*K40</f>
      </c>
      <c r="M40" s="589">
        <f>L40*$M$54+$N$54</f>
      </c>
      <c r="N40" s="589">
        <f>H40-M40</f>
      </c>
      <c r="O40" s="590">
        <f>N40/4</f>
      </c>
      <c r="P40" s="589">
        <f>L40*$J$49+$N$54</f>
      </c>
      <c r="Q40" s="589">
        <f>M40-P40</f>
      </c>
      <c r="R40" s="591">
        <f>Q40/4</f>
      </c>
      <c r="S40" s="1"/>
    </row>
    <row x14ac:dyDescent="0.25" r="41" customHeight="1" ht="14.4">
      <c r="A41" s="619" t="s">
        <v>65</v>
      </c>
      <c r="B41" s="570">
        <v>0</v>
      </c>
      <c r="C41" s="564">
        <f>SetPnt_P_0</f>
      </c>
      <c r="D41" s="592">
        <v>837</v>
      </c>
      <c r="E41" s="593">
        <v>0</v>
      </c>
      <c r="F41" s="594">
        <v>-156.5579745837849</v>
      </c>
      <c r="G41" s="594">
        <v>-1.5696</v>
      </c>
      <c r="H41" s="595">
        <v>0.001</v>
      </c>
      <c r="I41" s="576">
        <f>(H41-$E$27)+$H$2</f>
      </c>
      <c r="J41" s="620">
        <f>(H41-$E$27)*$H$3</f>
      </c>
      <c r="K41" s="578">
        <f>COS(ASIN((E41-D41)/800))</f>
      </c>
      <c r="L41" s="579">
        <f>F41*K41</f>
      </c>
      <c r="M41" s="578">
        <f>L41*$M$54+$N$54</f>
      </c>
      <c r="N41" s="578">
        <f>H41-M41</f>
      </c>
      <c r="O41" s="580">
        <f>N41/4</f>
      </c>
      <c r="P41" s="578">
        <f>L41*$J$49+$N$54</f>
      </c>
      <c r="Q41" s="578">
        <f>M41-P41</f>
      </c>
      <c r="R41" s="581">
        <f>Q41/4</f>
      </c>
      <c r="S41" s="1"/>
    </row>
    <row x14ac:dyDescent="0.25" r="42" customHeight="1" ht="14.4">
      <c r="A42" s="621" t="s">
        <v>65</v>
      </c>
      <c r="B42" s="583">
        <v>0.2</v>
      </c>
      <c r="C42" s="564">
        <f>SetPnt_P_1</f>
      </c>
      <c r="D42" s="600"/>
      <c r="E42" s="601"/>
      <c r="F42" s="602"/>
      <c r="G42" s="601"/>
      <c r="H42" s="603"/>
      <c r="I42" s="588">
        <f>(H42-$E$27)+$H$2</f>
      </c>
      <c r="J42" s="620">
        <f>(H42-$E$27)*$H$3</f>
      </c>
      <c r="K42" s="223">
        <f>COS(ASIN((E42-D42)/800))</f>
      </c>
      <c r="L42" s="579">
        <f>F42*K42</f>
      </c>
      <c r="M42" s="589">
        <f>L42*$M$54+$N$54</f>
      </c>
      <c r="N42" s="589">
        <f>H42-M42</f>
      </c>
      <c r="O42" s="590">
        <f>N42/4</f>
      </c>
      <c r="P42" s="589">
        <f>L42*$J$49+$N$54</f>
      </c>
      <c r="Q42" s="589">
        <f>M42-P42</f>
      </c>
      <c r="R42" s="591">
        <f>Q42/4</f>
      </c>
      <c r="S42" s="1"/>
    </row>
    <row x14ac:dyDescent="0.25" r="43" customHeight="1" ht="14.4">
      <c r="A43" s="621" t="s">
        <v>65</v>
      </c>
      <c r="B43" s="583">
        <v>0.4</v>
      </c>
      <c r="C43" s="564">
        <f>SetPnt_P_2</f>
      </c>
      <c r="D43" s="600"/>
      <c r="E43" s="601"/>
      <c r="F43" s="602"/>
      <c r="G43" s="601"/>
      <c r="H43" s="603"/>
      <c r="I43" s="588">
        <f>(H43-$E$27)+$H$2</f>
      </c>
      <c r="J43" s="620">
        <f>(H43-$E$27)*$H$3</f>
      </c>
      <c r="K43" s="223">
        <f>COS(ASIN((E43-D43)/800))</f>
      </c>
      <c r="L43" s="579">
        <f>F43*K43</f>
      </c>
      <c r="M43" s="589">
        <f>L43*$M$54+$N$54</f>
      </c>
      <c r="N43" s="589">
        <f>H43-M43</f>
      </c>
      <c r="O43" s="590">
        <f>N43/4</f>
      </c>
      <c r="P43" s="589">
        <f>L43*$J$49+$N$54</f>
      </c>
      <c r="Q43" s="589">
        <f>M43-P43</f>
      </c>
      <c r="R43" s="591">
        <f>Q43/4</f>
      </c>
      <c r="S43" s="1"/>
    </row>
    <row x14ac:dyDescent="0.25" r="44" customHeight="1" ht="14.4">
      <c r="A44" s="621" t="s">
        <v>65</v>
      </c>
      <c r="B44" s="583">
        <v>0.6</v>
      </c>
      <c r="C44" s="564">
        <f>SetPnt_P_3</f>
      </c>
      <c r="D44" s="600"/>
      <c r="E44" s="601"/>
      <c r="F44" s="602"/>
      <c r="G44" s="601"/>
      <c r="H44" s="603"/>
      <c r="I44" s="588">
        <f>(H44-$E$27)+$H$2</f>
      </c>
      <c r="J44" s="620">
        <f>(H44-$E$27)*$H$3</f>
      </c>
      <c r="K44" s="223">
        <f>COS(ASIN((E44-D44)/800))</f>
      </c>
      <c r="L44" s="579">
        <f>F44*K44</f>
      </c>
      <c r="M44" s="589">
        <f>L44*$M$54+$N$54</f>
      </c>
      <c r="N44" s="589">
        <f>H44-M44</f>
      </c>
      <c r="O44" s="590">
        <f>N44/4</f>
      </c>
      <c r="P44" s="589">
        <f>L44*$J$49+$N$54</f>
      </c>
      <c r="Q44" s="589">
        <f>M44-P44</f>
      </c>
      <c r="R44" s="591">
        <f>Q44/4</f>
      </c>
      <c r="S44" s="1"/>
    </row>
    <row x14ac:dyDescent="0.25" r="45" customHeight="1" ht="14.4">
      <c r="A45" s="621" t="s">
        <v>65</v>
      </c>
      <c r="B45" s="583">
        <v>0.8</v>
      </c>
      <c r="C45" s="564">
        <f>SetPnt_P_4</f>
      </c>
      <c r="D45" s="600"/>
      <c r="E45" s="601"/>
      <c r="F45" s="602"/>
      <c r="G45" s="601"/>
      <c r="H45" s="603"/>
      <c r="I45" s="588">
        <f>(H45-$E$27)+$H$2</f>
      </c>
      <c r="J45" s="620">
        <f>(H45-$E$27)*$H$3</f>
      </c>
      <c r="K45" s="223">
        <f>COS(ASIN((E45-D45)/800))</f>
      </c>
      <c r="L45" s="579">
        <f>F45*K45</f>
      </c>
      <c r="M45" s="589">
        <f>L45*$M$54+$N$54</f>
      </c>
      <c r="N45" s="589">
        <f>H45-M45</f>
      </c>
      <c r="O45" s="590">
        <f>N45/4</f>
      </c>
      <c r="P45" s="589">
        <f>L45*$J$49+$N$54</f>
      </c>
      <c r="Q45" s="589">
        <f>M45-P45</f>
      </c>
      <c r="R45" s="591">
        <f>Q45/4</f>
      </c>
      <c r="S45" s="1"/>
    </row>
    <row x14ac:dyDescent="0.25" r="46" customHeight="1" ht="14.4">
      <c r="A46" s="622" t="s">
        <v>65</v>
      </c>
      <c r="B46" s="605">
        <v>1</v>
      </c>
      <c r="C46" s="564">
        <f>SetPnt_P_5</f>
      </c>
      <c r="D46" s="600"/>
      <c r="E46" s="601"/>
      <c r="F46" s="602"/>
      <c r="G46" s="601"/>
      <c r="H46" s="603"/>
      <c r="I46" s="610">
        <f>(H46-$E$27)+$H$2</f>
      </c>
      <c r="J46" s="620">
        <f>(H46-$E$27)*$H$3</f>
      </c>
      <c r="K46" s="611">
        <f>COS(ASIN((E46-D46)/800))</f>
      </c>
      <c r="L46" s="579">
        <f>F46*K46</f>
      </c>
      <c r="M46" s="611">
        <f>L46*$M$54+$N$54</f>
      </c>
      <c r="N46" s="611">
        <f>H46-M46</f>
      </c>
      <c r="O46" s="612">
        <f>N46/4</f>
      </c>
      <c r="P46" s="611">
        <f>L46*$J$49+$N$54</f>
      </c>
      <c r="Q46" s="611">
        <f>M46-P46</f>
      </c>
      <c r="R46" s="613">
        <f>Q46/4</f>
      </c>
      <c r="S46" s="1"/>
    </row>
    <row x14ac:dyDescent="0.25" r="47" customHeight="1" ht="15">
      <c r="A47" s="622" t="s">
        <v>65</v>
      </c>
      <c r="B47" s="605">
        <v>0</v>
      </c>
      <c r="C47" s="571">
        <f>SetPnt_P_0</f>
      </c>
      <c r="D47" s="614"/>
      <c r="E47" s="615"/>
      <c r="F47" s="616"/>
      <c r="G47" s="615"/>
      <c r="H47" s="617"/>
      <c r="I47" s="610">
        <f>(H47-$E$27)+$H$2</f>
      </c>
      <c r="J47" s="620">
        <f>(H47-$E$27)*$H$3</f>
      </c>
      <c r="K47" s="611">
        <f>COS(ASIN((E47-D47)/800))</f>
      </c>
      <c r="L47" s="579">
        <f>F47*K47</f>
      </c>
      <c r="M47" s="611">
        <f>L47*$M$54+$N$54</f>
      </c>
      <c r="N47" s="611">
        <f>H47-M47</f>
      </c>
      <c r="O47" s="612">
        <f>N47/4</f>
      </c>
      <c r="P47" s="611">
        <f>L47*$J$49+$N$54</f>
      </c>
      <c r="Q47" s="611">
        <f>M47-P47</f>
      </c>
      <c r="R47" s="613">
        <f>Q47/4</f>
      </c>
      <c r="S47" s="1"/>
    </row>
    <row x14ac:dyDescent="0.25" r="48" customHeight="1" ht="18.75">
      <c r="A48" s="1"/>
      <c r="B48" s="556"/>
      <c r="C48" s="211"/>
      <c r="D48" s="211"/>
      <c r="E48" s="211"/>
      <c r="F48" s="557"/>
      <c r="G48" s="211"/>
      <c r="H48" s="557"/>
      <c r="I48" s="560"/>
      <c r="J48" s="1"/>
      <c r="K48" s="1"/>
      <c r="L48" s="1"/>
      <c r="M48" s="1"/>
      <c r="N48" s="1"/>
      <c r="O48" s="1"/>
      <c r="P48" s="1"/>
      <c r="Q48" s="1"/>
      <c r="R48" s="1"/>
      <c r="S48" s="1"/>
    </row>
    <row x14ac:dyDescent="0.25" r="49" customHeight="1" ht="14.4">
      <c r="A49" s="1"/>
      <c r="B49" s="556"/>
      <c r="C49" s="211"/>
      <c r="D49" s="211"/>
      <c r="E49" s="211"/>
      <c r="F49" s="557"/>
      <c r="G49" s="211"/>
      <c r="H49" s="557"/>
      <c r="I49" s="623" t="s">
        <v>262</v>
      </c>
      <c r="J49" s="624">
        <f>AVERAGE(D54,M54)</f>
      </c>
      <c r="K49" s="623" t="s">
        <v>263</v>
      </c>
      <c r="L49" s="625">
        <f>AVERAGE(D55,M55)</f>
      </c>
      <c r="M49" s="1"/>
      <c r="N49" s="1"/>
      <c r="O49" s="1"/>
      <c r="P49" s="1"/>
      <c r="Q49" s="1"/>
      <c r="R49" s="1"/>
      <c r="S49" s="1"/>
    </row>
    <row x14ac:dyDescent="0.25" r="50" customHeight="1" ht="24.600000000000005">
      <c r="A50" s="626"/>
      <c r="B50" s="627" t="s">
        <v>68</v>
      </c>
      <c r="C50" s="564"/>
      <c r="D50" s="564"/>
      <c r="E50" s="564"/>
      <c r="F50" s="565"/>
      <c r="G50" s="564"/>
      <c r="H50" s="565"/>
      <c r="I50" s="628"/>
      <c r="J50" s="628"/>
      <c r="K50" s="629" t="s">
        <v>65</v>
      </c>
      <c r="L50" s="630"/>
      <c r="M50" s="630"/>
      <c r="N50" s="630"/>
      <c r="O50" s="630"/>
      <c r="P50" s="630"/>
      <c r="Q50" s="631"/>
      <c r="R50" s="1"/>
      <c r="S50" s="1"/>
    </row>
    <row x14ac:dyDescent="0.25" r="51" customHeight="1" ht="24.600000000000005">
      <c r="A51" s="626"/>
      <c r="B51" s="632"/>
      <c r="C51" s="633"/>
      <c r="D51" s="633"/>
      <c r="E51" s="633"/>
      <c r="F51" s="634"/>
      <c r="G51" s="633"/>
      <c r="H51" s="634"/>
      <c r="I51" s="628"/>
      <c r="J51" s="628"/>
      <c r="K51" s="635"/>
      <c r="L51" s="636"/>
      <c r="M51" s="636"/>
      <c r="N51" s="636"/>
      <c r="O51" s="636"/>
      <c r="P51" s="636"/>
      <c r="Q51" s="637"/>
      <c r="R51" s="1"/>
      <c r="S51" s="1"/>
    </row>
    <row x14ac:dyDescent="0.25" r="52" customHeight="1" ht="14.4">
      <c r="A52" s="626"/>
      <c r="B52" s="556"/>
      <c r="C52" s="211"/>
      <c r="D52" s="211"/>
      <c r="E52" s="211"/>
      <c r="F52" s="557"/>
      <c r="G52" s="211"/>
      <c r="H52" s="557"/>
      <c r="I52" s="560"/>
      <c r="J52" s="1"/>
      <c r="K52" s="638"/>
      <c r="L52" s="1"/>
      <c r="M52" s="1"/>
      <c r="N52" s="1"/>
      <c r="O52" s="1"/>
      <c r="P52" s="1"/>
      <c r="Q52" s="626"/>
      <c r="R52" s="1"/>
      <c r="S52" s="1"/>
    </row>
    <row x14ac:dyDescent="0.25" r="53" customHeight="1" ht="14.4">
      <c r="A53" s="626"/>
      <c r="B53" s="556"/>
      <c r="C53" s="211"/>
      <c r="D53" s="211" t="s">
        <v>47</v>
      </c>
      <c r="E53" s="558" t="s">
        <v>48</v>
      </c>
      <c r="F53" s="557"/>
      <c r="G53" s="211"/>
      <c r="H53" s="557"/>
      <c r="I53" s="560"/>
      <c r="J53" s="1"/>
      <c r="K53" s="638"/>
      <c r="L53" s="1"/>
      <c r="M53" s="623" t="s">
        <v>47</v>
      </c>
      <c r="N53" s="623" t="s">
        <v>48</v>
      </c>
      <c r="O53" s="1"/>
      <c r="P53" s="1"/>
      <c r="Q53" s="626"/>
      <c r="R53" s="1"/>
      <c r="S53" s="1"/>
    </row>
    <row x14ac:dyDescent="0.25" r="54" customHeight="1" ht="14.4">
      <c r="A54" s="626"/>
      <c r="B54" s="556"/>
      <c r="C54" s="211" t="s">
        <v>64</v>
      </c>
      <c r="D54" s="639">
        <f>SLOPE(H7:H24,L7:L24)</f>
      </c>
      <c r="E54" s="211">
        <f>INTERCEPT(H7:H24,L7:L24)</f>
      </c>
      <c r="F54" s="557"/>
      <c r="G54" s="211"/>
      <c r="H54" s="557"/>
      <c r="I54" s="560"/>
      <c r="J54" s="1"/>
      <c r="K54" s="638"/>
      <c r="L54" s="1" t="s">
        <v>64</v>
      </c>
      <c r="M54" s="589">
        <f>SLOPE(H29:H46,L29:L46)</f>
      </c>
      <c r="N54" s="589">
        <f>INTERCEPT(H29:H46,L29:L46)</f>
      </c>
      <c r="O54" s="1"/>
      <c r="P54" s="1"/>
      <c r="Q54" s="626"/>
      <c r="R54" s="1"/>
      <c r="S54" s="1"/>
    </row>
    <row x14ac:dyDescent="0.25" r="55" customHeight="1" ht="14.4">
      <c r="A55" s="626"/>
      <c r="B55" s="556"/>
      <c r="C55" s="211" t="s">
        <v>62</v>
      </c>
      <c r="D55" s="640">
        <f>SLOPE(L7:L25,H7:H25)</f>
      </c>
      <c r="E55" s="211">
        <f>INTERCEPT(L7:L24,H7:H24)</f>
      </c>
      <c r="F55" s="557"/>
      <c r="G55" s="211"/>
      <c r="H55" s="557"/>
      <c r="I55" s="560"/>
      <c r="J55" s="1"/>
      <c r="K55" s="638"/>
      <c r="L55" s="1" t="s">
        <v>62</v>
      </c>
      <c r="M55" s="625">
        <f>SLOPE(L29:L47,H29:H47)</f>
      </c>
      <c r="N55" s="589">
        <f>INTERCEPT(L29:L46,H29:H46)</f>
      </c>
      <c r="O55" s="1"/>
      <c r="P55" s="1"/>
      <c r="Q55" s="626"/>
      <c r="R55" s="1"/>
      <c r="S55" s="1"/>
    </row>
    <row x14ac:dyDescent="0.25" r="56" customHeight="1" ht="14.4">
      <c r="A56" s="626"/>
      <c r="B56" s="556"/>
      <c r="C56" s="211"/>
      <c r="D56" s="211"/>
      <c r="E56" s="211"/>
      <c r="F56" s="557"/>
      <c r="G56" s="211"/>
      <c r="H56" s="557"/>
      <c r="I56" s="560"/>
      <c r="J56" s="1"/>
      <c r="K56" s="638"/>
      <c r="L56" s="1"/>
      <c r="M56" s="1"/>
      <c r="N56" s="1"/>
      <c r="O56" s="1"/>
      <c r="P56" s="1"/>
      <c r="Q56" s="626"/>
      <c r="R56" s="1"/>
      <c r="S56" s="1"/>
    </row>
    <row x14ac:dyDescent="0.25" r="57" customHeight="1" ht="14.4">
      <c r="A57" s="626"/>
      <c r="B57" s="641"/>
      <c r="C57" s="633"/>
      <c r="D57" s="633"/>
      <c r="E57" s="633"/>
      <c r="F57" s="634"/>
      <c r="G57" s="633"/>
      <c r="H57" s="634"/>
      <c r="I57" s="636"/>
      <c r="J57" s="636"/>
      <c r="K57" s="635"/>
      <c r="L57" s="636"/>
      <c r="M57" s="636"/>
      <c r="N57" s="636"/>
      <c r="O57" s="636"/>
      <c r="P57" s="636"/>
      <c r="Q57" s="637"/>
      <c r="R57" s="1"/>
      <c r="S57" s="1"/>
    </row>
    <row x14ac:dyDescent="0.25" r="58" customHeight="1" ht="18.75">
      <c r="A58" s="1"/>
      <c r="B58" s="556"/>
      <c r="C58" s="211"/>
      <c r="D58" s="211"/>
      <c r="E58" s="211"/>
      <c r="F58" s="557"/>
      <c r="G58" s="211"/>
      <c r="H58" s="557"/>
      <c r="I58" s="560"/>
      <c r="J58" s="1"/>
      <c r="K58" s="1"/>
      <c r="L58" s="1"/>
      <c r="M58" s="1"/>
      <c r="N58" s="1"/>
      <c r="O58" s="1"/>
      <c r="P58" s="1"/>
      <c r="Q58" s="1"/>
      <c r="R58" s="1"/>
      <c r="S58" s="1"/>
    </row>
    <row x14ac:dyDescent="0.25" r="59" customHeight="1" ht="13.800000000000002">
      <c r="A59" s="1"/>
      <c r="B59" s="556"/>
      <c r="C59" s="211"/>
      <c r="D59" s="211"/>
      <c r="E59" s="211"/>
      <c r="F59" s="557"/>
      <c r="G59" s="211"/>
      <c r="H59" s="557"/>
      <c r="I59" s="560"/>
      <c r="J59" s="1"/>
      <c r="K59" s="1"/>
      <c r="L59" s="1"/>
      <c r="M59" s="1"/>
      <c r="N59" s="1"/>
      <c r="O59" s="1"/>
      <c r="P59" s="1"/>
      <c r="Q59" s="1"/>
      <c r="R59" s="1"/>
      <c r="S59" s="1"/>
    </row>
    <row x14ac:dyDescent="0.25" r="60" customHeight="1" ht="15">
      <c r="A60" s="501" t="s">
        <v>217</v>
      </c>
      <c r="B60" s="642" t="s">
        <v>88</v>
      </c>
      <c r="C60" s="503" t="s">
        <v>89</v>
      </c>
      <c r="D60" s="643"/>
      <c r="E60" s="505" t="s">
        <v>90</v>
      </c>
      <c r="F60" s="644"/>
      <c r="G60" s="507" t="s">
        <v>91</v>
      </c>
      <c r="H60" s="645"/>
      <c r="I60" s="560"/>
      <c r="J60" s="1"/>
      <c r="K60" s="1"/>
      <c r="L60" s="1"/>
      <c r="M60" s="1"/>
      <c r="N60" s="1"/>
      <c r="O60" s="1"/>
      <c r="P60" s="1"/>
      <c r="Q60" s="1"/>
      <c r="R60" s="1"/>
      <c r="S60" s="1"/>
    </row>
    <row x14ac:dyDescent="0.25" r="61" customHeight="1" ht="15.6">
      <c r="A61" s="1"/>
      <c r="B61" s="646"/>
      <c r="C61" s="510">
        <v>0</v>
      </c>
      <c r="D61" s="647">
        <f>C_Tar_max</f>
      </c>
      <c r="E61" s="510">
        <v>0</v>
      </c>
      <c r="F61" s="648">
        <f>C_Tar_max</f>
      </c>
      <c r="G61" s="510">
        <v>0</v>
      </c>
      <c r="H61" s="649">
        <f>C_Tar_max</f>
      </c>
      <c r="I61" s="560"/>
      <c r="J61" s="1"/>
      <c r="K61" s="1"/>
      <c r="L61" s="1"/>
      <c r="M61" s="1"/>
      <c r="N61" s="1"/>
      <c r="O61" s="1"/>
      <c r="P61" s="1"/>
      <c r="Q61" s="1"/>
      <c r="R61" s="1"/>
      <c r="S61" s="1"/>
    </row>
    <row x14ac:dyDescent="0.25" r="62" customHeight="1" ht="15">
      <c r="A62" s="1"/>
      <c r="B62" s="650">
        <f>CONCATENATE("Coppia REF [",EUnits,"]")</f>
      </c>
      <c r="C62" s="514">
        <f>L29</f>
      </c>
      <c r="D62" s="514">
        <f>L30</f>
      </c>
      <c r="E62" s="514">
        <f>L31</f>
      </c>
      <c r="F62" s="514">
        <f>L32</f>
      </c>
      <c r="G62" s="514">
        <f>L33</f>
      </c>
      <c r="H62" s="514">
        <f>L34</f>
      </c>
      <c r="I62" s="560"/>
      <c r="J62" s="1"/>
      <c r="K62" s="1"/>
      <c r="L62" s="1"/>
      <c r="M62" s="1"/>
      <c r="N62" s="1"/>
      <c r="O62" s="1"/>
      <c r="P62" s="1"/>
      <c r="Q62" s="1"/>
      <c r="R62" s="1"/>
      <c r="S62" s="1"/>
    </row>
    <row x14ac:dyDescent="0.25" r="63" customHeight="1" ht="15">
      <c r="A63" s="1"/>
      <c r="B63" s="651">
        <f>CONCATENATE("Coppia UUT [",UUT_EUnits,"]")</f>
      </c>
      <c r="C63" s="652">
        <f>J29</f>
      </c>
      <c r="D63" s="652">
        <f>J30</f>
      </c>
      <c r="E63" s="653">
        <f>J31</f>
      </c>
      <c r="F63" s="653">
        <f>J32</f>
      </c>
      <c r="G63" s="653">
        <f>J33</f>
      </c>
      <c r="H63" s="653">
        <f>J34</f>
      </c>
      <c r="I63" s="560"/>
      <c r="J63" s="1"/>
      <c r="K63" s="1"/>
      <c r="L63" s="1"/>
      <c r="M63" s="1"/>
      <c r="N63" s="1"/>
      <c r="O63" s="1"/>
      <c r="P63" s="1"/>
      <c r="Q63" s="1"/>
      <c r="R63" s="1"/>
      <c r="S63" s="1"/>
    </row>
    <row x14ac:dyDescent="0.25" r="64" customHeight="1" ht="15">
      <c r="A64" s="1"/>
      <c r="B64" s="654"/>
      <c r="C64" s="211"/>
      <c r="D64" s="211"/>
      <c r="E64" s="211"/>
      <c r="F64" s="557"/>
      <c r="G64" s="211"/>
      <c r="H64" s="557"/>
      <c r="I64" s="560"/>
      <c r="J64" s="1"/>
      <c r="K64" s="1"/>
      <c r="L64" s="1"/>
      <c r="M64" s="1"/>
      <c r="N64" s="1"/>
      <c r="O64" s="1"/>
      <c r="P64" s="1"/>
      <c r="Q64" s="1"/>
      <c r="R64" s="1"/>
      <c r="S64" s="1"/>
    </row>
    <row x14ac:dyDescent="0.25" r="65" customHeight="1" ht="60" customFormat="1" s="253">
      <c r="A65" s="94"/>
      <c r="B65" s="655" t="s">
        <v>92</v>
      </c>
      <c r="C65" s="518" t="s">
        <v>93</v>
      </c>
      <c r="D65" s="518" t="s">
        <v>94</v>
      </c>
      <c r="E65" s="520" t="s">
        <v>95</v>
      </c>
      <c r="F65" s="656" t="s">
        <v>96</v>
      </c>
      <c r="G65" s="520" t="s">
        <v>97</v>
      </c>
      <c r="H65" s="656" t="s">
        <v>98</v>
      </c>
      <c r="I65" s="521" t="s">
        <v>93</v>
      </c>
      <c r="J65" s="94"/>
      <c r="K65" s="94"/>
      <c r="L65" s="94"/>
      <c r="M65" s="94"/>
      <c r="N65" s="94"/>
      <c r="O65" s="94"/>
      <c r="P65" s="94"/>
      <c r="Q65" s="94"/>
      <c r="R65" s="94"/>
      <c r="S65" s="94"/>
    </row>
    <row x14ac:dyDescent="0.25" r="66" customHeight="1" ht="15">
      <c r="A66" s="1"/>
      <c r="B66" s="650">
        <f>CONCATENATE("Coppia REF [",EUnits,"]")</f>
      </c>
      <c r="C66" s="514">
        <f>L35</f>
      </c>
      <c r="D66" s="514">
        <f>L36</f>
      </c>
      <c r="E66" s="514">
        <f>L37</f>
      </c>
      <c r="F66" s="514">
        <f>L38</f>
      </c>
      <c r="G66" s="514">
        <f>L39</f>
      </c>
      <c r="H66" s="514">
        <f>L40</f>
      </c>
      <c r="I66" s="657">
        <f>L41</f>
      </c>
      <c r="J66" s="1"/>
      <c r="K66" s="1"/>
      <c r="L66" s="1"/>
      <c r="M66" s="1"/>
      <c r="N66" s="1"/>
      <c r="O66" s="1"/>
      <c r="P66" s="1"/>
      <c r="Q66" s="1"/>
      <c r="R66" s="1"/>
      <c r="S66" s="1"/>
    </row>
    <row x14ac:dyDescent="0.25" r="67" customHeight="1" ht="15">
      <c r="A67" s="1"/>
      <c r="B67" s="651">
        <f>CONCATENATE("Coppia UUT [",UUT_EUnits,"]")</f>
      </c>
      <c r="C67" s="652">
        <f>J35</f>
      </c>
      <c r="D67" s="652">
        <f>J36</f>
      </c>
      <c r="E67" s="653">
        <f>J37</f>
      </c>
      <c r="F67" s="653">
        <f>J38</f>
      </c>
      <c r="G67" s="653">
        <f>J39</f>
      </c>
      <c r="H67" s="653">
        <f>J40</f>
      </c>
      <c r="I67" s="658">
        <f>J41</f>
      </c>
      <c r="J67" s="1"/>
      <c r="K67" s="1"/>
      <c r="L67" s="1"/>
      <c r="M67" s="1"/>
      <c r="N67" s="1"/>
      <c r="O67" s="1"/>
      <c r="P67" s="1"/>
      <c r="Q67" s="1"/>
      <c r="R67" s="1"/>
      <c r="S67" s="1"/>
    </row>
    <row x14ac:dyDescent="0.25" r="68" customHeight="1" ht="15">
      <c r="A68" s="1"/>
      <c r="B68" s="556"/>
      <c r="C68" s="211"/>
      <c r="D68" s="211"/>
      <c r="E68" s="211"/>
      <c r="F68" s="557"/>
      <c r="G68" s="211"/>
      <c r="H68" s="557"/>
      <c r="I68" s="560"/>
      <c r="J68" s="1"/>
      <c r="K68" s="1"/>
      <c r="L68" s="1"/>
      <c r="M68" s="1"/>
      <c r="N68" s="1"/>
      <c r="O68" s="1"/>
      <c r="P68" s="1"/>
      <c r="Q68" s="1"/>
      <c r="R68" s="1"/>
      <c r="S68" s="1"/>
    </row>
    <row x14ac:dyDescent="0.25" r="69" customHeight="1" ht="60" customFormat="1" s="253">
      <c r="A69" s="94"/>
      <c r="B69" s="659" t="s">
        <v>99</v>
      </c>
      <c r="C69" s="518" t="s">
        <v>93</v>
      </c>
      <c r="D69" s="518" t="s">
        <v>94</v>
      </c>
      <c r="E69" s="520" t="s">
        <v>95</v>
      </c>
      <c r="F69" s="656" t="s">
        <v>96</v>
      </c>
      <c r="G69" s="520" t="s">
        <v>97</v>
      </c>
      <c r="H69" s="656" t="s">
        <v>98</v>
      </c>
      <c r="I69" s="521" t="s">
        <v>93</v>
      </c>
      <c r="J69" s="94"/>
      <c r="K69" s="94"/>
      <c r="L69" s="94"/>
      <c r="M69" s="94"/>
      <c r="N69" s="94"/>
      <c r="O69" s="94"/>
      <c r="P69" s="94"/>
      <c r="Q69" s="94"/>
      <c r="R69" s="94"/>
      <c r="S69" s="94"/>
    </row>
    <row x14ac:dyDescent="0.25" r="70" customHeight="1" ht="15">
      <c r="A70" s="1"/>
      <c r="B70" s="650">
        <f>CONCATENATE("Coppia REF [",EUnits,"]")</f>
      </c>
      <c r="C70" s="514">
        <f>L41</f>
      </c>
      <c r="D70" s="514">
        <f>L42</f>
      </c>
      <c r="E70" s="514">
        <f>L43</f>
      </c>
      <c r="F70" s="660">
        <f>L44</f>
      </c>
      <c r="G70" s="660">
        <f>L45</f>
      </c>
      <c r="H70" s="661">
        <f>L46</f>
      </c>
      <c r="I70" s="657">
        <f>L47</f>
      </c>
      <c r="J70" s="1"/>
      <c r="K70" s="1"/>
      <c r="L70" s="1"/>
      <c r="M70" s="1"/>
      <c r="N70" s="1"/>
      <c r="O70" s="1"/>
      <c r="P70" s="1"/>
      <c r="Q70" s="1"/>
      <c r="R70" s="1"/>
      <c r="S70" s="1"/>
    </row>
    <row x14ac:dyDescent="0.25" r="71" customHeight="1" ht="15">
      <c r="A71" s="1"/>
      <c r="B71" s="651">
        <f>CONCATENATE("Coppia UUT [",UUT_EUnits,"]")</f>
      </c>
      <c r="C71" s="662">
        <f>J41</f>
      </c>
      <c r="D71" s="662">
        <f>J42</f>
      </c>
      <c r="E71" s="662">
        <f>J43</f>
      </c>
      <c r="F71" s="653">
        <f>J44</f>
      </c>
      <c r="G71" s="663">
        <f>J45</f>
      </c>
      <c r="H71" s="664">
        <f>J46</f>
      </c>
      <c r="I71" s="658">
        <f>J47</f>
      </c>
      <c r="J71" s="1"/>
      <c r="K71" s="1"/>
      <c r="L71" s="1"/>
      <c r="M71" s="1"/>
      <c r="N71" s="1"/>
      <c r="O71" s="1"/>
      <c r="P71" s="1"/>
      <c r="Q71" s="1"/>
      <c r="R71" s="1"/>
      <c r="S71" s="1"/>
    </row>
    <row x14ac:dyDescent="0.25" r="72" customHeight="1" ht="14.4">
      <c r="A72" s="1"/>
      <c r="B72" s="556"/>
      <c r="C72" s="211"/>
      <c r="D72" s="211"/>
      <c r="E72" s="211"/>
      <c r="F72" s="557"/>
      <c r="G72" s="211"/>
      <c r="H72" s="557"/>
      <c r="I72" s="560"/>
      <c r="J72" s="1"/>
      <c r="K72" s="1"/>
      <c r="L72" s="1"/>
      <c r="M72" s="1"/>
      <c r="N72" s="1"/>
      <c r="O72" s="1"/>
      <c r="P72" s="1"/>
      <c r="Q72" s="1"/>
      <c r="R72" s="1"/>
      <c r="S72" s="1"/>
    </row>
    <row x14ac:dyDescent="0.25" r="73" customHeight="1" ht="15">
      <c r="A73" s="1"/>
      <c r="B73" s="556"/>
      <c r="C73" s="211"/>
      <c r="D73" s="211"/>
      <c r="E73" s="211"/>
      <c r="F73" s="557"/>
      <c r="G73" s="211"/>
      <c r="H73" s="557"/>
      <c r="I73" s="560"/>
      <c r="J73" s="1"/>
      <c r="K73" s="1"/>
      <c r="L73" s="1"/>
      <c r="M73" s="1"/>
      <c r="N73" s="1"/>
      <c r="O73" s="1"/>
      <c r="P73" s="1"/>
      <c r="Q73" s="1"/>
      <c r="R73" s="1"/>
      <c r="S73" s="1"/>
    </row>
    <row x14ac:dyDescent="0.25" r="74" customHeight="1" ht="15">
      <c r="A74" s="523" t="s">
        <v>218</v>
      </c>
      <c r="B74" s="665" t="s">
        <v>88</v>
      </c>
      <c r="C74" s="525" t="s">
        <v>89</v>
      </c>
      <c r="D74" s="666"/>
      <c r="E74" s="527" t="s">
        <v>90</v>
      </c>
      <c r="F74" s="667"/>
      <c r="G74" s="529" t="s">
        <v>91</v>
      </c>
      <c r="H74" s="668"/>
      <c r="I74" s="560"/>
      <c r="J74" s="1"/>
      <c r="K74" s="1"/>
      <c r="L74" s="1"/>
      <c r="M74" s="1"/>
      <c r="N74" s="1"/>
      <c r="O74" s="1"/>
      <c r="P74" s="1"/>
      <c r="Q74" s="1"/>
      <c r="R74" s="1"/>
      <c r="S74" s="1"/>
    </row>
    <row x14ac:dyDescent="0.25" r="75" customHeight="1" ht="15.6">
      <c r="A75" s="1"/>
      <c r="B75" s="669"/>
      <c r="C75" s="531">
        <v>0</v>
      </c>
      <c r="D75" s="670">
        <f>C_Tar_min</f>
      </c>
      <c r="E75" s="531">
        <v>0</v>
      </c>
      <c r="F75" s="671">
        <f>C_Tar_min</f>
      </c>
      <c r="G75" s="534">
        <v>0</v>
      </c>
      <c r="H75" s="672">
        <f>C_Tar_min</f>
      </c>
      <c r="I75" s="560"/>
      <c r="J75" s="1"/>
      <c r="K75" s="1"/>
      <c r="L75" s="1"/>
      <c r="M75" s="1"/>
      <c r="N75" s="1"/>
      <c r="O75" s="1"/>
      <c r="P75" s="1"/>
      <c r="Q75" s="1"/>
      <c r="R75" s="1"/>
      <c r="S75" s="1"/>
    </row>
    <row x14ac:dyDescent="0.25" r="76" customHeight="1" ht="15">
      <c r="A76" s="1"/>
      <c r="B76" s="673">
        <f>CONCATENATE("Coppia REF [",EUnits,"]")</f>
      </c>
      <c r="C76" s="514">
        <f>L7</f>
      </c>
      <c r="D76" s="514">
        <f>L8</f>
      </c>
      <c r="E76" s="514">
        <f>L9</f>
      </c>
      <c r="F76" s="660">
        <f>L10</f>
      </c>
      <c r="G76" s="661">
        <f>L11</f>
      </c>
      <c r="H76" s="674">
        <f>L12</f>
      </c>
      <c r="I76" s="560"/>
      <c r="J76" s="1"/>
      <c r="K76" s="1"/>
      <c r="L76" s="1"/>
      <c r="M76" s="1"/>
      <c r="N76" s="1"/>
      <c r="O76" s="1"/>
      <c r="P76" s="1"/>
      <c r="Q76" s="1"/>
      <c r="R76" s="1"/>
      <c r="S76" s="1"/>
    </row>
    <row x14ac:dyDescent="0.25" r="77" customHeight="1" ht="15">
      <c r="A77" s="1"/>
      <c r="B77" s="675">
        <f>CONCATENATE("Coppia UUT [",UUT_EUnits,"]")</f>
      </c>
      <c r="C77" s="676">
        <f>J7</f>
      </c>
      <c r="D77" s="676">
        <f>J8</f>
      </c>
      <c r="E77" s="676">
        <f>J9</f>
      </c>
      <c r="F77" s="677">
        <f>J10</f>
      </c>
      <c r="G77" s="678">
        <f>J11</f>
      </c>
      <c r="H77" s="679">
        <f>J12</f>
      </c>
      <c r="I77" s="560"/>
      <c r="J77" s="1"/>
      <c r="K77" s="1"/>
      <c r="L77" s="1"/>
      <c r="M77" s="1"/>
      <c r="N77" s="1"/>
      <c r="O77" s="1"/>
      <c r="P77" s="1"/>
      <c r="Q77" s="1"/>
      <c r="R77" s="1"/>
      <c r="S77" s="1"/>
    </row>
    <row x14ac:dyDescent="0.25" r="78" customHeight="1" ht="15">
      <c r="A78" s="1"/>
      <c r="B78" s="556"/>
      <c r="C78" s="211"/>
      <c r="D78" s="211"/>
      <c r="E78" s="211"/>
      <c r="F78" s="557"/>
      <c r="G78" s="211"/>
      <c r="H78" s="557"/>
      <c r="I78" s="560"/>
      <c r="J78" s="1"/>
      <c r="K78" s="1"/>
      <c r="L78" s="1"/>
      <c r="M78" s="1"/>
      <c r="N78" s="1"/>
      <c r="O78" s="1"/>
      <c r="P78" s="1"/>
      <c r="Q78" s="1"/>
      <c r="R78" s="1"/>
      <c r="S78" s="1"/>
    </row>
    <row x14ac:dyDescent="0.25" r="79" customHeight="1" ht="60" customFormat="1" s="253">
      <c r="A79" s="94"/>
      <c r="B79" s="680" t="s">
        <v>92</v>
      </c>
      <c r="C79" s="539" t="s">
        <v>93</v>
      </c>
      <c r="D79" s="539" t="s">
        <v>94</v>
      </c>
      <c r="E79" s="541" t="s">
        <v>95</v>
      </c>
      <c r="F79" s="681" t="s">
        <v>96</v>
      </c>
      <c r="G79" s="541" t="s">
        <v>97</v>
      </c>
      <c r="H79" s="681" t="s">
        <v>98</v>
      </c>
      <c r="I79" s="542" t="s">
        <v>93</v>
      </c>
      <c r="J79" s="94"/>
      <c r="K79" s="94"/>
      <c r="L79" s="94"/>
      <c r="M79" s="94"/>
      <c r="N79" s="94"/>
      <c r="O79" s="94"/>
      <c r="P79" s="94"/>
      <c r="Q79" s="94"/>
      <c r="R79" s="94"/>
      <c r="S79" s="94"/>
    </row>
    <row x14ac:dyDescent="0.25" r="80" customHeight="1" ht="15">
      <c r="A80" s="1"/>
      <c r="B80" s="673">
        <f>CONCATENATE("Coppia REF [",EUnits,"]")</f>
      </c>
      <c r="C80" s="514">
        <f>L13</f>
      </c>
      <c r="D80" s="514">
        <f>L14</f>
      </c>
      <c r="E80" s="514">
        <f>L15</f>
      </c>
      <c r="F80" s="660">
        <f>L16</f>
      </c>
      <c r="G80" s="660">
        <f>L17</f>
      </c>
      <c r="H80" s="661">
        <f>L18</f>
      </c>
      <c r="I80" s="674">
        <f>L19</f>
      </c>
      <c r="J80" s="1"/>
      <c r="K80" s="1"/>
      <c r="L80" s="1"/>
      <c r="M80" s="1"/>
      <c r="N80" s="1"/>
      <c r="O80" s="1"/>
      <c r="P80" s="1"/>
      <c r="Q80" s="1"/>
      <c r="R80" s="1"/>
      <c r="S80" s="1"/>
    </row>
    <row x14ac:dyDescent="0.25" r="81" customHeight="1" ht="15">
      <c r="A81" s="1"/>
      <c r="B81" s="675">
        <f>CONCATENATE("Coppia UUT [",UUT_EUnits,"]")</f>
      </c>
      <c r="C81" s="676">
        <f>J13</f>
      </c>
      <c r="D81" s="676">
        <f>J14</f>
      </c>
      <c r="E81" s="676">
        <f>J15</f>
      </c>
      <c r="F81" s="677">
        <f>J16</f>
      </c>
      <c r="G81" s="677">
        <f>J17</f>
      </c>
      <c r="H81" s="678">
        <f>J18</f>
      </c>
      <c r="I81" s="679">
        <f>J19</f>
      </c>
      <c r="J81" s="1"/>
      <c r="K81" s="1"/>
      <c r="L81" s="1"/>
      <c r="M81" s="1"/>
      <c r="N81" s="1"/>
      <c r="O81" s="1"/>
      <c r="P81" s="1"/>
      <c r="Q81" s="1"/>
      <c r="R81" s="1"/>
      <c r="S81" s="1"/>
    </row>
    <row x14ac:dyDescent="0.25" r="82" customHeight="1" ht="15">
      <c r="A82" s="1"/>
      <c r="B82" s="556"/>
      <c r="C82" s="211"/>
      <c r="D82" s="211"/>
      <c r="E82" s="211"/>
      <c r="F82" s="557"/>
      <c r="G82" s="211"/>
      <c r="H82" s="557"/>
      <c r="I82" s="560"/>
      <c r="J82" s="1"/>
      <c r="K82" s="1"/>
      <c r="L82" s="1"/>
      <c r="M82" s="1"/>
      <c r="N82" s="1"/>
      <c r="O82" s="1"/>
      <c r="P82" s="1"/>
      <c r="Q82" s="1"/>
      <c r="R82" s="1"/>
      <c r="S82" s="1"/>
    </row>
    <row x14ac:dyDescent="0.25" r="83" customHeight="1" ht="60" customFormat="1" s="253">
      <c r="A83" s="94"/>
      <c r="B83" s="680" t="s">
        <v>99</v>
      </c>
      <c r="C83" s="539" t="s">
        <v>93</v>
      </c>
      <c r="D83" s="539" t="s">
        <v>94</v>
      </c>
      <c r="E83" s="541" t="s">
        <v>95</v>
      </c>
      <c r="F83" s="681" t="s">
        <v>96</v>
      </c>
      <c r="G83" s="541" t="s">
        <v>97</v>
      </c>
      <c r="H83" s="681" t="s">
        <v>98</v>
      </c>
      <c r="I83" s="542" t="s">
        <v>93</v>
      </c>
      <c r="J83" s="94"/>
      <c r="K83" s="94"/>
      <c r="L83" s="94"/>
      <c r="M83" s="94"/>
      <c r="N83" s="94"/>
      <c r="O83" s="94"/>
      <c r="P83" s="94"/>
      <c r="Q83" s="94"/>
      <c r="R83" s="94"/>
      <c r="S83" s="94"/>
    </row>
    <row x14ac:dyDescent="0.25" r="84" customHeight="1" ht="15">
      <c r="A84" s="1"/>
      <c r="B84" s="673">
        <f>CONCATENATE("Coppia REF [",EUnits,"]")</f>
      </c>
      <c r="C84" s="514">
        <f>L19</f>
      </c>
      <c r="D84" s="514">
        <f>L20</f>
      </c>
      <c r="E84" s="514">
        <f>L21</f>
      </c>
      <c r="F84" s="660">
        <f>L22</f>
      </c>
      <c r="G84" s="660">
        <f>L23</f>
      </c>
      <c r="H84" s="661">
        <f>L24</f>
      </c>
      <c r="I84" s="674">
        <f>L25</f>
      </c>
      <c r="J84" s="1"/>
      <c r="K84" s="1"/>
      <c r="L84" s="1"/>
      <c r="M84" s="1"/>
      <c r="N84" s="1"/>
      <c r="O84" s="1"/>
      <c r="P84" s="1"/>
      <c r="Q84" s="1"/>
      <c r="R84" s="1"/>
      <c r="S84" s="1"/>
    </row>
    <row x14ac:dyDescent="0.25" r="85" customHeight="1" ht="15">
      <c r="A85" s="1"/>
      <c r="B85" s="675">
        <f>CONCATENATE("Coppia UUT [",UUT_EUnits,"]")</f>
      </c>
      <c r="C85" s="676">
        <f>J19</f>
      </c>
      <c r="D85" s="676">
        <f>J20</f>
      </c>
      <c r="E85" s="676">
        <f>J21</f>
      </c>
      <c r="F85" s="677">
        <f>J22</f>
      </c>
      <c r="G85" s="677">
        <f>J23</f>
      </c>
      <c r="H85" s="678">
        <f>J24</f>
      </c>
      <c r="I85" s="679">
        <f>J25</f>
      </c>
      <c r="J85" s="1"/>
      <c r="K85" s="1"/>
      <c r="L85" s="1"/>
      <c r="M85" s="1"/>
      <c r="N85" s="1"/>
      <c r="O85" s="1"/>
      <c r="P85" s="1"/>
      <c r="Q85" s="1"/>
      <c r="R85" s="1"/>
      <c r="S85" s="1"/>
    </row>
  </sheetData>
  <mergeCells count="12">
    <mergeCell ref="B50:H51"/>
    <mergeCell ref="K50:Q51"/>
    <mergeCell ref="A60:A71"/>
    <mergeCell ref="B60:B61"/>
    <mergeCell ref="C60:D60"/>
    <mergeCell ref="E60:F60"/>
    <mergeCell ref="G60:H60"/>
    <mergeCell ref="A74:A85"/>
    <mergeCell ref="B74:B75"/>
    <mergeCell ref="C74:D74"/>
    <mergeCell ref="E74:F74"/>
    <mergeCell ref="G74:H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79"/>
  <sheetViews>
    <sheetView workbookViewId="0"/>
  </sheetViews>
  <sheetFormatPr defaultRowHeight="15" x14ac:dyDescent="0.25"/>
  <cols>
    <col min="1" max="1" style="92" width="25.862142857142857" customWidth="1" bestFit="1"/>
    <col min="2" max="2" style="549" width="22.005" customWidth="1" bestFit="1"/>
    <col min="3" max="3" style="93" width="14.43357142857143" customWidth="1" bestFit="1"/>
    <col min="4" max="4" style="92" width="14.43357142857143" customWidth="1" bestFit="1"/>
    <col min="5" max="5" style="93" width="14.43357142857143" customWidth="1" bestFit="1"/>
    <col min="6" max="6" style="92" width="14.43357142857143" customWidth="1" bestFit="1"/>
    <col min="7" max="7" style="93" width="14.43357142857143" customWidth="1" bestFit="1"/>
    <col min="8" max="8" style="93" width="14.43357142857143" customWidth="1" bestFit="1"/>
    <col min="9" max="9" style="92" width="14.43357142857143" customWidth="1" bestFit="1"/>
    <col min="10" max="10" style="92" width="13.576428571428572" customWidth="1" bestFit="1"/>
    <col min="11" max="11" style="92" width="25.719285714285714" customWidth="1" bestFit="1"/>
    <col min="12" max="12" style="92" width="13.576428571428572" customWidth="1" bestFit="1"/>
    <col min="13" max="13" style="92" width="61.71928571428572" customWidth="1" bestFit="1"/>
    <col min="14" max="14" style="92" width="13.576428571428572" customWidth="1" bestFit="1"/>
    <col min="15" max="15" style="92" width="13.576428571428572" customWidth="1" bestFit="1"/>
    <col min="16" max="16" style="92" width="13.576428571428572" customWidth="1" bestFit="1"/>
    <col min="17" max="17" style="92" width="13.576428571428572" customWidth="1" bestFit="1"/>
    <col min="18" max="18" style="92" width="13.576428571428572" customWidth="1" bestFit="1"/>
    <col min="19" max="19" style="92" width="13.576428571428572" customWidth="1" bestFit="1"/>
  </cols>
  <sheetData>
    <row x14ac:dyDescent="0.25" r="1" customHeight="1" ht="21">
      <c r="A1" s="461" t="s">
        <v>192</v>
      </c>
      <c r="B1" s="462"/>
      <c r="C1" s="463"/>
      <c r="D1" s="464"/>
      <c r="E1" s="463"/>
      <c r="F1" s="464"/>
      <c r="G1" s="463"/>
      <c r="H1" s="463"/>
      <c r="I1" s="464"/>
      <c r="J1" s="464"/>
      <c r="K1" s="464"/>
      <c r="L1" s="464"/>
      <c r="M1" s="464"/>
      <c r="N1" s="464"/>
      <c r="O1" s="464"/>
      <c r="P1" s="464"/>
      <c r="Q1" s="464"/>
      <c r="R1" s="464"/>
      <c r="S1" s="464"/>
    </row>
    <row x14ac:dyDescent="0.25" r="2" customHeight="1" ht="18.75">
      <c r="A2" s="465" t="s">
        <v>193</v>
      </c>
      <c r="B2" s="466" t="s">
        <v>194</v>
      </c>
      <c r="C2" s="2"/>
      <c r="D2" s="1"/>
      <c r="E2" s="2"/>
      <c r="F2" s="1"/>
      <c r="G2" s="2"/>
      <c r="H2" s="2"/>
      <c r="I2" s="1"/>
      <c r="J2" s="1"/>
      <c r="K2" s="1"/>
      <c r="L2" s="1"/>
      <c r="M2" s="1"/>
      <c r="N2" s="1"/>
      <c r="O2" s="1"/>
      <c r="P2" s="1"/>
      <c r="Q2" s="1"/>
      <c r="R2" s="1"/>
      <c r="S2" s="1"/>
    </row>
    <row x14ac:dyDescent="0.25" r="3" customHeight="1" ht="18.75">
      <c r="A3" s="1" t="s">
        <v>195</v>
      </c>
      <c r="B3" s="466"/>
      <c r="C3" s="2"/>
      <c r="D3" s="1"/>
      <c r="E3" s="2"/>
      <c r="F3" s="1"/>
      <c r="G3" s="2"/>
      <c r="H3" s="2"/>
      <c r="I3" s="1"/>
      <c r="J3" s="1"/>
      <c r="K3" s="1"/>
      <c r="L3" s="1"/>
      <c r="M3" s="1"/>
      <c r="N3" s="1"/>
      <c r="O3" s="1"/>
      <c r="P3" s="1"/>
      <c r="Q3" s="1"/>
      <c r="R3" s="1"/>
      <c r="S3" s="1"/>
    </row>
    <row x14ac:dyDescent="0.25" r="4" customHeight="1" ht="18.75">
      <c r="A4" s="1"/>
      <c r="B4" s="466"/>
      <c r="C4" s="2"/>
      <c r="D4" s="1"/>
      <c r="E4" s="2"/>
      <c r="F4" s="1"/>
      <c r="G4" s="2"/>
      <c r="H4" s="2"/>
      <c r="I4" s="1"/>
      <c r="J4" s="1"/>
      <c r="K4" s="1"/>
      <c r="L4" s="1"/>
      <c r="M4" s="1"/>
      <c r="N4" s="1"/>
      <c r="O4" s="1"/>
      <c r="P4" s="1"/>
      <c r="Q4" s="1"/>
      <c r="R4" s="1"/>
      <c r="S4" s="1"/>
    </row>
    <row x14ac:dyDescent="0.25" r="5" customHeight="1" ht="18.75">
      <c r="A5" s="465" t="s">
        <v>196</v>
      </c>
      <c r="B5" s="467" t="s">
        <v>197</v>
      </c>
      <c r="C5" s="468" t="s">
        <v>198</v>
      </c>
      <c r="D5" s="465" t="s">
        <v>199</v>
      </c>
      <c r="E5" s="468" t="s">
        <v>200</v>
      </c>
      <c r="F5" s="469"/>
      <c r="G5" s="2"/>
      <c r="H5" s="2"/>
      <c r="I5" s="1"/>
      <c r="J5" s="1"/>
      <c r="K5" s="1"/>
      <c r="L5" s="1"/>
      <c r="M5" s="1"/>
      <c r="N5" s="1"/>
      <c r="O5" s="1"/>
      <c r="P5" s="1"/>
      <c r="Q5" s="1"/>
      <c r="R5" s="1"/>
      <c r="S5" s="1"/>
    </row>
    <row x14ac:dyDescent="0.25" r="6" customHeight="1" ht="18.75">
      <c r="A6" s="219" t="s">
        <v>201</v>
      </c>
      <c r="B6" s="470">
        <v>25569.042191238426</v>
      </c>
      <c r="C6" s="471">
        <v>7</v>
      </c>
      <c r="D6" s="472"/>
      <c r="E6" s="473" t="s">
        <v>202</v>
      </c>
      <c r="F6" s="1"/>
      <c r="G6" s="2"/>
      <c r="H6" s="2"/>
      <c r="I6" s="1"/>
      <c r="J6" s="1"/>
      <c r="K6" s="1"/>
      <c r="L6" s="1"/>
      <c r="M6" s="1"/>
      <c r="N6" s="1"/>
      <c r="O6" s="1"/>
      <c r="P6" s="1"/>
      <c r="Q6" s="1"/>
      <c r="R6" s="1"/>
      <c r="S6" s="1"/>
    </row>
    <row x14ac:dyDescent="0.25" r="7" customHeight="1" ht="18.75">
      <c r="A7" s="1" t="s">
        <v>203</v>
      </c>
      <c r="B7" s="474">
        <v>25569.042193078705</v>
      </c>
      <c r="C7" s="222">
        <v>9</v>
      </c>
      <c r="D7" s="1"/>
      <c r="E7" s="2" t="s">
        <v>204</v>
      </c>
      <c r="F7" s="1"/>
      <c r="G7" s="2"/>
      <c r="H7" s="2"/>
      <c r="I7" s="1"/>
      <c r="J7" s="1"/>
      <c r="K7" s="1"/>
      <c r="L7" s="1"/>
      <c r="M7" s="1"/>
      <c r="N7" s="1"/>
      <c r="O7" s="1"/>
      <c r="P7" s="1"/>
      <c r="Q7" s="1"/>
      <c r="R7" s="1"/>
      <c r="S7" s="1"/>
    </row>
    <row x14ac:dyDescent="0.25" r="8" customHeight="1" ht="18.75">
      <c r="A8" s="1"/>
      <c r="B8" s="466"/>
      <c r="C8" s="2"/>
      <c r="D8" s="1"/>
      <c r="E8" s="2"/>
      <c r="F8" s="1"/>
      <c r="G8" s="2"/>
      <c r="H8" s="2"/>
      <c r="I8" s="1"/>
      <c r="J8" s="1"/>
      <c r="K8" s="1"/>
      <c r="L8" s="1"/>
      <c r="M8" s="1"/>
      <c r="N8" s="1"/>
      <c r="O8" s="1"/>
      <c r="P8" s="1"/>
      <c r="Q8" s="1"/>
      <c r="R8" s="1"/>
      <c r="S8" s="1"/>
    </row>
    <row x14ac:dyDescent="0.25" r="9" customHeight="1" ht="18.75">
      <c r="A9" s="475" t="s">
        <v>205</v>
      </c>
      <c r="B9" s="466"/>
      <c r="C9" s="2"/>
      <c r="D9" s="1"/>
      <c r="E9" s="2"/>
      <c r="F9" s="1"/>
      <c r="G9" s="2"/>
      <c r="H9" s="2"/>
      <c r="I9" s="1"/>
      <c r="J9" s="1"/>
      <c r="K9" s="1"/>
      <c r="L9" s="1"/>
      <c r="M9" s="1"/>
      <c r="N9" s="1"/>
      <c r="O9" s="1"/>
      <c r="P9" s="1"/>
      <c r="Q9" s="1"/>
      <c r="R9" s="1"/>
      <c r="S9" s="1"/>
    </row>
    <row x14ac:dyDescent="0.25" r="10" customHeight="1" ht="21">
      <c r="A10" s="461" t="s">
        <v>71</v>
      </c>
      <c r="B10" s="462"/>
      <c r="C10" s="463"/>
      <c r="D10" s="464"/>
      <c r="E10" s="463"/>
      <c r="F10" s="464"/>
      <c r="G10" s="463"/>
      <c r="H10" s="463"/>
      <c r="I10" s="464"/>
      <c r="J10" s="464"/>
      <c r="K10" s="464"/>
      <c r="L10" s="464"/>
      <c r="M10" s="464"/>
      <c r="N10" s="464"/>
      <c r="O10" s="464"/>
      <c r="P10" s="464"/>
      <c r="Q10" s="464"/>
      <c r="R10" s="464"/>
      <c r="S10" s="464"/>
    </row>
    <row x14ac:dyDescent="0.25" r="11" customHeight="1" ht="18.75">
      <c r="A11" s="1" t="s">
        <v>206</v>
      </c>
      <c r="B11" s="476" t="s">
        <v>36</v>
      </c>
      <c r="C11" s="2"/>
      <c r="D11" s="1"/>
      <c r="E11" s="477" t="s">
        <v>207</v>
      </c>
      <c r="F11" s="1"/>
      <c r="G11" s="2"/>
      <c r="H11" s="2"/>
      <c r="I11" s="1"/>
      <c r="J11" s="1"/>
      <c r="K11" s="1"/>
      <c r="L11" s="1"/>
      <c r="M11" s="1"/>
      <c r="N11" s="1"/>
      <c r="O11" s="1"/>
      <c r="P11" s="1"/>
      <c r="Q11" s="1"/>
      <c r="R11" s="1"/>
      <c r="S11" s="1"/>
    </row>
    <row x14ac:dyDescent="0.25" r="12" customHeight="1" ht="18.75">
      <c r="A12" s="1" t="s">
        <v>208</v>
      </c>
      <c r="B12" s="476" t="s">
        <v>36</v>
      </c>
      <c r="C12" s="2"/>
      <c r="D12" s="1"/>
      <c r="E12" s="478" t="s">
        <v>209</v>
      </c>
      <c r="F12" s="1"/>
      <c r="G12" s="2"/>
      <c r="H12" s="2"/>
      <c r="I12" s="1"/>
      <c r="J12" s="1"/>
      <c r="K12" s="1"/>
      <c r="L12" s="1"/>
      <c r="M12" s="1"/>
      <c r="N12" s="1"/>
      <c r="O12" s="1"/>
      <c r="P12" s="1"/>
      <c r="Q12" s="1"/>
      <c r="R12" s="1"/>
      <c r="S12" s="1"/>
    </row>
    <row x14ac:dyDescent="0.25" r="13" customHeight="1" ht="18.75">
      <c r="A13" s="223">
        <f>CONCATENATE("Scale [",UUT_EUnits,"/V]")</f>
      </c>
      <c r="B13" s="479">
        <v>1</v>
      </c>
      <c r="C13" s="2"/>
      <c r="D13" s="1"/>
      <c r="E13" s="478" t="s">
        <v>36</v>
      </c>
      <c r="F13" s="1"/>
      <c r="G13" s="2"/>
      <c r="H13" s="2"/>
      <c r="I13" s="1"/>
      <c r="J13" s="1"/>
      <c r="K13" s="1"/>
      <c r="L13" s="1"/>
      <c r="M13" s="1"/>
      <c r="N13" s="1"/>
      <c r="O13" s="1"/>
      <c r="P13" s="1"/>
      <c r="Q13" s="1"/>
      <c r="R13" s="1"/>
      <c r="S13" s="1"/>
    </row>
    <row x14ac:dyDescent="0.25" r="14" customHeight="1" ht="18.75">
      <c r="A14" s="1" t="s">
        <v>210</v>
      </c>
      <c r="B14" s="480">
        <v>2.5</v>
      </c>
      <c r="C14" s="2"/>
      <c r="D14" s="1"/>
      <c r="E14" s="481" t="s">
        <v>211</v>
      </c>
      <c r="F14" s="1"/>
      <c r="G14" s="2"/>
      <c r="H14" s="2"/>
      <c r="I14" s="1"/>
      <c r="J14" s="1"/>
      <c r="K14" s="1"/>
      <c r="L14" s="1"/>
      <c r="M14" s="1"/>
      <c r="N14" s="1"/>
      <c r="O14" s="1"/>
      <c r="P14" s="1"/>
      <c r="Q14" s="1"/>
      <c r="R14" s="1"/>
      <c r="S14" s="1"/>
    </row>
    <row x14ac:dyDescent="0.25" r="15" customHeight="1" ht="18.75">
      <c r="A15" s="223">
        <f>CONCATENATE("Offset [",UUT_EUnits,"]")</f>
      </c>
      <c r="B15" s="466">
        <f>-B13*B14</f>
      </c>
      <c r="C15" s="2"/>
      <c r="D15" s="1"/>
      <c r="E15" s="2"/>
      <c r="F15" s="1"/>
      <c r="G15" s="2"/>
      <c r="H15" s="2"/>
      <c r="I15" s="1"/>
      <c r="J15" s="1"/>
      <c r="K15" s="1"/>
      <c r="L15" s="1"/>
      <c r="M15" s="1"/>
      <c r="N15" s="1"/>
      <c r="O15" s="1"/>
      <c r="P15" s="1"/>
      <c r="Q15" s="1"/>
      <c r="R15" s="1"/>
      <c r="S15" s="1"/>
    </row>
    <row x14ac:dyDescent="0.25" r="16" customHeight="1" ht="18.75">
      <c r="A16" s="1"/>
      <c r="B16" s="466"/>
      <c r="C16" s="2"/>
      <c r="D16" s="1"/>
      <c r="E16" s="2"/>
      <c r="F16" s="1"/>
      <c r="G16" s="2"/>
      <c r="H16" s="2"/>
      <c r="I16" s="1"/>
      <c r="J16" s="1"/>
      <c r="K16" s="1"/>
      <c r="L16" s="1"/>
      <c r="M16" s="1"/>
      <c r="N16" s="1"/>
      <c r="O16" s="1"/>
      <c r="P16" s="1"/>
      <c r="Q16" s="1"/>
      <c r="R16" s="1"/>
      <c r="S16" s="1"/>
    </row>
    <row x14ac:dyDescent="0.25" r="17" customHeight="1" ht="21">
      <c r="A17" s="461" t="s">
        <v>75</v>
      </c>
      <c r="B17" s="462"/>
      <c r="C17" s="463"/>
      <c r="D17" s="464"/>
      <c r="E17" s="463"/>
      <c r="F17" s="464"/>
      <c r="G17" s="463"/>
      <c r="H17" s="463"/>
      <c r="I17" s="464"/>
      <c r="J17" s="464"/>
      <c r="K17" s="464"/>
      <c r="L17" s="464"/>
      <c r="M17" s="464"/>
      <c r="N17" s="464"/>
      <c r="O17" s="464"/>
      <c r="P17" s="464"/>
      <c r="Q17" s="464"/>
      <c r="R17" s="464"/>
      <c r="S17" s="464"/>
    </row>
    <row x14ac:dyDescent="0.25" r="18" customHeight="1" ht="33.75">
      <c r="A18" s="1" t="s">
        <v>212</v>
      </c>
      <c r="B18" s="466"/>
      <c r="C18" s="2"/>
      <c r="D18" s="482" t="s">
        <v>213</v>
      </c>
      <c r="E18" s="483"/>
      <c r="F18" s="11"/>
      <c r="G18" s="484" t="s">
        <v>214</v>
      </c>
      <c r="H18" s="485"/>
      <c r="I18" s="1"/>
      <c r="J18" s="1"/>
      <c r="K18" s="1"/>
      <c r="L18" s="1"/>
      <c r="M18" s="1"/>
      <c r="N18" s="1"/>
      <c r="O18" s="1"/>
      <c r="P18" s="1"/>
      <c r="Q18" s="1"/>
      <c r="R18" s="1"/>
      <c r="S18" s="1"/>
    </row>
    <row x14ac:dyDescent="0.25" r="19" customHeight="1" ht="18.75">
      <c r="A19" s="219" t="s">
        <v>76</v>
      </c>
      <c r="B19" s="466"/>
      <c r="C19" s="2"/>
      <c r="D19" s="486" t="s">
        <v>77</v>
      </c>
      <c r="E19" s="487"/>
      <c r="F19" s="1"/>
      <c r="G19" s="488" t="s">
        <v>77</v>
      </c>
      <c r="H19" s="489"/>
      <c r="I19" s="1"/>
      <c r="J19" s="1"/>
      <c r="K19" s="1"/>
      <c r="L19" s="1"/>
      <c r="M19" s="1"/>
      <c r="N19" s="1"/>
      <c r="O19" s="1"/>
      <c r="P19" s="1"/>
      <c r="Q19" s="1"/>
      <c r="R19" s="1"/>
      <c r="S19" s="1"/>
    </row>
    <row x14ac:dyDescent="0.25" r="20" customHeight="1" ht="18.75">
      <c r="A20" s="223">
        <f>CONCATENATE("Coppia Taratura |MAX| [",EUnits,"]")</f>
      </c>
      <c r="B20" s="479">
        <v>2000</v>
      </c>
      <c r="C20" s="2"/>
      <c r="D20" s="490" t="s">
        <v>78</v>
      </c>
      <c r="E20" s="491">
        <v>0</v>
      </c>
      <c r="F20" s="1"/>
      <c r="G20" s="492" t="s">
        <v>78</v>
      </c>
      <c r="H20" s="493">
        <v>0</v>
      </c>
      <c r="I20" s="1"/>
      <c r="J20" s="1"/>
      <c r="K20" s="1"/>
      <c r="L20" s="1"/>
      <c r="M20" s="1"/>
      <c r="N20" s="1"/>
      <c r="O20" s="1"/>
      <c r="P20" s="1"/>
      <c r="Q20" s="1"/>
      <c r="R20" s="1"/>
      <c r="S20" s="1"/>
    </row>
    <row x14ac:dyDescent="0.25" r="21" customHeight="1" ht="18.75">
      <c r="A21" s="1" t="s">
        <v>80</v>
      </c>
      <c r="B21" s="494">
        <v>5</v>
      </c>
      <c r="C21" s="2"/>
      <c r="D21" s="490" t="s">
        <v>79</v>
      </c>
      <c r="E21" s="495">
        <f>B22</f>
      </c>
      <c r="F21" s="1"/>
      <c r="G21" s="492" t="s">
        <v>79</v>
      </c>
      <c r="H21" s="496">
        <f>-E21</f>
      </c>
      <c r="I21" s="1"/>
      <c r="J21" s="1"/>
      <c r="K21" s="1"/>
      <c r="L21" s="1"/>
      <c r="M21" s="1"/>
      <c r="N21" s="1"/>
      <c r="O21" s="1"/>
      <c r="P21" s="1"/>
      <c r="Q21" s="1"/>
      <c r="R21" s="1"/>
      <c r="S21" s="1"/>
    </row>
    <row x14ac:dyDescent="0.25" r="22" customHeight="1" ht="18.75">
      <c r="A22" s="223">
        <f>CONCATENATE("Step [",EUnits,"]")</f>
      </c>
      <c r="B22" s="224">
        <f>(B20)/B21</f>
      </c>
      <c r="C22" s="2"/>
      <c r="D22" s="490" t="s">
        <v>81</v>
      </c>
      <c r="E22" s="495">
        <f>E21+$B$22</f>
      </c>
      <c r="F22" s="1"/>
      <c r="G22" s="492" t="s">
        <v>81</v>
      </c>
      <c r="H22" s="496">
        <f>-E22</f>
      </c>
      <c r="I22" s="1"/>
      <c r="J22" s="1"/>
      <c r="K22" s="1"/>
      <c r="L22" s="1"/>
      <c r="M22" s="1"/>
      <c r="N22" s="1"/>
      <c r="O22" s="1"/>
      <c r="P22" s="1"/>
      <c r="Q22" s="1"/>
      <c r="R22" s="1"/>
      <c r="S22" s="1"/>
    </row>
    <row x14ac:dyDescent="0.25" r="23" customHeight="1" ht="18.75">
      <c r="A23" s="1"/>
      <c r="B23" s="466"/>
      <c r="C23" s="2"/>
      <c r="D23" s="490" t="s">
        <v>82</v>
      </c>
      <c r="E23" s="495">
        <f>E22+$B$22</f>
      </c>
      <c r="F23" s="1"/>
      <c r="G23" s="492" t="s">
        <v>82</v>
      </c>
      <c r="H23" s="496">
        <f>-E23</f>
      </c>
      <c r="I23" s="1"/>
      <c r="J23" s="1"/>
      <c r="K23" s="1"/>
      <c r="L23" s="1"/>
      <c r="M23" s="1"/>
      <c r="N23" s="1"/>
      <c r="O23" s="1"/>
      <c r="P23" s="1"/>
      <c r="Q23" s="1"/>
      <c r="R23" s="1"/>
      <c r="S23" s="1"/>
    </row>
    <row x14ac:dyDescent="0.25" r="24" customHeight="1" ht="18.75">
      <c r="A24" s="1" t="s">
        <v>215</v>
      </c>
      <c r="B24" s="466">
        <f>B20</f>
      </c>
      <c r="C24" s="2"/>
      <c r="D24" s="490" t="s">
        <v>83</v>
      </c>
      <c r="E24" s="495">
        <f>E23+$B$22</f>
      </c>
      <c r="F24" s="1"/>
      <c r="G24" s="492" t="s">
        <v>83</v>
      </c>
      <c r="H24" s="496">
        <f>-E24</f>
      </c>
      <c r="I24" s="1"/>
      <c r="J24" s="1"/>
      <c r="K24" s="1"/>
      <c r="L24" s="1"/>
      <c r="M24" s="1"/>
      <c r="N24" s="1"/>
      <c r="O24" s="1"/>
      <c r="P24" s="1"/>
      <c r="Q24" s="1"/>
      <c r="R24" s="1"/>
      <c r="S24" s="1"/>
    </row>
    <row x14ac:dyDescent="0.25" r="25" customHeight="1" ht="18.75">
      <c r="A25" s="1" t="s">
        <v>216</v>
      </c>
      <c r="B25" s="466">
        <f>-B20</f>
      </c>
      <c r="C25" s="2"/>
      <c r="D25" s="497" t="s">
        <v>84</v>
      </c>
      <c r="E25" s="498">
        <f>E24+$B$22</f>
      </c>
      <c r="F25" s="1"/>
      <c r="G25" s="499" t="s">
        <v>84</v>
      </c>
      <c r="H25" s="500">
        <f>-E25</f>
      </c>
      <c r="I25" s="1"/>
      <c r="J25" s="1"/>
      <c r="K25" s="1"/>
      <c r="L25" s="1"/>
      <c r="M25" s="1"/>
      <c r="N25" s="1"/>
      <c r="O25" s="1"/>
      <c r="P25" s="1"/>
      <c r="Q25" s="1"/>
      <c r="R25" s="1"/>
      <c r="S25" s="1"/>
    </row>
    <row x14ac:dyDescent="0.25" r="26" customHeight="1" ht="19.5">
      <c r="A26" s="1"/>
      <c r="B26" s="466"/>
      <c r="C26" s="2"/>
      <c r="D26" s="1"/>
      <c r="E26" s="2"/>
      <c r="F26" s="1"/>
      <c r="G26" s="2"/>
      <c r="H26" s="2"/>
      <c r="I26" s="1"/>
      <c r="J26" s="1"/>
      <c r="K26" s="1"/>
      <c r="L26" s="1"/>
      <c r="M26" s="1"/>
      <c r="N26" s="1"/>
      <c r="O26" s="1"/>
      <c r="P26" s="1"/>
      <c r="Q26" s="1"/>
      <c r="R26" s="1"/>
      <c r="S26" s="1"/>
    </row>
    <row x14ac:dyDescent="0.25" r="27" customHeight="1" ht="24.75">
      <c r="A27" s="461" t="s">
        <v>85</v>
      </c>
      <c r="B27" s="462"/>
      <c r="C27" s="463"/>
      <c r="D27" s="464"/>
      <c r="E27" s="463"/>
      <c r="F27" s="464"/>
      <c r="G27" s="463"/>
      <c r="H27" s="463"/>
      <c r="I27" s="464"/>
      <c r="J27" s="464"/>
      <c r="K27" s="464"/>
      <c r="L27" s="464"/>
      <c r="M27" s="464"/>
      <c r="N27" s="464"/>
      <c r="O27" s="464"/>
      <c r="P27" s="464"/>
      <c r="Q27" s="464"/>
      <c r="R27" s="464"/>
      <c r="S27" s="464"/>
    </row>
    <row x14ac:dyDescent="0.25" r="28" customHeight="1" ht="19.5">
      <c r="A28" s="1" t="s">
        <v>86</v>
      </c>
      <c r="B28" s="466"/>
      <c r="C28" s="2"/>
      <c r="D28" s="1"/>
      <c r="E28" s="2"/>
      <c r="F28" s="215"/>
      <c r="G28" s="2"/>
      <c r="H28" s="2"/>
      <c r="I28" s="1"/>
      <c r="J28" s="1"/>
      <c r="K28" s="215"/>
      <c r="L28" s="1"/>
      <c r="M28" s="225" t="s">
        <v>87</v>
      </c>
      <c r="N28" s="1"/>
      <c r="O28" s="1"/>
      <c r="P28" s="215"/>
      <c r="Q28" s="1"/>
      <c r="R28" s="1"/>
      <c r="S28" s="1"/>
    </row>
    <row x14ac:dyDescent="0.25" r="29" customHeight="1" ht="18.75">
      <c r="A29" s="1"/>
      <c r="B29" s="466"/>
      <c r="C29" s="2"/>
      <c r="D29" s="1"/>
      <c r="E29" s="2"/>
      <c r="F29" s="215"/>
      <c r="G29" s="2"/>
      <c r="H29" s="2"/>
      <c r="I29" s="1"/>
      <c r="J29" s="1"/>
      <c r="K29" s="215"/>
      <c r="L29" s="1"/>
      <c r="M29" s="1"/>
      <c r="N29" s="1"/>
      <c r="O29" s="1"/>
      <c r="P29" s="215"/>
      <c r="Q29" s="1"/>
      <c r="R29" s="1"/>
      <c r="S29" s="1"/>
    </row>
    <row x14ac:dyDescent="0.25" r="30" customHeight="1" ht="22.875">
      <c r="A30" s="501" t="s">
        <v>217</v>
      </c>
      <c r="B30" s="502" t="s">
        <v>88</v>
      </c>
      <c r="C30" s="503" t="s">
        <v>89</v>
      </c>
      <c r="D30" s="504"/>
      <c r="E30" s="505" t="s">
        <v>90</v>
      </c>
      <c r="F30" s="506"/>
      <c r="G30" s="507" t="s">
        <v>91</v>
      </c>
      <c r="H30" s="508"/>
      <c r="I30" s="1"/>
      <c r="J30" s="1"/>
      <c r="K30" s="1"/>
      <c r="L30" s="1"/>
      <c r="M30" s="1"/>
      <c r="N30" s="1"/>
      <c r="O30" s="1"/>
      <c r="P30" s="1"/>
      <c r="Q30" s="1"/>
      <c r="R30" s="1"/>
      <c r="S30" s="1"/>
    </row>
    <row x14ac:dyDescent="0.25" r="31" customHeight="1" ht="21">
      <c r="A31" s="1"/>
      <c r="B31" s="509"/>
      <c r="C31" s="510">
        <v>0</v>
      </c>
      <c r="D31" s="511">
        <f>C_Tar_max</f>
      </c>
      <c r="E31" s="510">
        <v>0</v>
      </c>
      <c r="F31" s="511">
        <f>C_Tar_max</f>
      </c>
      <c r="G31" s="510">
        <v>0</v>
      </c>
      <c r="H31" s="512">
        <f>C_Tar_max</f>
      </c>
      <c r="I31" s="1"/>
      <c r="J31" s="1"/>
      <c r="K31" s="1"/>
      <c r="L31" s="1"/>
      <c r="M31" s="1"/>
      <c r="N31" s="1"/>
      <c r="O31" s="1"/>
      <c r="P31" s="1"/>
      <c r="Q31" s="1"/>
      <c r="R31" s="1"/>
      <c r="S31" s="1"/>
    </row>
    <row x14ac:dyDescent="0.25" r="32" customHeight="1" ht="19.5">
      <c r="A32" s="1"/>
      <c r="B32" s="513">
        <f>CONCATENATE("Coppia REF [",EUnits,"]")</f>
      </c>
      <c r="C32" s="514">
        <f>Euramet!C62</f>
      </c>
      <c r="D32" s="514">
        <f>Euramet!D62</f>
      </c>
      <c r="E32" s="514">
        <f>Euramet!E62</f>
      </c>
      <c r="F32" s="514">
        <f>Euramet!F62</f>
      </c>
      <c r="G32" s="514">
        <f>Euramet!G62</f>
      </c>
      <c r="H32" s="514">
        <f>Euramet!H62</f>
      </c>
      <c r="I32" s="1"/>
      <c r="J32" s="1"/>
      <c r="K32" s="1"/>
      <c r="L32" s="1"/>
      <c r="M32" s="1"/>
      <c r="N32" s="1"/>
      <c r="O32" s="1"/>
      <c r="P32" s="1"/>
      <c r="Q32" s="1"/>
      <c r="R32" s="1"/>
      <c r="S32" s="1"/>
    </row>
    <row x14ac:dyDescent="0.25" r="33" customHeight="1" ht="19.5">
      <c r="A33" s="1"/>
      <c r="B33" s="515">
        <f>CONCATENATE("Coppia UUT [",UUT_EUnits,"]")</f>
      </c>
      <c r="C33" s="514">
        <f>Euramet!C63</f>
      </c>
      <c r="D33" s="514">
        <f>Euramet!D63</f>
      </c>
      <c r="E33" s="514">
        <f>Euramet!E63</f>
      </c>
      <c r="F33" s="514">
        <f>Euramet!F63</f>
      </c>
      <c r="G33" s="514">
        <f>Euramet!G63</f>
      </c>
      <c r="H33" s="514">
        <f>Euramet!H63</f>
      </c>
      <c r="I33" s="1"/>
      <c r="J33" s="1"/>
      <c r="K33" s="1"/>
      <c r="L33" s="1"/>
      <c r="M33" s="1"/>
      <c r="N33" s="1"/>
      <c r="O33" s="1"/>
      <c r="P33" s="1"/>
      <c r="Q33" s="1"/>
      <c r="R33" s="1"/>
      <c r="S33" s="1"/>
    </row>
    <row x14ac:dyDescent="0.25" r="34" customHeight="1" ht="19.5">
      <c r="A34" s="1"/>
      <c r="B34" s="516"/>
      <c r="C34" s="2"/>
      <c r="D34" s="1"/>
      <c r="E34" s="2"/>
      <c r="F34" s="1"/>
      <c r="G34" s="2"/>
      <c r="H34" s="2"/>
      <c r="I34" s="1"/>
      <c r="J34" s="1"/>
      <c r="K34" s="1"/>
      <c r="L34" s="1"/>
      <c r="M34" s="1"/>
      <c r="N34" s="1"/>
      <c r="O34" s="1"/>
      <c r="P34" s="1"/>
      <c r="Q34" s="1"/>
      <c r="R34" s="1"/>
      <c r="S34" s="1"/>
    </row>
    <row x14ac:dyDescent="0.25" r="35" customHeight="1" ht="45.75" customFormat="1" s="253">
      <c r="A35" s="94"/>
      <c r="B35" s="517" t="s">
        <v>92</v>
      </c>
      <c r="C35" s="518" t="s">
        <v>93</v>
      </c>
      <c r="D35" s="519" t="s">
        <v>94</v>
      </c>
      <c r="E35" s="520" t="s">
        <v>95</v>
      </c>
      <c r="F35" s="519" t="s">
        <v>96</v>
      </c>
      <c r="G35" s="520" t="s">
        <v>97</v>
      </c>
      <c r="H35" s="518" t="s">
        <v>98</v>
      </c>
      <c r="I35" s="521" t="s">
        <v>93</v>
      </c>
      <c r="J35" s="94"/>
      <c r="K35" s="94"/>
      <c r="L35" s="94"/>
      <c r="M35" s="94"/>
      <c r="N35" s="94"/>
      <c r="O35" s="94"/>
      <c r="P35" s="94"/>
      <c r="Q35" s="94"/>
      <c r="R35" s="94"/>
      <c r="S35" s="94"/>
    </row>
    <row x14ac:dyDescent="0.25" r="36" customHeight="1" ht="19.5">
      <c r="A36" s="1"/>
      <c r="B36" s="513">
        <f>CONCATENATE("Coppia REF [",EUnits,"]")</f>
      </c>
      <c r="C36" s="514">
        <f>Euramet!C66</f>
      </c>
      <c r="D36" s="514">
        <f>Euramet!D66</f>
      </c>
      <c r="E36" s="514">
        <f>Euramet!E66</f>
      </c>
      <c r="F36" s="514">
        <f>Euramet!F66</f>
      </c>
      <c r="G36" s="514">
        <f>Euramet!G66</f>
      </c>
      <c r="H36" s="514">
        <f>Euramet!H66</f>
      </c>
      <c r="I36" s="514">
        <f>Euramet!I66</f>
      </c>
      <c r="J36" s="1"/>
      <c r="K36" s="1"/>
      <c r="L36" s="1"/>
      <c r="M36" s="1"/>
      <c r="N36" s="1"/>
      <c r="O36" s="1"/>
      <c r="P36" s="1"/>
      <c r="Q36" s="1"/>
      <c r="R36" s="1"/>
      <c r="S36" s="1"/>
    </row>
    <row x14ac:dyDescent="0.25" r="37" customHeight="1" ht="19.5">
      <c r="A37" s="1"/>
      <c r="B37" s="515">
        <f>CONCATENATE("Coppia UUT [",UUT_EUnits,"]")</f>
      </c>
      <c r="C37" s="514">
        <f>Euramet!C67</f>
      </c>
      <c r="D37" s="514">
        <f>Euramet!D67</f>
      </c>
      <c r="E37" s="514">
        <f>Euramet!E67</f>
      </c>
      <c r="F37" s="514">
        <f>Euramet!F67</f>
      </c>
      <c r="G37" s="514">
        <f>Euramet!G67</f>
      </c>
      <c r="H37" s="514">
        <f>Euramet!H67</f>
      </c>
      <c r="I37" s="514">
        <f>Euramet!I67</f>
      </c>
      <c r="J37" s="1"/>
      <c r="K37" s="1"/>
      <c r="L37" s="1"/>
      <c r="M37" s="1"/>
      <c r="N37" s="1"/>
      <c r="O37" s="1"/>
      <c r="P37" s="1"/>
      <c r="Q37" s="1"/>
      <c r="R37" s="1"/>
      <c r="S37" s="1"/>
    </row>
    <row x14ac:dyDescent="0.25" r="38" customHeight="1" ht="19.5">
      <c r="A38" s="1"/>
      <c r="B38" s="466"/>
      <c r="C38" s="2"/>
      <c r="D38" s="1"/>
      <c r="E38" s="2"/>
      <c r="F38" s="1"/>
      <c r="G38" s="2"/>
      <c r="H38" s="2"/>
      <c r="I38" s="1"/>
      <c r="J38" s="1"/>
      <c r="K38" s="1"/>
      <c r="L38" s="1"/>
      <c r="M38" s="1"/>
      <c r="N38" s="1"/>
      <c r="O38" s="1"/>
      <c r="P38" s="1"/>
      <c r="Q38" s="1"/>
      <c r="R38" s="1"/>
      <c r="S38" s="1"/>
    </row>
    <row x14ac:dyDescent="0.25" r="39" customHeight="1" ht="45.75" customFormat="1" s="253">
      <c r="A39" s="94"/>
      <c r="B39" s="522" t="s">
        <v>99</v>
      </c>
      <c r="C39" s="518" t="s">
        <v>93</v>
      </c>
      <c r="D39" s="519" t="s">
        <v>94</v>
      </c>
      <c r="E39" s="520" t="s">
        <v>95</v>
      </c>
      <c r="F39" s="519" t="s">
        <v>96</v>
      </c>
      <c r="G39" s="520" t="s">
        <v>97</v>
      </c>
      <c r="H39" s="518" t="s">
        <v>98</v>
      </c>
      <c r="I39" s="521" t="s">
        <v>93</v>
      </c>
      <c r="J39" s="94"/>
      <c r="K39" s="94"/>
      <c r="L39" s="94"/>
      <c r="M39" s="94"/>
      <c r="N39" s="94"/>
      <c r="O39" s="94"/>
      <c r="P39" s="94"/>
      <c r="Q39" s="94"/>
      <c r="R39" s="94"/>
      <c r="S39" s="94"/>
    </row>
    <row x14ac:dyDescent="0.25" r="40" customHeight="1" ht="18.75">
      <c r="A40" s="1"/>
      <c r="B40" s="513">
        <f>CONCATENATE("Coppia REF [",EUnits,"]")</f>
      </c>
      <c r="C40" s="514">
        <f>Euramet!C70</f>
      </c>
      <c r="D40" s="514">
        <f>Euramet!D70</f>
      </c>
      <c r="E40" s="514">
        <f>Euramet!E70</f>
      </c>
      <c r="F40" s="514">
        <f>Euramet!F70</f>
      </c>
      <c r="G40" s="514">
        <f>Euramet!G70</f>
      </c>
      <c r="H40" s="514">
        <f>Euramet!H70</f>
      </c>
      <c r="I40" s="514">
        <f>Euramet!I70</f>
      </c>
      <c r="J40" s="1"/>
      <c r="K40" s="1"/>
      <c r="L40" s="1"/>
      <c r="M40" s="1"/>
      <c r="N40" s="1"/>
      <c r="O40" s="1"/>
      <c r="P40" s="1"/>
      <c r="Q40" s="1"/>
      <c r="R40" s="1"/>
      <c r="S40" s="1"/>
    </row>
    <row x14ac:dyDescent="0.25" r="41" customHeight="1" ht="18.75">
      <c r="A41" s="1"/>
      <c r="B41" s="515">
        <f>CONCATENATE("Coppia UUT [",UUT_EUnits,"]")</f>
      </c>
      <c r="C41" s="514">
        <f>Euramet!C71</f>
      </c>
      <c r="D41" s="514">
        <f>Euramet!D71</f>
      </c>
      <c r="E41" s="514">
        <f>Euramet!E71</f>
      </c>
      <c r="F41" s="514">
        <f>Euramet!F71</f>
      </c>
      <c r="G41" s="514">
        <f>Euramet!G71</f>
      </c>
      <c r="H41" s="514">
        <f>Euramet!H71</f>
      </c>
      <c r="I41" s="514">
        <f>Euramet!I71</f>
      </c>
      <c r="J41" s="1"/>
      <c r="K41" s="1"/>
      <c r="L41" s="1"/>
      <c r="M41" s="1"/>
      <c r="N41" s="1"/>
      <c r="O41" s="1"/>
      <c r="P41" s="1"/>
      <c r="Q41" s="1"/>
      <c r="R41" s="1"/>
      <c r="S41" s="1"/>
    </row>
    <row x14ac:dyDescent="0.25" r="42" customHeight="1" ht="18.75">
      <c r="A42" s="1"/>
      <c r="B42" s="466"/>
      <c r="C42" s="2"/>
      <c r="D42" s="1"/>
      <c r="E42" s="2"/>
      <c r="F42" s="1"/>
      <c r="G42" s="2"/>
      <c r="H42" s="2"/>
      <c r="I42" s="1"/>
      <c r="J42" s="1"/>
      <c r="K42" s="1"/>
      <c r="L42" s="1"/>
      <c r="M42" s="1"/>
      <c r="N42" s="1"/>
      <c r="O42" s="1"/>
      <c r="P42" s="1"/>
      <c r="Q42" s="1"/>
      <c r="R42" s="1"/>
      <c r="S42" s="1"/>
    </row>
    <row x14ac:dyDescent="0.25" r="43" customHeight="1" ht="18.75">
      <c r="A43" s="1"/>
      <c r="B43" s="466"/>
      <c r="C43" s="2"/>
      <c r="D43" s="1"/>
      <c r="E43" s="2"/>
      <c r="F43" s="1"/>
      <c r="G43" s="2"/>
      <c r="H43" s="2"/>
      <c r="I43" s="1"/>
      <c r="J43" s="1"/>
      <c r="K43" s="1"/>
      <c r="L43" s="1"/>
      <c r="M43" s="1"/>
      <c r="N43" s="1"/>
      <c r="O43" s="1"/>
      <c r="P43" s="1"/>
      <c r="Q43" s="1"/>
      <c r="R43" s="1"/>
      <c r="S43" s="1"/>
    </row>
    <row x14ac:dyDescent="0.25" r="44" customHeight="1" ht="21">
      <c r="A44" s="523" t="s">
        <v>218</v>
      </c>
      <c r="B44" s="524" t="s">
        <v>88</v>
      </c>
      <c r="C44" s="525" t="s">
        <v>89</v>
      </c>
      <c r="D44" s="526"/>
      <c r="E44" s="527" t="s">
        <v>90</v>
      </c>
      <c r="F44" s="528"/>
      <c r="G44" s="529" t="s">
        <v>91</v>
      </c>
      <c r="H44" s="485"/>
      <c r="I44" s="1"/>
      <c r="J44" s="1"/>
      <c r="K44" s="1"/>
      <c r="L44" s="1"/>
      <c r="M44" s="1"/>
      <c r="N44" s="1"/>
      <c r="O44" s="1"/>
      <c r="P44" s="1"/>
      <c r="Q44" s="1"/>
      <c r="R44" s="1"/>
      <c r="S44" s="1"/>
    </row>
    <row x14ac:dyDescent="0.25" r="45" customHeight="1" ht="21">
      <c r="A45" s="1"/>
      <c r="B45" s="530"/>
      <c r="C45" s="531">
        <v>0</v>
      </c>
      <c r="D45" s="532">
        <f>C_Tar_min</f>
      </c>
      <c r="E45" s="531">
        <v>0</v>
      </c>
      <c r="F45" s="533">
        <f>C_Tar_min</f>
      </c>
      <c r="G45" s="534">
        <v>0</v>
      </c>
      <c r="H45" s="535">
        <f>C_Tar_min</f>
      </c>
      <c r="I45" s="1"/>
      <c r="J45" s="1"/>
      <c r="K45" s="1"/>
      <c r="L45" s="1"/>
      <c r="M45" s="1"/>
      <c r="N45" s="1"/>
      <c r="O45" s="1"/>
      <c r="P45" s="1"/>
      <c r="Q45" s="1"/>
      <c r="R45" s="1"/>
      <c r="S45" s="1"/>
    </row>
    <row x14ac:dyDescent="0.25" r="46" customHeight="1" ht="18.75">
      <c r="A46" s="1"/>
      <c r="B46" s="536">
        <f>CONCATENATE("Coppia REF [",EUnits,"]")</f>
      </c>
      <c r="C46" s="514">
        <f>Euramet!C76</f>
      </c>
      <c r="D46" s="514">
        <f>Euramet!D76</f>
      </c>
      <c r="E46" s="514">
        <f>Euramet!E76</f>
      </c>
      <c r="F46" s="514">
        <f>Euramet!F76</f>
      </c>
      <c r="G46" s="514">
        <f>Euramet!G76</f>
      </c>
      <c r="H46" s="514">
        <f>Euramet!H76</f>
      </c>
      <c r="I46" s="1"/>
      <c r="J46" s="1"/>
      <c r="K46" s="1"/>
      <c r="L46" s="1"/>
      <c r="M46" s="1"/>
      <c r="N46" s="1"/>
      <c r="O46" s="1"/>
      <c r="P46" s="1"/>
      <c r="Q46" s="1"/>
      <c r="R46" s="1"/>
      <c r="S46" s="1"/>
    </row>
    <row x14ac:dyDescent="0.25" r="47" customHeight="1" ht="18.75">
      <c r="A47" s="1"/>
      <c r="B47" s="537">
        <f>CONCATENATE("Coppia UUT [",UUT_EUnits,"]")</f>
      </c>
      <c r="C47" s="514">
        <f>Euramet!C77</f>
      </c>
      <c r="D47" s="514">
        <f>Euramet!D77</f>
      </c>
      <c r="E47" s="514">
        <f>Euramet!E77</f>
      </c>
      <c r="F47" s="514">
        <f>Euramet!F77</f>
      </c>
      <c r="G47" s="514">
        <f>Euramet!G77</f>
      </c>
      <c r="H47" s="514">
        <f>Euramet!H77</f>
      </c>
      <c r="I47" s="1"/>
      <c r="J47" s="1"/>
      <c r="K47" s="1"/>
      <c r="L47" s="1"/>
      <c r="M47" s="1"/>
      <c r="N47" s="1"/>
      <c r="O47" s="1"/>
      <c r="P47" s="1"/>
      <c r="Q47" s="1"/>
      <c r="R47" s="1"/>
      <c r="S47" s="1"/>
    </row>
    <row x14ac:dyDescent="0.25" r="48" customHeight="1" ht="18.75">
      <c r="A48" s="1"/>
      <c r="B48" s="466"/>
      <c r="C48" s="2"/>
      <c r="D48" s="1"/>
      <c r="E48" s="2"/>
      <c r="F48" s="1"/>
      <c r="G48" s="2"/>
      <c r="H48" s="2"/>
      <c r="I48" s="1"/>
      <c r="J48" s="1"/>
      <c r="K48" s="1"/>
      <c r="L48" s="1"/>
      <c r="M48" s="1"/>
      <c r="N48" s="1"/>
      <c r="O48" s="1"/>
      <c r="P48" s="1"/>
      <c r="Q48" s="1"/>
      <c r="R48" s="1"/>
      <c r="S48" s="1"/>
    </row>
    <row x14ac:dyDescent="0.25" r="49" customHeight="1" ht="41.4" customFormat="1" s="253">
      <c r="A49" s="94"/>
      <c r="B49" s="538" t="s">
        <v>92</v>
      </c>
      <c r="C49" s="539" t="s">
        <v>93</v>
      </c>
      <c r="D49" s="540" t="s">
        <v>94</v>
      </c>
      <c r="E49" s="541" t="s">
        <v>95</v>
      </c>
      <c r="F49" s="540" t="s">
        <v>96</v>
      </c>
      <c r="G49" s="541" t="s">
        <v>97</v>
      </c>
      <c r="H49" s="539" t="s">
        <v>98</v>
      </c>
      <c r="I49" s="542" t="s">
        <v>93</v>
      </c>
      <c r="J49" s="94"/>
      <c r="K49" s="94"/>
      <c r="L49" s="94"/>
      <c r="M49" s="94"/>
      <c r="N49" s="94"/>
      <c r="O49" s="94"/>
      <c r="P49" s="94"/>
      <c r="Q49" s="94"/>
      <c r="R49" s="94"/>
      <c r="S49" s="94"/>
    </row>
    <row x14ac:dyDescent="0.25" r="50" customHeight="1" ht="18.75">
      <c r="A50" s="1"/>
      <c r="B50" s="536">
        <f>CONCATENATE("Coppia REF [",EUnits,"]")</f>
      </c>
      <c r="C50" s="514">
        <f>Euramet!C80</f>
      </c>
      <c r="D50" s="514">
        <f>Euramet!D80</f>
      </c>
      <c r="E50" s="514">
        <f>Euramet!E80</f>
      </c>
      <c r="F50" s="514">
        <f>Euramet!F80</f>
      </c>
      <c r="G50" s="514">
        <f>Euramet!G80</f>
      </c>
      <c r="H50" s="514">
        <f>Euramet!H80</f>
      </c>
      <c r="I50" s="514">
        <f>Euramet!I80</f>
      </c>
      <c r="J50" s="1"/>
      <c r="K50" s="1"/>
      <c r="L50" s="1"/>
      <c r="M50" s="1"/>
      <c r="N50" s="1"/>
      <c r="O50" s="1"/>
      <c r="P50" s="1"/>
      <c r="Q50" s="1"/>
      <c r="R50" s="1"/>
      <c r="S50" s="1"/>
    </row>
    <row x14ac:dyDescent="0.25" r="51" customHeight="1" ht="18.75">
      <c r="A51" s="1"/>
      <c r="B51" s="537">
        <f>CONCATENATE("Coppia UUT [",UUT_EUnits,"]")</f>
      </c>
      <c r="C51" s="514">
        <f>Euramet!C81</f>
      </c>
      <c r="D51" s="514">
        <f>Euramet!D81</f>
      </c>
      <c r="E51" s="514">
        <f>Euramet!E81</f>
      </c>
      <c r="F51" s="514">
        <f>Euramet!F81</f>
      </c>
      <c r="G51" s="514">
        <f>Euramet!G81</f>
      </c>
      <c r="H51" s="514">
        <f>Euramet!H81</f>
      </c>
      <c r="I51" s="514">
        <f>Euramet!I81</f>
      </c>
      <c r="J51" s="1"/>
      <c r="K51" s="1"/>
      <c r="L51" s="1"/>
      <c r="M51" s="1"/>
      <c r="N51" s="1"/>
      <c r="O51" s="1"/>
      <c r="P51" s="1"/>
      <c r="Q51" s="1"/>
      <c r="R51" s="1"/>
      <c r="S51" s="1"/>
    </row>
    <row x14ac:dyDescent="0.25" r="52" customHeight="1" ht="18.75">
      <c r="A52" s="1"/>
      <c r="B52" s="466"/>
      <c r="C52" s="2"/>
      <c r="D52" s="1"/>
      <c r="E52" s="2"/>
      <c r="F52" s="1"/>
      <c r="G52" s="2"/>
      <c r="H52" s="2"/>
      <c r="I52" s="1"/>
      <c r="J52" s="1"/>
      <c r="K52" s="1"/>
      <c r="L52" s="1"/>
      <c r="M52" s="1"/>
      <c r="N52" s="1"/>
      <c r="O52" s="1"/>
      <c r="P52" s="1"/>
      <c r="Q52" s="1"/>
      <c r="R52" s="1"/>
      <c r="S52" s="1"/>
    </row>
    <row x14ac:dyDescent="0.25" r="53" customHeight="1" ht="41.4" customFormat="1" s="253">
      <c r="A53" s="94"/>
      <c r="B53" s="538" t="s">
        <v>99</v>
      </c>
      <c r="C53" s="539" t="s">
        <v>93</v>
      </c>
      <c r="D53" s="540" t="s">
        <v>94</v>
      </c>
      <c r="E53" s="541" t="s">
        <v>95</v>
      </c>
      <c r="F53" s="540" t="s">
        <v>96</v>
      </c>
      <c r="G53" s="541" t="s">
        <v>97</v>
      </c>
      <c r="H53" s="539" t="s">
        <v>98</v>
      </c>
      <c r="I53" s="542" t="s">
        <v>93</v>
      </c>
      <c r="J53" s="94"/>
      <c r="K53" s="94"/>
      <c r="L53" s="94"/>
      <c r="M53" s="94"/>
      <c r="N53" s="94"/>
      <c r="O53" s="94"/>
      <c r="P53" s="94"/>
      <c r="Q53" s="94"/>
      <c r="R53" s="94"/>
      <c r="S53" s="94"/>
    </row>
    <row x14ac:dyDescent="0.25" r="54" customHeight="1" ht="18.75">
      <c r="A54" s="1"/>
      <c r="B54" s="536">
        <f>CONCATENATE("Coppia REF [",EUnits,"]")</f>
      </c>
      <c r="C54" s="514">
        <f>Euramet!C84</f>
      </c>
      <c r="D54" s="514">
        <f>Euramet!D84</f>
      </c>
      <c r="E54" s="514">
        <f>Euramet!E84</f>
      </c>
      <c r="F54" s="514">
        <f>Euramet!F84</f>
      </c>
      <c r="G54" s="514">
        <f>Euramet!G84</f>
      </c>
      <c r="H54" s="514">
        <f>Euramet!H84</f>
      </c>
      <c r="I54" s="514">
        <f>Euramet!I84</f>
      </c>
      <c r="J54" s="1"/>
      <c r="K54" s="1"/>
      <c r="L54" s="1"/>
      <c r="M54" s="1"/>
      <c r="N54" s="1"/>
      <c r="O54" s="1"/>
      <c r="P54" s="1"/>
      <c r="Q54" s="1"/>
      <c r="R54" s="1"/>
      <c r="S54" s="1"/>
    </row>
    <row x14ac:dyDescent="0.25" r="55" customHeight="1" ht="18.75">
      <c r="A55" s="1"/>
      <c r="B55" s="537">
        <f>CONCATENATE("Coppia UUT [",UUT_EUnits,"]")</f>
      </c>
      <c r="C55" s="514">
        <f>Euramet!C85</f>
      </c>
      <c r="D55" s="514">
        <f>Euramet!D85</f>
      </c>
      <c r="E55" s="514">
        <f>Euramet!E85</f>
      </c>
      <c r="F55" s="514">
        <f>Euramet!F85</f>
      </c>
      <c r="G55" s="514">
        <f>Euramet!G85</f>
      </c>
      <c r="H55" s="514">
        <f>Euramet!H85</f>
      </c>
      <c r="I55" s="514">
        <f>Euramet!I85</f>
      </c>
      <c r="J55" s="1"/>
      <c r="K55" s="1"/>
      <c r="L55" s="1"/>
      <c r="M55" s="1"/>
      <c r="N55" s="1"/>
      <c r="O55" s="1"/>
      <c r="P55" s="1"/>
      <c r="Q55" s="1"/>
      <c r="R55" s="1"/>
      <c r="S55" s="1"/>
    </row>
    <row x14ac:dyDescent="0.25" r="56" customHeight="1" ht="18.75">
      <c r="A56" s="1"/>
      <c r="B56" s="466"/>
      <c r="C56" s="2"/>
      <c r="D56" s="1"/>
      <c r="E56" s="2"/>
      <c r="F56" s="1"/>
      <c r="G56" s="2"/>
      <c r="H56" s="2"/>
      <c r="I56" s="1"/>
      <c r="J56" s="1"/>
      <c r="K56" s="1"/>
      <c r="L56" s="1"/>
      <c r="M56" s="1"/>
      <c r="N56" s="1"/>
      <c r="O56" s="1"/>
      <c r="P56" s="1"/>
      <c r="Q56" s="1"/>
      <c r="R56" s="1"/>
      <c r="S56" s="1"/>
    </row>
    <row x14ac:dyDescent="0.25" r="57" customHeight="1" ht="18.75">
      <c r="A57" s="543" t="s">
        <v>219</v>
      </c>
      <c r="B57" s="462" t="s">
        <v>220</v>
      </c>
      <c r="C57" s="544">
        <v>5</v>
      </c>
      <c r="D57" s="1"/>
      <c r="E57" s="2"/>
      <c r="F57" s="1"/>
      <c r="G57" s="2"/>
      <c r="H57" s="2"/>
      <c r="I57" s="1"/>
      <c r="J57" s="1"/>
      <c r="K57" s="1"/>
      <c r="L57" s="1"/>
      <c r="M57" s="1"/>
      <c r="N57" s="1"/>
      <c r="O57" s="1"/>
      <c r="P57" s="1"/>
      <c r="Q57" s="1"/>
      <c r="R57" s="1"/>
      <c r="S57" s="1"/>
    </row>
    <row x14ac:dyDescent="0.25" r="58" customHeight="1" ht="15.6">
      <c r="A58" s="1"/>
      <c r="B58" s="462" t="s">
        <v>221</v>
      </c>
      <c r="C58" s="545">
        <f>C57/4000</f>
      </c>
      <c r="D58" s="1"/>
      <c r="E58" s="2"/>
      <c r="F58" s="1"/>
      <c r="G58" s="2"/>
      <c r="H58" s="2"/>
      <c r="I58" s="1"/>
      <c r="J58" s="1"/>
      <c r="K58" s="1"/>
      <c r="L58" s="1"/>
      <c r="M58" s="1"/>
      <c r="N58" s="1"/>
      <c r="O58" s="1"/>
      <c r="P58" s="1"/>
      <c r="Q58" s="1"/>
      <c r="R58" s="1"/>
      <c r="S58" s="1"/>
    </row>
    <row x14ac:dyDescent="0.25" r="59" customHeight="1" ht="18.75">
      <c r="A59" s="1"/>
      <c r="B59" s="462"/>
      <c r="C59" s="463"/>
      <c r="D59" s="1"/>
      <c r="E59" s="2"/>
      <c r="F59" s="1"/>
      <c r="G59" s="2"/>
      <c r="H59" s="2"/>
      <c r="I59" s="1"/>
      <c r="J59" s="1"/>
      <c r="K59" s="1"/>
      <c r="L59" s="1"/>
      <c r="M59" s="1"/>
      <c r="N59" s="1"/>
      <c r="O59" s="1"/>
      <c r="P59" s="1"/>
      <c r="Q59" s="1"/>
      <c r="R59" s="1"/>
      <c r="S59" s="1"/>
    </row>
    <row x14ac:dyDescent="0.25" r="60" customHeight="1" ht="18.75">
      <c r="A60" s="1"/>
      <c r="B60" s="466"/>
      <c r="C60" s="2"/>
      <c r="D60" s="1"/>
      <c r="E60" s="2"/>
      <c r="F60" s="1"/>
      <c r="G60" s="2"/>
      <c r="H60" s="2"/>
      <c r="I60" s="1"/>
      <c r="J60" s="1"/>
      <c r="K60" s="1"/>
      <c r="L60" s="1"/>
      <c r="M60" s="1"/>
      <c r="N60" s="1"/>
      <c r="O60" s="1"/>
      <c r="P60" s="1"/>
      <c r="Q60" s="1"/>
      <c r="R60" s="1"/>
      <c r="S60" s="1"/>
    </row>
    <row x14ac:dyDescent="0.25" r="61" customHeight="1" ht="18.75">
      <c r="A61" s="1"/>
      <c r="B61" s="466"/>
      <c r="C61" s="2"/>
      <c r="D61" s="1"/>
      <c r="E61" s="2"/>
      <c r="F61" s="1"/>
      <c r="G61" s="2"/>
      <c r="H61" s="2"/>
      <c r="I61" s="1"/>
      <c r="J61" s="1"/>
      <c r="K61" s="1"/>
      <c r="L61" s="1"/>
      <c r="M61" s="1"/>
      <c r="N61" s="1"/>
      <c r="O61" s="1"/>
      <c r="P61" s="1"/>
      <c r="Q61" s="1"/>
      <c r="R61" s="1"/>
      <c r="S61" s="1"/>
    </row>
    <row x14ac:dyDescent="0.25" r="62" customHeight="1" ht="21">
      <c r="A62" s="461" t="s">
        <v>222</v>
      </c>
      <c r="B62" s="462"/>
      <c r="C62" s="463"/>
      <c r="D62" s="464"/>
      <c r="E62" s="463"/>
      <c r="F62" s="464"/>
      <c r="G62" s="463"/>
      <c r="H62" s="463"/>
      <c r="I62" s="464"/>
      <c r="J62" s="464"/>
      <c r="K62" s="464"/>
      <c r="L62" s="464"/>
      <c r="M62" s="464"/>
      <c r="N62" s="464"/>
      <c r="O62" s="464"/>
      <c r="P62" s="464"/>
      <c r="Q62" s="464"/>
      <c r="R62" s="464"/>
      <c r="S62" s="464"/>
    </row>
    <row x14ac:dyDescent="0.25" r="63" customHeight="1" ht="18.75">
      <c r="A63" s="11" t="s">
        <v>5</v>
      </c>
      <c r="B63" s="546" t="s">
        <v>117</v>
      </c>
      <c r="C63" s="18"/>
      <c r="D63" s="1"/>
      <c r="E63" s="2"/>
      <c r="F63" s="1"/>
      <c r="G63" s="2"/>
      <c r="H63" s="2"/>
      <c r="I63" s="1"/>
      <c r="J63" s="1"/>
      <c r="K63" s="1"/>
      <c r="L63" s="1"/>
      <c r="M63" s="1"/>
      <c r="N63" s="1"/>
      <c r="O63" s="1"/>
      <c r="P63" s="1"/>
      <c r="Q63" s="1"/>
      <c r="R63" s="1"/>
      <c r="S63" s="1"/>
    </row>
    <row x14ac:dyDescent="0.25" r="64" customHeight="1" ht="18.75">
      <c r="A64" s="11" t="s">
        <v>6</v>
      </c>
      <c r="B64" s="546" t="s">
        <v>117</v>
      </c>
      <c r="C64" s="18"/>
      <c r="D64" s="1"/>
      <c r="E64" s="2"/>
      <c r="F64" s="1"/>
      <c r="G64" s="2"/>
      <c r="H64" s="2"/>
      <c r="I64" s="1"/>
      <c r="J64" s="1"/>
      <c r="K64" s="1"/>
      <c r="L64" s="1"/>
      <c r="M64" s="1"/>
      <c r="N64" s="1"/>
      <c r="O64" s="1"/>
      <c r="P64" s="1"/>
      <c r="Q64" s="1"/>
      <c r="R64" s="1"/>
      <c r="S64" s="1"/>
    </row>
    <row x14ac:dyDescent="0.25" r="65" customHeight="1" ht="18.75">
      <c r="A65" s="11" t="s">
        <v>7</v>
      </c>
      <c r="B65" s="546" t="s">
        <v>117</v>
      </c>
      <c r="C65" s="18" t="s">
        <v>223</v>
      </c>
      <c r="D65" s="1"/>
      <c r="E65" s="2"/>
      <c r="F65" s="1"/>
      <c r="G65" s="2"/>
      <c r="H65" s="2"/>
      <c r="I65" s="1"/>
      <c r="J65" s="1"/>
      <c r="K65" s="1"/>
      <c r="L65" s="1"/>
      <c r="M65" s="1"/>
      <c r="N65" s="1"/>
      <c r="O65" s="1"/>
      <c r="P65" s="1"/>
      <c r="Q65" s="1"/>
      <c r="R65" s="1"/>
      <c r="S65" s="1"/>
    </row>
    <row x14ac:dyDescent="0.25" r="66" customHeight="1" ht="18.75">
      <c r="A66" s="11" t="s">
        <v>224</v>
      </c>
      <c r="B66" s="546" t="s">
        <v>117</v>
      </c>
      <c r="C66" s="18" t="s">
        <v>225</v>
      </c>
      <c r="D66" s="1"/>
      <c r="E66" s="2"/>
      <c r="F66" s="1"/>
      <c r="G66" s="2"/>
      <c r="H66" s="2"/>
      <c r="I66" s="1"/>
      <c r="J66" s="1"/>
      <c r="K66" s="1"/>
      <c r="L66" s="1"/>
      <c r="M66" s="1"/>
      <c r="N66" s="1"/>
      <c r="O66" s="1"/>
      <c r="P66" s="1"/>
      <c r="Q66" s="1"/>
      <c r="R66" s="1"/>
      <c r="S66" s="1"/>
    </row>
    <row x14ac:dyDescent="0.25" r="67" customHeight="1" ht="18.75">
      <c r="A67" s="11" t="s">
        <v>226</v>
      </c>
      <c r="B67" s="546" t="s">
        <v>117</v>
      </c>
      <c r="C67" s="2" t="s">
        <v>227</v>
      </c>
      <c r="D67" s="1"/>
      <c r="E67" s="2"/>
      <c r="F67" s="11" t="s">
        <v>228</v>
      </c>
      <c r="G67" s="2"/>
      <c r="H67" s="2"/>
      <c r="I67" s="1"/>
      <c r="J67" s="1"/>
      <c r="K67" s="1"/>
      <c r="L67" s="1"/>
      <c r="M67" s="1"/>
      <c r="N67" s="1"/>
      <c r="O67" s="1"/>
      <c r="P67" s="1"/>
      <c r="Q67" s="1"/>
      <c r="R67" s="1"/>
      <c r="S67" s="1"/>
    </row>
    <row x14ac:dyDescent="0.25" r="68" customHeight="1" ht="18.75">
      <c r="A68" s="11" t="s">
        <v>10</v>
      </c>
      <c r="B68" s="546" t="s">
        <v>117</v>
      </c>
      <c r="C68" s="18" t="s">
        <v>229</v>
      </c>
      <c r="D68" s="1"/>
      <c r="E68" s="2"/>
      <c r="F68" s="1"/>
      <c r="G68" s="2"/>
      <c r="H68" s="2"/>
      <c r="I68" s="1"/>
      <c r="J68" s="1"/>
      <c r="K68" s="1"/>
      <c r="L68" s="1"/>
      <c r="M68" s="1"/>
      <c r="N68" s="1"/>
      <c r="O68" s="1"/>
      <c r="P68" s="1"/>
      <c r="Q68" s="1"/>
      <c r="R68" s="1"/>
      <c r="S68" s="1"/>
    </row>
    <row x14ac:dyDescent="0.25" r="69" customHeight="1" ht="18.75">
      <c r="A69" s="11" t="s">
        <v>8</v>
      </c>
      <c r="B69" s="546" t="s">
        <v>117</v>
      </c>
      <c r="C69" s="18" t="s">
        <v>230</v>
      </c>
      <c r="D69" s="1"/>
      <c r="E69" s="547"/>
      <c r="F69" s="1"/>
      <c r="G69" s="2"/>
      <c r="H69" s="2"/>
      <c r="I69" s="1"/>
      <c r="J69" s="1"/>
      <c r="K69" s="1"/>
      <c r="L69" s="1"/>
      <c r="M69" s="1"/>
      <c r="N69" s="1"/>
      <c r="O69" s="1"/>
      <c r="P69" s="1"/>
      <c r="Q69" s="1"/>
      <c r="R69" s="1"/>
      <c r="S69" s="1"/>
    </row>
    <row x14ac:dyDescent="0.25" r="70" customHeight="1" ht="18.75">
      <c r="A70" s="11" t="s">
        <v>231</v>
      </c>
      <c r="B70" s="546" t="s">
        <v>117</v>
      </c>
      <c r="C70" s="18" t="s">
        <v>232</v>
      </c>
      <c r="D70" s="1"/>
      <c r="E70" s="2"/>
      <c r="F70" s="1"/>
      <c r="G70" s="2"/>
      <c r="H70" s="2"/>
      <c r="I70" s="1"/>
      <c r="J70" s="1"/>
      <c r="K70" s="1"/>
      <c r="L70" s="1"/>
      <c r="M70" s="1"/>
      <c r="N70" s="1"/>
      <c r="O70" s="1"/>
      <c r="P70" s="1"/>
      <c r="Q70" s="1"/>
      <c r="R70" s="1"/>
      <c r="S70" s="1"/>
    </row>
    <row x14ac:dyDescent="0.25" r="71" customHeight="1" ht="18.75">
      <c r="A71" s="1"/>
      <c r="B71" s="466"/>
      <c r="C71" s="2"/>
      <c r="D71" s="1"/>
      <c r="E71" s="2"/>
      <c r="F71" s="1"/>
      <c r="G71" s="2"/>
      <c r="H71" s="2"/>
      <c r="I71" s="1"/>
      <c r="J71" s="1"/>
      <c r="K71" s="1"/>
      <c r="L71" s="1"/>
      <c r="M71" s="1"/>
      <c r="N71" s="1"/>
      <c r="O71" s="1"/>
      <c r="P71" s="1"/>
      <c r="Q71" s="1"/>
      <c r="R71" s="1"/>
      <c r="S71" s="1"/>
    </row>
    <row x14ac:dyDescent="0.25" r="72" customHeight="1" ht="15.6">
      <c r="A72" s="282" t="s">
        <v>233</v>
      </c>
      <c r="B72" s="476">
        <f>CONCATENATE("&amp;#177; ",B14*0.8*B13," Nm")</f>
      </c>
      <c r="C72" s="2" t="s">
        <v>234</v>
      </c>
      <c r="D72" s="1"/>
      <c r="E72" s="2"/>
      <c r="F72" s="1"/>
      <c r="G72" s="2"/>
      <c r="H72" s="2"/>
      <c r="I72" s="1"/>
      <c r="J72" s="1"/>
      <c r="K72" s="1"/>
      <c r="L72" s="1"/>
      <c r="M72" s="1"/>
      <c r="N72" s="1"/>
      <c r="O72" s="1"/>
      <c r="P72" s="1"/>
      <c r="Q72" s="1"/>
      <c r="R72" s="1"/>
      <c r="S72" s="1"/>
    </row>
    <row x14ac:dyDescent="0.25" r="73" customHeight="1" ht="15.6">
      <c r="A73" s="282" t="s">
        <v>235</v>
      </c>
      <c r="B73" s="476" t="s">
        <v>236</v>
      </c>
      <c r="C73" s="2" t="s">
        <v>237</v>
      </c>
      <c r="D73" s="1"/>
      <c r="E73" s="2"/>
      <c r="F73" s="1"/>
      <c r="G73" s="2"/>
      <c r="H73" s="2"/>
      <c r="I73" s="1"/>
      <c r="J73" s="6"/>
      <c r="K73" s="1"/>
      <c r="L73" s="1"/>
      <c r="M73" s="1"/>
      <c r="N73" s="1"/>
      <c r="O73" s="1"/>
      <c r="P73" s="1"/>
      <c r="Q73" s="1"/>
      <c r="R73" s="1"/>
      <c r="S73" s="1"/>
    </row>
    <row x14ac:dyDescent="0.25" r="74" customHeight="1" ht="15.6">
      <c r="A74" s="282" t="s">
        <v>238</v>
      </c>
      <c r="B74" s="476" t="s">
        <v>236</v>
      </c>
      <c r="C74" s="2" t="s">
        <v>239</v>
      </c>
      <c r="D74" s="1"/>
      <c r="E74" s="2"/>
      <c r="F74" s="1"/>
      <c r="G74" s="2"/>
      <c r="H74" s="2"/>
      <c r="I74" s="1"/>
      <c r="J74" s="6"/>
      <c r="K74" s="1"/>
      <c r="L74" s="1"/>
      <c r="M74" s="1"/>
      <c r="N74" s="1"/>
      <c r="O74" s="1"/>
      <c r="P74" s="1"/>
      <c r="Q74" s="1"/>
      <c r="R74" s="1"/>
      <c r="S74" s="1"/>
    </row>
    <row x14ac:dyDescent="0.25" r="75" customHeight="1" ht="15.6">
      <c r="A75" s="282" t="s">
        <v>240</v>
      </c>
      <c r="B75" s="476">
        <f>CONCATENATE("&amp;#177; ",B14*0.2*B13," Nm")</f>
      </c>
      <c r="C75" s="2"/>
      <c r="D75" s="1"/>
      <c r="E75" s="2"/>
      <c r="F75" s="1"/>
      <c r="G75" s="2"/>
      <c r="H75" s="2"/>
      <c r="I75" s="1"/>
      <c r="J75" s="6"/>
      <c r="K75" s="1"/>
      <c r="L75" s="1"/>
      <c r="M75" s="1"/>
      <c r="N75" s="1"/>
      <c r="O75" s="1"/>
      <c r="P75" s="1"/>
      <c r="Q75" s="1"/>
      <c r="R75" s="1"/>
      <c r="S75" s="1"/>
    </row>
    <row x14ac:dyDescent="0.25" r="76" customHeight="1" ht="18.75">
      <c r="A76" s="1"/>
      <c r="B76" s="388"/>
      <c r="C76" s="2"/>
      <c r="D76" s="1"/>
      <c r="E76" s="2"/>
      <c r="F76" s="1"/>
      <c r="G76" s="2"/>
      <c r="H76" s="2"/>
      <c r="I76" s="1"/>
      <c r="J76" s="6"/>
      <c r="K76" s="1"/>
      <c r="L76" s="1"/>
      <c r="M76" s="1"/>
      <c r="N76" s="1"/>
      <c r="O76" s="1"/>
      <c r="P76" s="1"/>
      <c r="Q76" s="1"/>
      <c r="R76" s="1"/>
      <c r="S76" s="1"/>
    </row>
    <row x14ac:dyDescent="0.25" r="77" customHeight="1" ht="15.6">
      <c r="A77" s="282" t="s">
        <v>241</v>
      </c>
      <c r="B77" s="466"/>
      <c r="C77" s="2"/>
      <c r="D77" s="1"/>
      <c r="E77" s="2"/>
      <c r="F77" s="1"/>
      <c r="G77" s="2"/>
      <c r="H77" s="2"/>
      <c r="I77" s="1"/>
      <c r="J77" s="6"/>
      <c r="K77" s="1"/>
      <c r="L77" s="1"/>
      <c r="M77" s="1"/>
      <c r="N77" s="1"/>
      <c r="O77" s="1"/>
      <c r="P77" s="1"/>
      <c r="Q77" s="1"/>
      <c r="R77" s="1"/>
      <c r="S77" s="1"/>
    </row>
    <row x14ac:dyDescent="0.25" r="78" customHeight="1" ht="18.75">
      <c r="A78" s="6" t="s">
        <v>17</v>
      </c>
      <c r="B78" s="548">
        <f>CONCATENATE(TRUNC(B14,3)," V")</f>
      </c>
      <c r="C78" s="2"/>
      <c r="D78" s="1"/>
      <c r="E78" s="2"/>
      <c r="F78" s="1"/>
      <c r="G78" s="2"/>
      <c r="H78" s="2"/>
      <c r="I78" s="1"/>
      <c r="J78" s="6"/>
      <c r="K78" s="1"/>
      <c r="L78" s="1"/>
      <c r="M78" s="1"/>
      <c r="N78" s="1"/>
      <c r="O78" s="1"/>
      <c r="P78" s="1"/>
      <c r="Q78" s="1"/>
      <c r="R78" s="1"/>
      <c r="S78" s="1"/>
    </row>
    <row x14ac:dyDescent="0.25" r="79" customHeight="1" ht="18.75">
      <c r="A79" s="6" t="s">
        <v>16</v>
      </c>
      <c r="B79" s="548">
        <f>CONCATENATE(TRUNC(B13,3)," ",EUnits,"/V")</f>
      </c>
      <c r="C79" s="2"/>
      <c r="D79" s="1"/>
      <c r="E79" s="2"/>
      <c r="F79" s="1"/>
      <c r="G79" s="2"/>
      <c r="H79" s="2"/>
      <c r="I79" s="1"/>
      <c r="J79" s="6"/>
      <c r="K79" s="1"/>
      <c r="L79" s="1"/>
      <c r="M79" s="1"/>
      <c r="N79" s="1"/>
      <c r="O79" s="1"/>
      <c r="P79" s="1"/>
      <c r="Q79" s="1"/>
      <c r="R79" s="1"/>
      <c r="S79" s="1"/>
    </row>
  </sheetData>
  <mergeCells count="15">
    <mergeCell ref="D18:E18"/>
    <mergeCell ref="G18:H18"/>
    <mergeCell ref="D19:E19"/>
    <mergeCell ref="G19:H19"/>
    <mergeCell ref="A30:A41"/>
    <mergeCell ref="B30:B31"/>
    <mergeCell ref="C30:D30"/>
    <mergeCell ref="E30:F30"/>
    <mergeCell ref="G30:H30"/>
    <mergeCell ref="A44:A55"/>
    <mergeCell ref="B44:B45"/>
    <mergeCell ref="C44:D44"/>
    <mergeCell ref="E44:F44"/>
    <mergeCell ref="G44:H44"/>
    <mergeCell ref="A57:A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96"/>
  <sheetViews>
    <sheetView workbookViewId="0"/>
  </sheetViews>
  <sheetFormatPr defaultRowHeight="15" x14ac:dyDescent="0.25"/>
  <cols>
    <col min="1" max="1" style="441" width="15.576428571428572" customWidth="1" bestFit="1"/>
    <col min="2" max="2" style="459" width="19.719285714285714" customWidth="1" bestFit="1"/>
    <col min="3" max="3" style="93" width="13.43357142857143" customWidth="1" bestFit="1"/>
    <col min="4" max="4" style="205" width="13.43357142857143" customWidth="1" bestFit="1"/>
    <col min="5" max="5" style="92" width="13.43357142857143" customWidth="1" bestFit="1"/>
    <col min="6" max="6" style="92" width="15.147857142857141" customWidth="1" bestFit="1"/>
    <col min="7" max="7" style="92" width="14.147857142857141" customWidth="1" bestFit="1"/>
    <col min="8" max="8" style="92" width="14.147857142857141" customWidth="1" bestFit="1"/>
    <col min="9" max="9" style="460" width="14.147857142857141" customWidth="1" bestFit="1"/>
    <col min="10" max="10" style="92" width="10.147857142857141" customWidth="1" bestFit="1"/>
    <col min="11" max="11" style="92" width="9.147857142857141" customWidth="1" bestFit="1"/>
    <col min="12" max="12" style="92" width="12.862142857142858" customWidth="1" bestFit="1"/>
    <col min="13" max="13" style="92" width="13.576428571428572" customWidth="1" bestFit="1"/>
    <col min="14" max="14" style="205" width="12.576428571428572" customWidth="1" bestFit="1"/>
    <col min="15" max="15" style="92" width="10.719285714285713" customWidth="1" bestFit="1"/>
    <col min="16" max="16" style="92" width="10.719285714285713" customWidth="1" bestFit="1"/>
    <col min="17" max="17" style="92" width="11.576428571428572" customWidth="1" bestFit="1"/>
    <col min="18" max="18" style="92" width="11.576428571428572" customWidth="1" bestFit="1"/>
    <col min="19" max="19" style="92" width="11.576428571428572" customWidth="1" bestFit="1"/>
    <col min="20" max="20" style="92" width="10.576428571428572" customWidth="1" bestFit="1"/>
    <col min="21" max="21" style="92" width="7.862142857142857" customWidth="1" bestFit="1"/>
    <col min="22" max="22" style="92" width="12.576428571428572" customWidth="1" bestFit="1"/>
    <col min="23" max="23" style="92" width="13.290714285714287" customWidth="1" bestFit="1"/>
    <col min="24" max="24" style="92" width="12.576428571428572" customWidth="1" bestFit="1"/>
  </cols>
  <sheetData>
    <row x14ac:dyDescent="0.25" r="1" customHeight="1" ht="25.8">
      <c r="A1" s="443" t="s">
        <v>71</v>
      </c>
      <c r="B1" s="444"/>
      <c r="C1" s="444"/>
      <c r="D1" s="445"/>
      <c r="E1" s="446"/>
      <c r="F1" s="446"/>
      <c r="G1" s="446"/>
      <c r="H1" s="446"/>
      <c r="I1" s="446"/>
      <c r="J1" s="446"/>
      <c r="K1" s="446"/>
      <c r="L1" s="446"/>
      <c r="M1" s="446"/>
      <c r="N1" s="445"/>
      <c r="O1" s="446"/>
      <c r="P1" s="446"/>
      <c r="Q1" s="446"/>
      <c r="R1" s="446"/>
      <c r="S1" s="446"/>
      <c r="T1" s="446"/>
      <c r="U1" s="446"/>
      <c r="V1" s="446"/>
      <c r="W1" s="446"/>
      <c r="X1" s="446"/>
    </row>
    <row x14ac:dyDescent="0.25" r="2" customHeight="1" ht="18.75">
      <c r="A2" s="210" t="s">
        <v>72</v>
      </c>
      <c r="B2" s="447"/>
      <c r="C2" s="2"/>
      <c r="D2" s="96"/>
      <c r="E2" s="1"/>
      <c r="F2" s="1"/>
      <c r="G2" s="1"/>
      <c r="H2" s="1"/>
      <c r="I2" s="448"/>
      <c r="J2" s="1"/>
      <c r="K2" s="1"/>
      <c r="L2" s="1"/>
      <c r="M2" s="1"/>
      <c r="N2" s="96"/>
      <c r="O2" s="1"/>
      <c r="P2" s="1"/>
      <c r="Q2" s="1"/>
      <c r="R2" s="1"/>
      <c r="S2" s="1"/>
      <c r="T2" s="1"/>
      <c r="U2" s="1"/>
      <c r="V2" s="1"/>
      <c r="W2" s="1"/>
      <c r="X2" s="1"/>
    </row>
    <row x14ac:dyDescent="0.25" r="3" customHeight="1" ht="18.75">
      <c r="A3" s="212" t="s">
        <v>73</v>
      </c>
      <c r="B3" s="213">
        <f>CONCATENATE(EUnits,"/V")</f>
      </c>
      <c r="C3" s="214">
        <f>'Istruzioni Uso'!B13</f>
      </c>
      <c r="D3" s="96"/>
      <c r="E3" s="1"/>
      <c r="F3" s="215"/>
      <c r="G3" s="1"/>
      <c r="H3" s="1"/>
      <c r="I3" s="448"/>
      <c r="J3" s="1"/>
      <c r="K3" s="215"/>
      <c r="L3" s="1"/>
      <c r="M3" s="1"/>
      <c r="N3" s="96"/>
      <c r="O3" s="1"/>
      <c r="P3" s="215"/>
      <c r="Q3" s="1"/>
      <c r="R3" s="1"/>
      <c r="S3" s="1"/>
      <c r="T3" s="1"/>
      <c r="U3" s="1"/>
      <c r="V3" s="1"/>
      <c r="W3" s="1"/>
      <c r="X3" s="1"/>
    </row>
    <row x14ac:dyDescent="0.25" r="4" customHeight="1" ht="18.75">
      <c r="A4" s="216" t="s">
        <v>17</v>
      </c>
      <c r="B4" s="217" t="s">
        <v>36</v>
      </c>
      <c r="C4" s="218">
        <f>'Istruzioni Uso'!B15</f>
      </c>
      <c r="D4" s="96"/>
      <c r="E4" s="1"/>
      <c r="F4" s="215"/>
      <c r="G4" s="1"/>
      <c r="H4" s="1"/>
      <c r="I4" s="448"/>
      <c r="J4" s="1"/>
      <c r="K4" s="215"/>
      <c r="L4" s="1"/>
      <c r="M4" s="1"/>
      <c r="N4" s="96"/>
      <c r="O4" s="1"/>
      <c r="P4" s="215"/>
      <c r="Q4" s="1"/>
      <c r="R4" s="1"/>
      <c r="S4" s="1"/>
      <c r="T4" s="1"/>
      <c r="U4" s="1"/>
      <c r="V4" s="1"/>
      <c r="W4" s="1"/>
      <c r="X4" s="1"/>
    </row>
    <row x14ac:dyDescent="0.25" r="5" customHeight="1" ht="18.75">
      <c r="A5" s="210" t="s">
        <v>74</v>
      </c>
      <c r="B5" s="447">
        <f>CONCATENATE("UUT [V/",EUnits,"]")</f>
      </c>
      <c r="C5" s="2">
        <f>1/C3</f>
      </c>
      <c r="D5" s="96"/>
      <c r="E5" s="1"/>
      <c r="F5" s="215"/>
      <c r="G5" s="1"/>
      <c r="H5" s="1"/>
      <c r="I5" s="448"/>
      <c r="J5" s="1"/>
      <c r="K5" s="215"/>
      <c r="L5" s="1"/>
      <c r="M5" s="1"/>
      <c r="N5" s="96"/>
      <c r="O5" s="1"/>
      <c r="P5" s="215"/>
      <c r="Q5" s="1"/>
      <c r="R5" s="1"/>
      <c r="S5" s="1"/>
      <c r="T5" s="1"/>
      <c r="U5" s="1"/>
      <c r="V5" s="1"/>
      <c r="W5" s="1"/>
      <c r="X5" s="1"/>
    </row>
    <row x14ac:dyDescent="0.25" r="6" customHeight="1" ht="18.75">
      <c r="A6" s="210"/>
      <c r="B6" s="447"/>
      <c r="C6" s="2">
        <f>-C4/C3</f>
      </c>
      <c r="D6" s="96"/>
      <c r="E6" s="1"/>
      <c r="F6" s="215"/>
      <c r="G6" s="1"/>
      <c r="H6" s="1"/>
      <c r="I6" s="448"/>
      <c r="J6" s="1"/>
      <c r="K6" s="215"/>
      <c r="L6" s="1"/>
      <c r="M6" s="1"/>
      <c r="N6" s="96"/>
      <c r="O6" s="1"/>
      <c r="P6" s="215"/>
      <c r="Q6" s="1"/>
      <c r="R6" s="1"/>
      <c r="S6" s="1"/>
      <c r="T6" s="1"/>
      <c r="U6" s="1"/>
      <c r="V6" s="1"/>
      <c r="W6" s="1"/>
      <c r="X6" s="1"/>
    </row>
    <row x14ac:dyDescent="0.25" r="7" customHeight="1" ht="18.75">
      <c r="A7" s="210"/>
      <c r="B7" s="447"/>
      <c r="C7" s="2"/>
      <c r="D7" s="96"/>
      <c r="E7" s="1"/>
      <c r="F7" s="215"/>
      <c r="G7" s="1"/>
      <c r="H7" s="1"/>
      <c r="I7" s="448"/>
      <c r="J7" s="1"/>
      <c r="K7" s="215"/>
      <c r="L7" s="1"/>
      <c r="M7" s="1"/>
      <c r="N7" s="96"/>
      <c r="O7" s="1"/>
      <c r="P7" s="215"/>
      <c r="Q7" s="1"/>
      <c r="R7" s="1"/>
      <c r="S7" s="1"/>
      <c r="T7" s="1"/>
      <c r="U7" s="1"/>
      <c r="V7" s="1"/>
      <c r="W7" s="1"/>
      <c r="X7" s="1"/>
    </row>
    <row x14ac:dyDescent="0.25" r="8" customHeight="1" ht="25.8">
      <c r="A8" s="443" t="s">
        <v>75</v>
      </c>
      <c r="B8" s="444"/>
      <c r="C8" s="444"/>
      <c r="D8" s="445"/>
      <c r="E8" s="446"/>
      <c r="F8" s="446"/>
      <c r="G8" s="446"/>
      <c r="H8" s="446"/>
      <c r="I8" s="446"/>
      <c r="J8" s="446"/>
      <c r="K8" s="446"/>
      <c r="L8" s="446"/>
      <c r="M8" s="446"/>
      <c r="N8" s="445"/>
      <c r="O8" s="446"/>
      <c r="P8" s="446"/>
      <c r="Q8" s="446"/>
      <c r="R8" s="446"/>
      <c r="S8" s="446"/>
      <c r="T8" s="446"/>
      <c r="U8" s="446"/>
      <c r="V8" s="446"/>
      <c r="W8" s="446"/>
      <c r="X8" s="446"/>
    </row>
    <row x14ac:dyDescent="0.25" r="9" customHeight="1" ht="18.75">
      <c r="A9" s="210"/>
      <c r="B9" s="447"/>
      <c r="C9" s="2"/>
      <c r="D9" s="96"/>
      <c r="E9" s="1"/>
      <c r="F9" s="215"/>
      <c r="G9" s="1"/>
      <c r="H9" s="1"/>
      <c r="I9" s="448"/>
      <c r="J9" s="1"/>
      <c r="K9" s="215"/>
      <c r="L9" s="1"/>
      <c r="M9" s="1"/>
      <c r="N9" s="96"/>
      <c r="O9" s="1"/>
      <c r="P9" s="215"/>
      <c r="Q9" s="1"/>
      <c r="R9" s="1"/>
      <c r="S9" s="1"/>
      <c r="T9" s="1"/>
      <c r="U9" s="1"/>
      <c r="V9" s="1"/>
      <c r="W9" s="1"/>
      <c r="X9" s="1"/>
    </row>
    <row x14ac:dyDescent="0.25" r="10" customHeight="1" ht="18.75">
      <c r="A10" s="219" t="s">
        <v>76</v>
      </c>
      <c r="B10" s="447"/>
      <c r="C10" s="2"/>
      <c r="D10" s="220" t="s">
        <v>77</v>
      </c>
      <c r="E10" s="1"/>
      <c r="F10" s="215"/>
      <c r="G10" s="1"/>
      <c r="H10" s="1"/>
      <c r="I10" s="448"/>
      <c r="J10" s="1"/>
      <c r="K10" s="215"/>
      <c r="L10" s="1"/>
      <c r="M10" s="1"/>
      <c r="N10" s="96"/>
      <c r="O10" s="1"/>
      <c r="P10" s="215"/>
      <c r="Q10" s="1"/>
      <c r="R10" s="1"/>
      <c r="S10" s="1"/>
      <c r="T10" s="1"/>
      <c r="U10" s="1"/>
      <c r="V10" s="1"/>
      <c r="W10" s="1"/>
      <c r="X10" s="1"/>
    </row>
    <row x14ac:dyDescent="0.25" r="11" customHeight="1" ht="18.75">
      <c r="A11" s="221">
        <f>CONCATENATE("Min [",EUnits,"]")</f>
      </c>
      <c r="B11" s="222">
        <v>0</v>
      </c>
      <c r="C11" s="2"/>
      <c r="D11" s="96" t="s">
        <v>78</v>
      </c>
      <c r="E11" s="223">
        <f>SetPnt_P_0</f>
      </c>
      <c r="F11" s="215"/>
      <c r="G11" s="1"/>
      <c r="H11" s="1"/>
      <c r="I11" s="448"/>
      <c r="J11" s="1"/>
      <c r="K11" s="215"/>
      <c r="L11" s="1"/>
      <c r="M11" s="1"/>
      <c r="N11" s="96"/>
      <c r="O11" s="1"/>
      <c r="P11" s="215"/>
      <c r="Q11" s="1"/>
      <c r="R11" s="1"/>
      <c r="S11" s="1"/>
      <c r="T11" s="1"/>
      <c r="U11" s="1"/>
      <c r="V11" s="1"/>
      <c r="W11" s="1"/>
      <c r="X11" s="1"/>
    </row>
    <row x14ac:dyDescent="0.25" r="12" customHeight="1" ht="18.75">
      <c r="A12" s="221">
        <f>CONCATENATE("Max [",EUnits,"]")</f>
      </c>
      <c r="B12" s="447">
        <f>C_Tar_max</f>
      </c>
      <c r="C12" s="2"/>
      <c r="D12" s="96" t="s">
        <v>79</v>
      </c>
      <c r="E12" s="224">
        <f>SetPnt_P_1</f>
      </c>
      <c r="F12" s="215"/>
      <c r="G12" s="1"/>
      <c r="H12" s="1"/>
      <c r="I12" s="448"/>
      <c r="J12" s="1"/>
      <c r="K12" s="215"/>
      <c r="L12" s="1"/>
      <c r="M12" s="1"/>
      <c r="N12" s="96"/>
      <c r="O12" s="1"/>
      <c r="P12" s="215"/>
      <c r="Q12" s="1"/>
      <c r="R12" s="1"/>
      <c r="S12" s="1"/>
      <c r="T12" s="1"/>
      <c r="U12" s="1"/>
      <c r="V12" s="1"/>
      <c r="W12" s="1"/>
      <c r="X12" s="1"/>
    </row>
    <row x14ac:dyDescent="0.25" r="13" customHeight="1" ht="18.75">
      <c r="A13" s="210" t="s">
        <v>80</v>
      </c>
      <c r="B13" s="222">
        <v>5</v>
      </c>
      <c r="C13" s="2"/>
      <c r="D13" s="96" t="s">
        <v>81</v>
      </c>
      <c r="E13" s="224">
        <f>SetPnt_P_2</f>
      </c>
      <c r="F13" s="215"/>
      <c r="G13" s="1"/>
      <c r="H13" s="1"/>
      <c r="I13" s="448"/>
      <c r="J13" s="1"/>
      <c r="K13" s="215"/>
      <c r="L13" s="1"/>
      <c r="M13" s="1"/>
      <c r="N13" s="96"/>
      <c r="O13" s="1"/>
      <c r="P13" s="215"/>
      <c r="Q13" s="1"/>
      <c r="R13" s="1"/>
      <c r="S13" s="1"/>
      <c r="T13" s="1"/>
      <c r="U13" s="1"/>
      <c r="V13" s="1"/>
      <c r="W13" s="1"/>
      <c r="X13" s="1"/>
    </row>
    <row x14ac:dyDescent="0.25" r="14" customHeight="1" ht="18.75">
      <c r="A14" s="221">
        <f>CONCATENATE("Step [",EUnits,"]")</f>
      </c>
      <c r="B14" s="224">
        <f>(B12-B11)/B13</f>
      </c>
      <c r="C14" s="2"/>
      <c r="D14" s="96" t="s">
        <v>82</v>
      </c>
      <c r="E14" s="224">
        <f>SetPnt_P_3</f>
      </c>
      <c r="F14" s="215"/>
      <c r="G14" s="1"/>
      <c r="H14" s="1"/>
      <c r="I14" s="448"/>
      <c r="J14" s="1"/>
      <c r="K14" s="215"/>
      <c r="L14" s="1"/>
      <c r="M14" s="1"/>
      <c r="N14" s="96"/>
      <c r="O14" s="1"/>
      <c r="P14" s="215"/>
      <c r="Q14" s="1"/>
      <c r="R14" s="1"/>
      <c r="S14" s="1"/>
      <c r="T14" s="1"/>
      <c r="U14" s="1"/>
      <c r="V14" s="1"/>
      <c r="W14" s="1"/>
      <c r="X14" s="1"/>
    </row>
    <row x14ac:dyDescent="0.25" r="15" customHeight="1" ht="18.75">
      <c r="A15" s="210"/>
      <c r="B15" s="447"/>
      <c r="C15" s="2"/>
      <c r="D15" s="96" t="s">
        <v>83</v>
      </c>
      <c r="E15" s="224">
        <f>SetPnt_P_4</f>
      </c>
      <c r="F15" s="215"/>
      <c r="G15" s="1"/>
      <c r="H15" s="1"/>
      <c r="I15" s="448"/>
      <c r="J15" s="1"/>
      <c r="K15" s="215"/>
      <c r="L15" s="1"/>
      <c r="M15" s="1"/>
      <c r="N15" s="96"/>
      <c r="O15" s="1"/>
      <c r="P15" s="215"/>
      <c r="Q15" s="1"/>
      <c r="R15" s="1"/>
      <c r="S15" s="1"/>
      <c r="T15" s="1"/>
      <c r="U15" s="1"/>
      <c r="V15" s="1"/>
      <c r="W15" s="1"/>
      <c r="X15" s="1"/>
    </row>
    <row x14ac:dyDescent="0.25" r="16" customHeight="1" ht="18.75">
      <c r="A16" s="210"/>
      <c r="B16" s="447"/>
      <c r="C16" s="2"/>
      <c r="D16" s="96" t="s">
        <v>84</v>
      </c>
      <c r="E16" s="224">
        <f>SetPnt_P_5</f>
      </c>
      <c r="F16" s="215"/>
      <c r="G16" s="1"/>
      <c r="H16" s="1"/>
      <c r="I16" s="448"/>
      <c r="J16" s="1"/>
      <c r="K16" s="215"/>
      <c r="L16" s="1"/>
      <c r="M16" s="1"/>
      <c r="N16" s="96"/>
      <c r="O16" s="1"/>
      <c r="P16" s="215"/>
      <c r="Q16" s="1"/>
      <c r="R16" s="1"/>
      <c r="S16" s="1"/>
      <c r="T16" s="1"/>
      <c r="U16" s="1"/>
      <c r="V16" s="1"/>
      <c r="W16" s="1"/>
      <c r="X16" s="1"/>
    </row>
    <row x14ac:dyDescent="0.25" r="17" customHeight="1" ht="18.75">
      <c r="A17" s="210"/>
      <c r="B17" s="447"/>
      <c r="C17" s="2"/>
      <c r="D17" s="96"/>
      <c r="E17" s="1"/>
      <c r="F17" s="215"/>
      <c r="G17" s="1"/>
      <c r="H17" s="1"/>
      <c r="I17" s="448"/>
      <c r="J17" s="1"/>
      <c r="K17" s="215"/>
      <c r="L17" s="1"/>
      <c r="M17" s="1"/>
      <c r="N17" s="96"/>
      <c r="O17" s="1"/>
      <c r="P17" s="215"/>
      <c r="Q17" s="1"/>
      <c r="R17" s="1"/>
      <c r="S17" s="1"/>
      <c r="T17" s="1"/>
      <c r="U17" s="1"/>
      <c r="V17" s="1"/>
      <c r="W17" s="1"/>
      <c r="X17" s="1"/>
    </row>
    <row x14ac:dyDescent="0.25" r="18" customHeight="1" ht="25.8">
      <c r="A18" s="443" t="s">
        <v>85</v>
      </c>
      <c r="B18" s="444"/>
      <c r="C18" s="444"/>
      <c r="D18" s="445"/>
      <c r="E18" s="446"/>
      <c r="F18" s="446"/>
      <c r="G18" s="446"/>
      <c r="H18" s="446"/>
      <c r="I18" s="446"/>
      <c r="J18" s="446"/>
      <c r="K18" s="446"/>
      <c r="L18" s="446"/>
      <c r="M18" s="446"/>
      <c r="N18" s="445"/>
      <c r="O18" s="446"/>
      <c r="P18" s="446"/>
      <c r="Q18" s="446"/>
      <c r="R18" s="446"/>
      <c r="S18" s="446"/>
      <c r="T18" s="446"/>
      <c r="U18" s="446"/>
      <c r="V18" s="446"/>
      <c r="W18" s="446"/>
      <c r="X18" s="446"/>
    </row>
    <row x14ac:dyDescent="0.25" r="19" customHeight="1" ht="18.75">
      <c r="A19" s="210" t="s">
        <v>86</v>
      </c>
      <c r="B19" s="447"/>
      <c r="C19" s="2"/>
      <c r="D19" s="96"/>
      <c r="E19" s="1"/>
      <c r="F19" s="215"/>
      <c r="G19" s="1"/>
      <c r="H19" s="1"/>
      <c r="I19" s="448"/>
      <c r="J19" s="1"/>
      <c r="K19" s="215"/>
      <c r="L19" s="1"/>
      <c r="M19" s="225" t="s">
        <v>87</v>
      </c>
      <c r="N19" s="96"/>
      <c r="O19" s="1"/>
      <c r="P19" s="215"/>
      <c r="Q19" s="1"/>
      <c r="R19" s="1"/>
      <c r="S19" s="1"/>
      <c r="T19" s="1"/>
      <c r="U19" s="1"/>
      <c r="V19" s="1"/>
      <c r="W19" s="1"/>
      <c r="X19" s="1"/>
    </row>
    <row x14ac:dyDescent="0.25" r="20" customHeight="1" ht="18.75">
      <c r="A20" s="210"/>
      <c r="B20" s="447"/>
      <c r="C20" s="2"/>
      <c r="D20" s="96"/>
      <c r="E20" s="1"/>
      <c r="F20" s="215"/>
      <c r="G20" s="1"/>
      <c r="H20" s="1"/>
      <c r="I20" s="448"/>
      <c r="J20" s="1"/>
      <c r="K20" s="215"/>
      <c r="L20" s="1"/>
      <c r="M20" s="1"/>
      <c r="N20" s="96"/>
      <c r="O20" s="1"/>
      <c r="P20" s="215"/>
      <c r="Q20" s="1"/>
      <c r="R20" s="1"/>
      <c r="S20" s="1"/>
      <c r="T20" s="1"/>
      <c r="U20" s="1"/>
      <c r="V20" s="1"/>
      <c r="W20" s="1"/>
      <c r="X20" s="1"/>
    </row>
    <row x14ac:dyDescent="0.25" r="21" customHeight="1" ht="18.75">
      <c r="A21" s="210"/>
      <c r="B21" s="226" t="s">
        <v>88</v>
      </c>
      <c r="C21" s="227" t="s">
        <v>89</v>
      </c>
      <c r="D21" s="228"/>
      <c r="E21" s="229" t="s">
        <v>90</v>
      </c>
      <c r="F21" s="230"/>
      <c r="G21" s="231" t="s">
        <v>91</v>
      </c>
      <c r="H21" s="14"/>
      <c r="I21" s="448"/>
      <c r="J21" s="1"/>
      <c r="K21" s="215"/>
      <c r="L21" s="1"/>
      <c r="M21" s="1"/>
      <c r="N21" s="96"/>
      <c r="O21" s="1"/>
      <c r="P21" s="215"/>
      <c r="Q21" s="1"/>
      <c r="R21" s="1"/>
      <c r="S21" s="1"/>
      <c r="T21" s="1"/>
      <c r="U21" s="1"/>
      <c r="V21" s="1"/>
      <c r="W21" s="1"/>
      <c r="X21" s="1"/>
    </row>
    <row x14ac:dyDescent="0.25" r="22" customHeight="1" ht="18.75">
      <c r="A22" s="210"/>
      <c r="B22" s="232"/>
      <c r="C22" s="233">
        <f>SetPnt_P_0</f>
      </c>
      <c r="D22" s="234">
        <f>C_Tar_max</f>
      </c>
      <c r="E22" s="235">
        <f>SetPnt_P_0</f>
      </c>
      <c r="F22" s="236">
        <f>C_Tar_max</f>
      </c>
      <c r="G22" s="237">
        <f>SetPnt_P_0</f>
      </c>
      <c r="H22" s="238">
        <f>C_Tar_max</f>
      </c>
      <c r="I22" s="448"/>
      <c r="J22" s="1"/>
      <c r="K22" s="1"/>
      <c r="L22" s="1"/>
      <c r="M22" s="1"/>
      <c r="N22" s="96"/>
      <c r="O22" s="1"/>
      <c r="P22" s="1"/>
      <c r="Q22" s="1"/>
      <c r="R22" s="1"/>
      <c r="S22" s="1"/>
      <c r="T22" s="1"/>
      <c r="U22" s="1"/>
      <c r="V22" s="1"/>
      <c r="W22" s="1"/>
      <c r="X22" s="1"/>
    </row>
    <row x14ac:dyDescent="0.25" r="23" customHeight="1" ht="18.75">
      <c r="A23" s="210"/>
      <c r="B23" s="239">
        <f>CONCATENATE("Coppia REF [",EUnits,"]")</f>
      </c>
      <c r="C23" s="240">
        <f>'Istruzioni Uso'!C32</f>
      </c>
      <c r="D23" s="241">
        <f>'Istruzioni Uso'!D32</f>
      </c>
      <c r="E23" s="242">
        <f>'Istruzioni Uso'!E32</f>
      </c>
      <c r="F23" s="243">
        <f>'Istruzioni Uso'!F32</f>
      </c>
      <c r="G23" s="244">
        <f>'Istruzioni Uso'!G32</f>
      </c>
      <c r="H23" s="245">
        <f>'Istruzioni Uso'!H32</f>
      </c>
      <c r="I23" s="448"/>
      <c r="J23" s="1"/>
      <c r="K23" s="1"/>
      <c r="L23" s="1"/>
      <c r="M23" s="1"/>
      <c r="N23" s="96"/>
      <c r="O23" s="1"/>
      <c r="P23" s="1"/>
      <c r="Q23" s="1"/>
      <c r="R23" s="1"/>
      <c r="S23" s="1"/>
      <c r="T23" s="1"/>
      <c r="U23" s="1"/>
      <c r="V23" s="1"/>
      <c r="W23" s="1"/>
      <c r="X23" s="1"/>
    </row>
    <row x14ac:dyDescent="0.25" r="24" customHeight="1" ht="18.75">
      <c r="A24" s="210"/>
      <c r="B24" s="246">
        <f>CONCATENATE("Coppia UUT [",UUT_EUnits,"]")</f>
      </c>
      <c r="C24" s="247">
        <f>'Istruzioni Uso'!C33</f>
      </c>
      <c r="D24" s="248">
        <f>'Istruzioni Uso'!D33</f>
      </c>
      <c r="E24" s="249">
        <f>'Istruzioni Uso'!E33</f>
      </c>
      <c r="F24" s="250">
        <f>'Istruzioni Uso'!F33</f>
      </c>
      <c r="G24" s="251">
        <f>'Istruzioni Uso'!G33</f>
      </c>
      <c r="H24" s="252">
        <f>'Istruzioni Uso'!H33</f>
      </c>
      <c r="I24" s="448"/>
      <c r="J24" s="1"/>
      <c r="K24" s="1"/>
      <c r="L24" s="1"/>
      <c r="M24" s="1"/>
      <c r="N24" s="96"/>
      <c r="O24" s="1"/>
      <c r="P24" s="1"/>
      <c r="Q24" s="1"/>
      <c r="R24" s="1"/>
      <c r="S24" s="1"/>
      <c r="T24" s="1"/>
      <c r="U24" s="1"/>
      <c r="V24" s="1"/>
      <c r="W24" s="1"/>
      <c r="X24" s="1"/>
    </row>
    <row x14ac:dyDescent="0.25" r="25" customHeight="1" ht="18.75">
      <c r="A25" s="210"/>
      <c r="B25" s="447"/>
      <c r="C25" s="2"/>
      <c r="D25" s="96"/>
      <c r="E25" s="1"/>
      <c r="F25" s="1"/>
      <c r="G25" s="1"/>
      <c r="H25" s="1"/>
      <c r="I25" s="448"/>
      <c r="J25" s="1"/>
      <c r="K25" s="1"/>
      <c r="L25" s="1"/>
      <c r="M25" s="1"/>
      <c r="N25" s="96"/>
      <c r="O25" s="1"/>
      <c r="P25" s="1"/>
      <c r="Q25" s="1"/>
      <c r="R25" s="1"/>
      <c r="S25" s="1"/>
      <c r="T25" s="1"/>
      <c r="U25" s="1"/>
      <c r="V25" s="1"/>
      <c r="W25" s="1"/>
      <c r="X25" s="1"/>
    </row>
    <row x14ac:dyDescent="0.25" r="26" customHeight="1" ht="39.75" customFormat="1" s="253">
      <c r="A26" s="254"/>
      <c r="B26" s="255" t="s">
        <v>92</v>
      </c>
      <c r="C26" s="256" t="s">
        <v>93</v>
      </c>
      <c r="D26" s="257" t="s">
        <v>94</v>
      </c>
      <c r="E26" s="258" t="s">
        <v>95</v>
      </c>
      <c r="F26" s="259" t="s">
        <v>96</v>
      </c>
      <c r="G26" s="258" t="s">
        <v>97</v>
      </c>
      <c r="H26" s="259" t="s">
        <v>98</v>
      </c>
      <c r="I26" s="260" t="s">
        <v>93</v>
      </c>
      <c r="J26" s="94"/>
      <c r="K26" s="94"/>
      <c r="L26" s="94"/>
      <c r="M26" s="94"/>
      <c r="N26" s="261"/>
      <c r="O26" s="94"/>
      <c r="P26" s="94"/>
      <c r="Q26" s="94"/>
      <c r="R26" s="94"/>
      <c r="S26" s="94"/>
      <c r="T26" s="94"/>
      <c r="U26" s="94"/>
      <c r="V26" s="94"/>
      <c r="W26" s="94"/>
      <c r="X26" s="94"/>
    </row>
    <row x14ac:dyDescent="0.25" r="27" customHeight="1" ht="18.75">
      <c r="A27" s="210"/>
      <c r="B27" s="239">
        <f>CONCATENATE("Coppia REF [",EUnits,"]")</f>
      </c>
      <c r="C27" s="262">
        <f>'Istruzioni Uso'!C36</f>
      </c>
      <c r="D27" s="263">
        <f>'Istruzioni Uso'!D36</f>
      </c>
      <c r="E27" s="243">
        <f>'Istruzioni Uso'!E36</f>
      </c>
      <c r="F27" s="244">
        <f>'Istruzioni Uso'!F36</f>
      </c>
      <c r="G27" s="243">
        <f>'Istruzioni Uso'!G36</f>
      </c>
      <c r="H27" s="244">
        <f>'Istruzioni Uso'!H36</f>
      </c>
      <c r="I27" s="245">
        <f>'Istruzioni Uso'!I36</f>
      </c>
      <c r="J27" s="1"/>
      <c r="K27" s="1"/>
      <c r="L27" s="1"/>
      <c r="M27" s="1"/>
      <c r="N27" s="96"/>
      <c r="O27" s="1"/>
      <c r="P27" s="1"/>
      <c r="Q27" s="1"/>
      <c r="R27" s="1"/>
      <c r="S27" s="1"/>
      <c r="T27" s="1"/>
      <c r="U27" s="1"/>
      <c r="V27" s="1"/>
      <c r="W27" s="1"/>
      <c r="X27" s="1"/>
    </row>
    <row x14ac:dyDescent="0.25" r="28" customHeight="1" ht="18.75">
      <c r="A28" s="210"/>
      <c r="B28" s="246">
        <f>CONCATENATE("Coppia UUT [",UUT_EUnits,"]")</f>
      </c>
      <c r="C28" s="264">
        <f>'Istruzioni Uso'!C37</f>
      </c>
      <c r="D28" s="265">
        <f>'Istruzioni Uso'!D37</f>
      </c>
      <c r="E28" s="250">
        <f>'Istruzioni Uso'!E37</f>
      </c>
      <c r="F28" s="251">
        <f>'Istruzioni Uso'!F37</f>
      </c>
      <c r="G28" s="250">
        <f>'Istruzioni Uso'!G37</f>
      </c>
      <c r="H28" s="251">
        <f>'Istruzioni Uso'!H37</f>
      </c>
      <c r="I28" s="252">
        <f>'Istruzioni Uso'!I37</f>
      </c>
      <c r="J28" s="1"/>
      <c r="K28" s="1"/>
      <c r="L28" s="1"/>
      <c r="M28" s="1"/>
      <c r="N28" s="96"/>
      <c r="O28" s="1"/>
      <c r="P28" s="1"/>
      <c r="Q28" s="1"/>
      <c r="R28" s="1"/>
      <c r="S28" s="1"/>
      <c r="T28" s="1"/>
      <c r="U28" s="1"/>
      <c r="V28" s="1"/>
      <c r="W28" s="1"/>
      <c r="X28" s="1"/>
    </row>
    <row x14ac:dyDescent="0.25" r="29" customHeight="1" ht="18.75">
      <c r="A29" s="210"/>
      <c r="B29" s="447"/>
      <c r="C29" s="2"/>
      <c r="D29" s="96"/>
      <c r="E29" s="1"/>
      <c r="F29" s="1"/>
      <c r="G29" s="1"/>
      <c r="H29" s="1"/>
      <c r="I29" s="448"/>
      <c r="J29" s="1"/>
      <c r="K29" s="1"/>
      <c r="L29" s="1"/>
      <c r="M29" s="1"/>
      <c r="N29" s="96"/>
      <c r="O29" s="1"/>
      <c r="P29" s="1"/>
      <c r="Q29" s="1"/>
      <c r="R29" s="1"/>
      <c r="S29" s="1"/>
      <c r="T29" s="1"/>
      <c r="U29" s="1"/>
      <c r="V29" s="1"/>
      <c r="W29" s="1"/>
      <c r="X29" s="1"/>
    </row>
    <row x14ac:dyDescent="0.25" r="30" customHeight="1" ht="39.75" customFormat="1" s="253">
      <c r="A30" s="254"/>
      <c r="B30" s="255" t="s">
        <v>99</v>
      </c>
      <c r="C30" s="256" t="s">
        <v>93</v>
      </c>
      <c r="D30" s="257" t="s">
        <v>94</v>
      </c>
      <c r="E30" s="258" t="s">
        <v>95</v>
      </c>
      <c r="F30" s="259" t="s">
        <v>96</v>
      </c>
      <c r="G30" s="258" t="s">
        <v>97</v>
      </c>
      <c r="H30" s="259" t="s">
        <v>98</v>
      </c>
      <c r="I30" s="260" t="s">
        <v>93</v>
      </c>
      <c r="J30" s="94"/>
      <c r="K30" s="94"/>
      <c r="L30" s="94"/>
      <c r="M30" s="94"/>
      <c r="N30" s="261"/>
      <c r="O30" s="94"/>
      <c r="P30" s="94"/>
      <c r="Q30" s="94"/>
      <c r="R30" s="94"/>
      <c r="S30" s="94"/>
      <c r="T30" s="94"/>
      <c r="U30" s="94"/>
      <c r="V30" s="94"/>
      <c r="W30" s="94"/>
      <c r="X30" s="94"/>
    </row>
    <row x14ac:dyDescent="0.25" r="31" customHeight="1" ht="18.75">
      <c r="A31" s="210"/>
      <c r="B31" s="239">
        <f>CONCATENATE("Coppia REF [",EUnits,"]")</f>
      </c>
      <c r="C31" s="262">
        <f>'Istruzioni Uso'!C40</f>
      </c>
      <c r="D31" s="263">
        <f>'Istruzioni Uso'!D40</f>
      </c>
      <c r="E31" s="243">
        <f>'Istruzioni Uso'!E40</f>
      </c>
      <c r="F31" s="244">
        <f>'Istruzioni Uso'!F40</f>
      </c>
      <c r="G31" s="243">
        <f>'Istruzioni Uso'!G40</f>
      </c>
      <c r="H31" s="244">
        <f>'Istruzioni Uso'!H40</f>
      </c>
      <c r="I31" s="245">
        <f>'Istruzioni Uso'!I40</f>
      </c>
      <c r="J31" s="1"/>
      <c r="K31" s="1"/>
      <c r="L31" s="1"/>
      <c r="M31" s="1"/>
      <c r="N31" s="96"/>
      <c r="O31" s="1"/>
      <c r="P31" s="1"/>
      <c r="Q31" s="1"/>
      <c r="R31" s="1"/>
      <c r="S31" s="1"/>
      <c r="T31" s="1"/>
      <c r="U31" s="1"/>
      <c r="V31" s="1"/>
      <c r="W31" s="1"/>
      <c r="X31" s="1"/>
    </row>
    <row x14ac:dyDescent="0.25" r="32" customHeight="1" ht="18.75">
      <c r="A32" s="210"/>
      <c r="B32" s="246">
        <f>CONCATENATE("Coppia UUT [",UUT_EUnits,"]")</f>
      </c>
      <c r="C32" s="264">
        <f>'Istruzioni Uso'!C41</f>
      </c>
      <c r="D32" s="265">
        <f>'Istruzioni Uso'!D41</f>
      </c>
      <c r="E32" s="250">
        <f>'Istruzioni Uso'!E41</f>
      </c>
      <c r="F32" s="251">
        <f>'Istruzioni Uso'!F41</f>
      </c>
      <c r="G32" s="250">
        <f>'Istruzioni Uso'!G41</f>
      </c>
      <c r="H32" s="251">
        <f>'Istruzioni Uso'!H41</f>
      </c>
      <c r="I32" s="252">
        <f>'Istruzioni Uso'!I41</f>
      </c>
      <c r="J32" s="1"/>
      <c r="K32" s="1"/>
      <c r="L32" s="1"/>
      <c r="M32" s="1"/>
      <c r="N32" s="96"/>
      <c r="O32" s="1"/>
      <c r="P32" s="1"/>
      <c r="Q32" s="1"/>
      <c r="R32" s="1"/>
      <c r="S32" s="1"/>
      <c r="T32" s="1"/>
      <c r="U32" s="1"/>
      <c r="V32" s="1"/>
      <c r="W32" s="1"/>
      <c r="X32" s="1"/>
    </row>
    <row x14ac:dyDescent="0.25" r="33" customHeight="1" ht="18.75">
      <c r="A33" s="210"/>
      <c r="B33" s="447"/>
      <c r="C33" s="2"/>
      <c r="D33" s="96"/>
      <c r="E33" s="1"/>
      <c r="F33" s="215"/>
      <c r="G33" s="1"/>
      <c r="H33" s="1"/>
      <c r="I33" s="448"/>
      <c r="J33" s="1"/>
      <c r="K33" s="215"/>
      <c r="L33" s="1"/>
      <c r="M33" s="1"/>
      <c r="N33" s="96"/>
      <c r="O33" s="1"/>
      <c r="P33" s="215"/>
      <c r="Q33" s="1"/>
      <c r="R33" s="1"/>
      <c r="S33" s="1"/>
      <c r="T33" s="1"/>
      <c r="U33" s="1"/>
      <c r="V33" s="1"/>
      <c r="W33" s="1"/>
      <c r="X33" s="1"/>
    </row>
    <row x14ac:dyDescent="0.25" r="34" customHeight="1" ht="25.8">
      <c r="A34" s="443" t="s">
        <v>100</v>
      </c>
      <c r="B34" s="444"/>
      <c r="C34" s="444"/>
      <c r="D34" s="445"/>
      <c r="E34" s="446"/>
      <c r="F34" s="446"/>
      <c r="G34" s="446"/>
      <c r="H34" s="446"/>
      <c r="I34" s="446"/>
      <c r="J34" s="446"/>
      <c r="K34" s="446"/>
      <c r="L34" s="446"/>
      <c r="M34" s="446"/>
      <c r="N34" s="445"/>
      <c r="O34" s="446"/>
      <c r="P34" s="446"/>
      <c r="Q34" s="446"/>
      <c r="R34" s="446"/>
      <c r="S34" s="446"/>
      <c r="T34" s="446"/>
      <c r="U34" s="446"/>
      <c r="V34" s="446"/>
      <c r="W34" s="446"/>
      <c r="X34" s="446"/>
    </row>
    <row x14ac:dyDescent="0.25" r="35" customHeight="1" ht="18.75">
      <c r="A35" s="210"/>
      <c r="B35" s="447"/>
      <c r="C35" s="2"/>
      <c r="D35" s="96"/>
      <c r="E35" s="1"/>
      <c r="F35" s="215"/>
      <c r="G35" s="1"/>
      <c r="H35" s="1"/>
      <c r="I35" s="448"/>
      <c r="J35" s="1"/>
      <c r="K35" s="215"/>
      <c r="L35" s="1"/>
      <c r="M35" s="1"/>
      <c r="N35" s="96"/>
      <c r="O35" s="1"/>
      <c r="P35" s="215"/>
      <c r="Q35" s="1"/>
      <c r="R35" s="1"/>
      <c r="S35" s="1"/>
      <c r="T35" s="1"/>
      <c r="U35" s="1"/>
      <c r="V35" s="1"/>
      <c r="W35" s="1"/>
      <c r="X35" s="1"/>
    </row>
    <row x14ac:dyDescent="0.25" r="36" customHeight="1" ht="18.75">
      <c r="A36" s="210"/>
      <c r="B36" s="447"/>
      <c r="C36" s="2"/>
      <c r="D36" s="96"/>
      <c r="E36" s="1"/>
      <c r="F36" s="215"/>
      <c r="G36" s="1"/>
      <c r="H36" s="1"/>
      <c r="I36" s="448"/>
      <c r="J36" s="1"/>
      <c r="K36" s="215"/>
      <c r="L36" s="1"/>
      <c r="M36" s="1"/>
      <c r="N36" s="96"/>
      <c r="O36" s="1"/>
      <c r="P36" s="215"/>
      <c r="Q36" s="1"/>
      <c r="R36" s="1"/>
      <c r="S36" s="1"/>
      <c r="T36" s="1"/>
      <c r="U36" s="1"/>
      <c r="V36" s="1"/>
      <c r="W36" s="1"/>
      <c r="X36" s="1"/>
    </row>
    <row x14ac:dyDescent="0.25" r="37" customHeight="1" ht="18">
      <c r="A37" s="266" t="s">
        <v>101</v>
      </c>
      <c r="B37" s="447"/>
      <c r="C37" s="2"/>
      <c r="D37" s="96"/>
      <c r="E37" s="1"/>
      <c r="F37" s="1"/>
      <c r="G37" s="1"/>
      <c r="H37" s="1"/>
      <c r="I37" s="448"/>
      <c r="J37" s="1"/>
      <c r="K37" s="215"/>
      <c r="L37" s="1"/>
      <c r="M37" s="1"/>
      <c r="N37" s="96"/>
      <c r="O37" s="1"/>
      <c r="P37" s="215"/>
      <c r="Q37" s="1"/>
      <c r="R37" s="1"/>
      <c r="S37" s="1"/>
      <c r="T37" s="1"/>
      <c r="U37" s="1"/>
      <c r="V37" s="1"/>
      <c r="W37" s="1"/>
      <c r="X37" s="1"/>
    </row>
    <row x14ac:dyDescent="0.25" r="38" customHeight="1" ht="26.399999999999995">
      <c r="A38" s="210"/>
      <c r="B38" s="267" t="s">
        <v>102</v>
      </c>
      <c r="C38" s="268"/>
      <c r="D38" s="269"/>
      <c r="E38" s="270"/>
      <c r="F38" s="1"/>
      <c r="G38" s="271" t="s">
        <v>103</v>
      </c>
      <c r="H38" s="270"/>
      <c r="I38" s="270"/>
      <c r="J38" s="270"/>
      <c r="K38" s="1"/>
      <c r="L38" s="271" t="s">
        <v>104</v>
      </c>
      <c r="M38" s="270"/>
      <c r="N38" s="269"/>
      <c r="O38" s="270"/>
      <c r="P38" s="1"/>
      <c r="Q38" s="272" t="s">
        <v>105</v>
      </c>
      <c r="R38" s="270"/>
      <c r="S38" s="270"/>
      <c r="T38" s="1"/>
      <c r="U38" s="1"/>
      <c r="V38" s="1"/>
      <c r="W38" s="1"/>
      <c r="X38" s="1"/>
    </row>
    <row x14ac:dyDescent="0.25" r="39" customHeight="1" ht="28.8">
      <c r="A39" s="210"/>
      <c r="B39" s="273" t="s">
        <v>41</v>
      </c>
      <c r="C39" s="273"/>
      <c r="D39" s="449"/>
      <c r="E39" s="276" t="s">
        <v>106</v>
      </c>
      <c r="F39" s="1"/>
      <c r="G39" s="277" t="s">
        <v>41</v>
      </c>
      <c r="H39" s="276"/>
      <c r="I39" s="276"/>
      <c r="J39" s="276" t="s">
        <v>106</v>
      </c>
      <c r="K39" s="1"/>
      <c r="L39" s="277" t="s">
        <v>41</v>
      </c>
      <c r="M39" s="276"/>
      <c r="N39" s="275"/>
      <c r="O39" s="276" t="s">
        <v>106</v>
      </c>
      <c r="P39" s="1"/>
      <c r="Q39" s="277" t="s">
        <v>41</v>
      </c>
      <c r="R39" s="276"/>
      <c r="S39" s="276" t="s">
        <v>106</v>
      </c>
      <c r="T39" s="1"/>
      <c r="U39" s="1"/>
      <c r="V39" s="1"/>
      <c r="W39" s="1"/>
      <c r="X39" s="1"/>
    </row>
    <row x14ac:dyDescent="0.25" r="40" customHeight="1" ht="18.75">
      <c r="A40" s="210"/>
      <c r="B40" s="447">
        <f>SetPnt_P_0</f>
      </c>
      <c r="C40" s="2">
        <f>C24</f>
      </c>
      <c r="D40" s="96">
        <f>C23</f>
      </c>
      <c r="E40" s="278">
        <f>C40*$C$5+$C$6</f>
      </c>
      <c r="F40" s="1"/>
      <c r="G40" s="223">
        <f>SetPnt_P_0</f>
      </c>
      <c r="H40" s="223">
        <f>C28</f>
      </c>
      <c r="I40" s="450">
        <f>C27</f>
      </c>
      <c r="J40" s="278">
        <f>H40*$C$5+$C$6</f>
      </c>
      <c r="K40" s="1"/>
      <c r="L40" s="223">
        <f>SetPnt_P_0</f>
      </c>
      <c r="M40" s="223">
        <f>C32</f>
      </c>
      <c r="N40" s="96">
        <f>C31</f>
      </c>
      <c r="O40" s="278">
        <f>M40*$C$5+$C$6</f>
      </c>
      <c r="P40" s="1"/>
      <c r="Q40" s="223">
        <f>SetPnt_P_0</f>
      </c>
      <c r="R40" s="223">
        <f>I40</f>
      </c>
      <c r="S40" s="279">
        <f>J40</f>
      </c>
      <c r="T40" s="1"/>
      <c r="U40" s="1"/>
      <c r="V40" s="1"/>
      <c r="W40" s="1"/>
      <c r="X40" s="1"/>
    </row>
    <row x14ac:dyDescent="0.25" r="41" customHeight="1" ht="18.75">
      <c r="A41" s="210"/>
      <c r="B41" s="447">
        <f>C_Tar_max</f>
      </c>
      <c r="C41" s="2">
        <f>D24</f>
      </c>
      <c r="D41" s="96">
        <f>D23</f>
      </c>
      <c r="E41" s="278">
        <f>C41*$C$5+$C$6</f>
      </c>
      <c r="F41" s="1"/>
      <c r="G41" s="224">
        <f>SetPnt_P_1</f>
      </c>
      <c r="H41" s="223">
        <f>D28</f>
      </c>
      <c r="I41" s="450">
        <f>D27</f>
      </c>
      <c r="J41" s="278">
        <f>H41*$C$5+$C$6</f>
      </c>
      <c r="K41" s="1"/>
      <c r="L41" s="224">
        <f>SetPnt_P_1</f>
      </c>
      <c r="M41" s="223">
        <f>D32</f>
      </c>
      <c r="N41" s="96">
        <f>D31</f>
      </c>
      <c r="O41" s="278">
        <f>M41*$C$5+$C$6</f>
      </c>
      <c r="P41" s="1"/>
      <c r="Q41" s="224">
        <f>SetPnt_P_1</f>
      </c>
      <c r="R41" s="223">
        <f>I41</f>
      </c>
      <c r="S41" s="279">
        <f>J41</f>
      </c>
      <c r="T41" s="1"/>
      <c r="U41" s="1"/>
      <c r="V41" s="1"/>
      <c r="W41" s="1"/>
      <c r="X41" s="1"/>
    </row>
    <row x14ac:dyDescent="0.25" r="42" customHeight="1" ht="18.75">
      <c r="A42" s="210"/>
      <c r="B42" s="447">
        <f>B40</f>
      </c>
      <c r="C42" s="2">
        <f>E24</f>
      </c>
      <c r="D42" s="96">
        <f>E23</f>
      </c>
      <c r="E42" s="278">
        <f>C42*$C$5+$C$6</f>
      </c>
      <c r="F42" s="1"/>
      <c r="G42" s="224">
        <f>SetPnt_P_2</f>
      </c>
      <c r="H42" s="223">
        <f>E28</f>
      </c>
      <c r="I42" s="450">
        <f>E27</f>
      </c>
      <c r="J42" s="278">
        <f>H42*$C$5+$C$6</f>
      </c>
      <c r="K42" s="1"/>
      <c r="L42" s="224">
        <f>SetPnt_P_2</f>
      </c>
      <c r="M42" s="223">
        <f>E32</f>
      </c>
      <c r="N42" s="96">
        <f>E31</f>
      </c>
      <c r="O42" s="278">
        <f>M42*$C$5+$C$6</f>
      </c>
      <c r="P42" s="1"/>
      <c r="Q42" s="224">
        <f>SetPnt_P_2</f>
      </c>
      <c r="R42" s="223">
        <f>I42</f>
      </c>
      <c r="S42" s="279">
        <f>J42</f>
      </c>
      <c r="T42" s="1"/>
      <c r="U42" s="1"/>
      <c r="V42" s="1"/>
      <c r="W42" s="1"/>
      <c r="X42" s="1"/>
    </row>
    <row x14ac:dyDescent="0.25" r="43" customHeight="1" ht="18.75">
      <c r="A43" s="210"/>
      <c r="B43" s="447">
        <f>B41</f>
      </c>
      <c r="C43" s="2">
        <f>F24</f>
      </c>
      <c r="D43" s="96">
        <f>F23</f>
      </c>
      <c r="E43" s="278">
        <f>C43*$C$5+$C$6</f>
      </c>
      <c r="F43" s="1"/>
      <c r="G43" s="224">
        <f>SetPnt_P_3</f>
      </c>
      <c r="H43" s="223">
        <f>F28</f>
      </c>
      <c r="I43" s="450">
        <f>F27</f>
      </c>
      <c r="J43" s="278">
        <f>H43*$C$5+$C$6</f>
      </c>
      <c r="K43" s="1"/>
      <c r="L43" s="224">
        <f>SetPnt_P_3</f>
      </c>
      <c r="M43" s="223">
        <f>F32</f>
      </c>
      <c r="N43" s="96">
        <f>F31</f>
      </c>
      <c r="O43" s="278">
        <f>M43*$C$5+$C$6</f>
      </c>
      <c r="P43" s="1"/>
      <c r="Q43" s="224">
        <f>SetPnt_P_3</f>
      </c>
      <c r="R43" s="223">
        <f>I43</f>
      </c>
      <c r="S43" s="279">
        <f>J43</f>
      </c>
      <c r="T43" s="1"/>
      <c r="U43" s="1"/>
      <c r="V43" s="1"/>
      <c r="W43" s="1"/>
      <c r="X43" s="1"/>
    </row>
    <row x14ac:dyDescent="0.25" r="44" customHeight="1" ht="18.75">
      <c r="A44" s="210"/>
      <c r="B44" s="447">
        <f>B42</f>
      </c>
      <c r="C44" s="2">
        <f>G24</f>
      </c>
      <c r="D44" s="96">
        <f>G23</f>
      </c>
      <c r="E44" s="278">
        <f>C44*$C$5+$C$6</f>
      </c>
      <c r="F44" s="1"/>
      <c r="G44" s="224">
        <f>SetPnt_P_4</f>
      </c>
      <c r="H44" s="223">
        <f>G28</f>
      </c>
      <c r="I44" s="450">
        <f>G27</f>
      </c>
      <c r="J44" s="278">
        <f>H44*$C$5+$C$6</f>
      </c>
      <c r="K44" s="1"/>
      <c r="L44" s="224">
        <f>SetPnt_P_4</f>
      </c>
      <c r="M44" s="223">
        <f>G32</f>
      </c>
      <c r="N44" s="96">
        <f>G31</f>
      </c>
      <c r="O44" s="278">
        <f>M44*$C$5+$C$6</f>
      </c>
      <c r="P44" s="1"/>
      <c r="Q44" s="224">
        <f>SetPnt_P_4</f>
      </c>
      <c r="R44" s="223">
        <f>I44</f>
      </c>
      <c r="S44" s="279">
        <f>J44</f>
      </c>
      <c r="T44" s="1"/>
      <c r="U44" s="1"/>
      <c r="V44" s="1"/>
      <c r="W44" s="1"/>
      <c r="X44" s="1"/>
    </row>
    <row x14ac:dyDescent="0.25" r="45" customHeight="1" ht="18.75">
      <c r="A45" s="210"/>
      <c r="B45" s="447">
        <f>B43</f>
      </c>
      <c r="C45" s="2">
        <f>H24</f>
      </c>
      <c r="D45" s="96">
        <f>H23</f>
      </c>
      <c r="E45" s="278">
        <f>C45*$C$5+$C$6</f>
      </c>
      <c r="F45" s="1"/>
      <c r="G45" s="224">
        <f>SetPnt_P_5</f>
      </c>
      <c r="H45" s="223">
        <f>H28</f>
      </c>
      <c r="I45" s="450">
        <f>H27</f>
      </c>
      <c r="J45" s="278">
        <f>H45*$C$5+$C$6</f>
      </c>
      <c r="K45" s="1"/>
      <c r="L45" s="224">
        <f>SetPnt_P_5</f>
      </c>
      <c r="M45" s="223">
        <f>H32</f>
      </c>
      <c r="N45" s="96">
        <f>H31</f>
      </c>
      <c r="O45" s="278">
        <f>M45*$C$5+$C$6</f>
      </c>
      <c r="P45" s="1"/>
      <c r="Q45" s="224">
        <f>SetPnt_P_5</f>
      </c>
      <c r="R45" s="223">
        <f>I45</f>
      </c>
      <c r="S45" s="279">
        <f>J45</f>
      </c>
      <c r="T45" s="1"/>
      <c r="U45" s="1"/>
      <c r="V45" s="1"/>
      <c r="W45" s="1"/>
      <c r="X45" s="1"/>
    </row>
    <row x14ac:dyDescent="0.25" r="46" customHeight="1" ht="18.75">
      <c r="A46" s="210"/>
      <c r="B46" s="447"/>
      <c r="C46" s="2"/>
      <c r="D46" s="96"/>
      <c r="E46" s="1"/>
      <c r="F46" s="1"/>
      <c r="G46" s="223">
        <f>SetPnt_P_0</f>
      </c>
      <c r="H46" s="223">
        <f>I28</f>
      </c>
      <c r="I46" s="450">
        <f>I27</f>
      </c>
      <c r="J46" s="278">
        <f>H46*$C$5+$C$6</f>
      </c>
      <c r="K46" s="1"/>
      <c r="L46" s="223">
        <f>SetPnt_P_0</f>
      </c>
      <c r="M46" s="223">
        <f>I32</f>
      </c>
      <c r="N46" s="96">
        <f>I31</f>
      </c>
      <c r="O46" s="278">
        <f>M46*$C$5+$C$6</f>
      </c>
      <c r="P46" s="1"/>
      <c r="Q46" s="223">
        <f>+SetPnt_P_0</f>
      </c>
      <c r="R46" s="223">
        <f>N40</f>
      </c>
      <c r="S46" s="279">
        <f>O40</f>
      </c>
      <c r="T46" s="1"/>
      <c r="U46" s="1"/>
      <c r="V46" s="1"/>
      <c r="W46" s="1"/>
      <c r="X46" s="1"/>
    </row>
    <row x14ac:dyDescent="0.25" r="47" customHeight="1" ht="18.75">
      <c r="A47" s="210"/>
      <c r="B47" s="447"/>
      <c r="C47" s="2"/>
      <c r="D47" s="96"/>
      <c r="E47" s="1"/>
      <c r="F47" s="1"/>
      <c r="G47" s="1"/>
      <c r="H47" s="1"/>
      <c r="I47" s="448"/>
      <c r="J47" s="1"/>
      <c r="K47" s="1"/>
      <c r="L47" s="1"/>
      <c r="M47" s="1"/>
      <c r="N47" s="96"/>
      <c r="O47" s="1"/>
      <c r="P47" s="1"/>
      <c r="Q47" s="224">
        <f>+SetPnt_P_1</f>
      </c>
      <c r="R47" s="223">
        <f>N41</f>
      </c>
      <c r="S47" s="279">
        <f>O41</f>
      </c>
      <c r="T47" s="1"/>
      <c r="U47" s="1"/>
      <c r="V47" s="1"/>
      <c r="W47" s="1"/>
      <c r="X47" s="1"/>
    </row>
    <row x14ac:dyDescent="0.25" r="48" customHeight="1" ht="18">
      <c r="A48" s="210"/>
      <c r="B48" s="447"/>
      <c r="C48" s="2"/>
      <c r="D48" s="96"/>
      <c r="E48" s="1"/>
      <c r="F48" s="1"/>
      <c r="G48" s="212"/>
      <c r="H48" s="280" t="s">
        <v>107</v>
      </c>
      <c r="I48" s="13"/>
      <c r="J48" s="13"/>
      <c r="K48" s="13"/>
      <c r="L48" s="13"/>
      <c r="M48" s="13"/>
      <c r="N48" s="228"/>
      <c r="O48" s="14"/>
      <c r="P48" s="1"/>
      <c r="Q48" s="224">
        <f>+SetPnt_P_2</f>
      </c>
      <c r="R48" s="223">
        <f>N42</f>
      </c>
      <c r="S48" s="279">
        <f>O42</f>
      </c>
      <c r="T48" s="1"/>
      <c r="U48" s="1"/>
      <c r="V48" s="1"/>
      <c r="W48" s="1"/>
      <c r="X48" s="1"/>
    </row>
    <row x14ac:dyDescent="0.25" r="49" customHeight="1" ht="18.75">
      <c r="A49" s="210"/>
      <c r="B49" s="447"/>
      <c r="C49" s="2"/>
      <c r="D49" s="96"/>
      <c r="E49" s="1"/>
      <c r="F49" s="1"/>
      <c r="G49" s="16"/>
      <c r="H49" s="1" t="s">
        <v>108</v>
      </c>
      <c r="I49" s="448"/>
      <c r="J49" s="1"/>
      <c r="K49" s="1"/>
      <c r="L49" s="1"/>
      <c r="M49" s="1"/>
      <c r="N49" s="96"/>
      <c r="O49" s="17"/>
      <c r="P49" s="1"/>
      <c r="Q49" s="224">
        <f>+SetPnt_P_3</f>
      </c>
      <c r="R49" s="223">
        <f>N43</f>
      </c>
      <c r="S49" s="279">
        <f>O43</f>
      </c>
      <c r="T49" s="1"/>
      <c r="U49" s="1"/>
      <c r="V49" s="1"/>
      <c r="W49" s="1"/>
      <c r="X49" s="1"/>
    </row>
    <row x14ac:dyDescent="0.25" r="50" customHeight="1" ht="17.4">
      <c r="A50" s="210"/>
      <c r="B50" s="447"/>
      <c r="C50" s="2"/>
      <c r="D50" s="96"/>
      <c r="E50" s="1"/>
      <c r="F50" s="1"/>
      <c r="G50" s="281" t="s">
        <v>103</v>
      </c>
      <c r="H50" s="270"/>
      <c r="I50" s="270"/>
      <c r="J50" s="270"/>
      <c r="K50" s="282"/>
      <c r="L50" s="283" t="s">
        <v>104</v>
      </c>
      <c r="M50" s="270"/>
      <c r="N50" s="269"/>
      <c r="O50" s="284"/>
      <c r="P50" s="1"/>
      <c r="Q50" s="224">
        <f>+SetPnt_P_4</f>
      </c>
      <c r="R50" s="223">
        <f>N44</f>
      </c>
      <c r="S50" s="279">
        <f>O44</f>
      </c>
      <c r="T50" s="1"/>
      <c r="U50" s="1"/>
      <c r="V50" s="1"/>
      <c r="W50" s="1"/>
      <c r="X50" s="1"/>
    </row>
    <row x14ac:dyDescent="0.25" r="51" customHeight="1" ht="15.6">
      <c r="A51" s="210"/>
      <c r="B51" s="447"/>
      <c r="C51" s="2"/>
      <c r="D51" s="96"/>
      <c r="E51" s="1"/>
      <c r="F51" s="1"/>
      <c r="G51" s="285" t="s">
        <v>121</v>
      </c>
      <c r="H51" s="286" t="s">
        <v>47</v>
      </c>
      <c r="I51" s="111" t="s">
        <v>48</v>
      </c>
      <c r="J51" s="287" t="s">
        <v>110</v>
      </c>
      <c r="K51" s="1"/>
      <c r="L51" s="285" t="s">
        <v>190</v>
      </c>
      <c r="M51" s="286" t="s">
        <v>47</v>
      </c>
      <c r="N51" s="167" t="s">
        <v>48</v>
      </c>
      <c r="O51" s="287" t="s">
        <v>110</v>
      </c>
      <c r="P51" s="1"/>
      <c r="Q51" s="224">
        <f>+SetPnt_P_5</f>
      </c>
      <c r="R51" s="223">
        <f>N45</f>
      </c>
      <c r="S51" s="279">
        <f>O45</f>
      </c>
      <c r="T51" s="1"/>
      <c r="U51" s="1"/>
      <c r="V51" s="1"/>
      <c r="W51" s="1"/>
      <c r="X51" s="1"/>
    </row>
    <row x14ac:dyDescent="0.25" r="52" customHeight="1" ht="18.75">
      <c r="A52" s="210"/>
      <c r="B52" s="447"/>
      <c r="C52" s="2"/>
      <c r="D52" s="96"/>
      <c r="E52" s="1"/>
      <c r="F52" s="1"/>
      <c r="G52" s="288" t="s">
        <v>112</v>
      </c>
      <c r="H52" s="289">
        <f>SLOPE(I40:I45,J40:J45)</f>
      </c>
      <c r="I52" s="290">
        <f>INTERCEPT(I40:I45,J40:J45)</f>
      </c>
      <c r="J52" s="291">
        <f>(H$55-H52)/H$55</f>
      </c>
      <c r="K52" s="1"/>
      <c r="L52" s="288" t="s">
        <v>112</v>
      </c>
      <c r="M52" s="289">
        <f>SLOPE(N40:N45,O40:O45)</f>
      </c>
      <c r="N52" s="290">
        <f>INTERCEPT(N40:N45,O40:O45)</f>
      </c>
      <c r="O52" s="291">
        <f>(M$55-M52)/M$55</f>
      </c>
      <c r="P52" s="1"/>
      <c r="Q52" s="1"/>
      <c r="R52" s="1"/>
      <c r="S52" s="1"/>
      <c r="T52" s="1"/>
      <c r="U52" s="1"/>
      <c r="V52" s="1"/>
      <c r="W52" s="1"/>
      <c r="X52" s="1"/>
    </row>
    <row x14ac:dyDescent="0.25" r="53" customHeight="1" ht="18.75">
      <c r="A53" s="210"/>
      <c r="B53" s="447"/>
      <c r="C53" s="2"/>
      <c r="D53" s="96"/>
      <c r="E53" s="1"/>
      <c r="F53" s="1"/>
      <c r="G53" s="292" t="s">
        <v>113</v>
      </c>
      <c r="H53" s="289">
        <f>SLOPE(I41:I45,J41:J45)</f>
      </c>
      <c r="I53" s="290">
        <f>INTERCEPT(I41:I45,J41:J45)</f>
      </c>
      <c r="J53" s="293">
        <f>(H$55-H53)/H$55</f>
      </c>
      <c r="K53" s="1"/>
      <c r="L53" s="292" t="s">
        <v>113</v>
      </c>
      <c r="M53" s="289">
        <f>SLOPE(N41:N45,O41:O45)</f>
      </c>
      <c r="N53" s="290">
        <f>INTERCEPT(N41:N45,O41:O45)</f>
      </c>
      <c r="O53" s="293">
        <f>(M$55-M53)/M$55</f>
      </c>
      <c r="P53" s="1"/>
      <c r="Q53" s="1"/>
      <c r="R53" s="1"/>
      <c r="S53" s="1"/>
      <c r="T53" s="1"/>
      <c r="U53" s="1"/>
      <c r="V53" s="1"/>
      <c r="W53" s="1"/>
      <c r="X53" s="1"/>
    </row>
    <row x14ac:dyDescent="0.25" r="54" customHeight="1" ht="18.75">
      <c r="A54" s="210"/>
      <c r="B54" s="447"/>
      <c r="C54" s="2"/>
      <c r="D54" s="96"/>
      <c r="E54" s="1"/>
      <c r="F54" s="1"/>
      <c r="G54" s="288" t="s">
        <v>114</v>
      </c>
      <c r="H54" s="289">
        <f>SLOPE(I42:I45,J42:J45)</f>
      </c>
      <c r="I54" s="290">
        <f>INTERCEPT(I42:I45,J42:J45)</f>
      </c>
      <c r="J54" s="291">
        <f>(H$55-H54)/H$55</f>
      </c>
      <c r="K54" s="1"/>
      <c r="L54" s="288" t="s">
        <v>114</v>
      </c>
      <c r="M54" s="289">
        <f>SLOPE(N42:N45,O42:O45)</f>
      </c>
      <c r="N54" s="290">
        <f>INTERCEPT(N42:N45,O42:O45)</f>
      </c>
      <c r="O54" s="291">
        <f>(M$55-M54)/M$55</f>
      </c>
      <c r="P54" s="1"/>
      <c r="Q54" s="1"/>
      <c r="R54" s="1"/>
      <c r="S54" s="1"/>
      <c r="T54" s="1"/>
      <c r="U54" s="1"/>
      <c r="V54" s="1"/>
      <c r="W54" s="1"/>
      <c r="X54" s="1"/>
    </row>
    <row x14ac:dyDescent="0.25" r="55" customHeight="1" ht="18">
      <c r="A55" s="266" t="s">
        <v>115</v>
      </c>
      <c r="B55" s="447"/>
      <c r="C55" s="2"/>
      <c r="D55" s="96"/>
      <c r="E55" s="1"/>
      <c r="F55" s="1"/>
      <c r="G55" s="294" t="s">
        <v>116</v>
      </c>
      <c r="H55" s="295">
        <f>SLOPE(I43:I45,J43:J45)</f>
      </c>
      <c r="I55" s="120">
        <f>INTERCEPT(I43:I45,J43:J45)</f>
      </c>
      <c r="J55" s="296" t="s">
        <v>117</v>
      </c>
      <c r="K55" s="21"/>
      <c r="L55" s="294" t="s">
        <v>116</v>
      </c>
      <c r="M55" s="295">
        <f>SLOPE(N43:N45,O43:O45)</f>
      </c>
      <c r="N55" s="120">
        <f>INTERCEPT(N43:N45,O43:O45)</f>
      </c>
      <c r="O55" s="296" t="s">
        <v>117</v>
      </c>
      <c r="P55" s="1"/>
      <c r="Q55" s="1"/>
      <c r="R55" s="1"/>
      <c r="S55" s="1"/>
      <c r="T55" s="1"/>
      <c r="U55" s="1"/>
      <c r="V55" s="1"/>
      <c r="W55" s="1"/>
      <c r="X55" s="1"/>
    </row>
    <row x14ac:dyDescent="0.25" r="56" customHeight="1" ht="18">
      <c r="A56" s="266"/>
      <c r="B56" s="447"/>
      <c r="C56" s="2"/>
      <c r="D56" s="96"/>
      <c r="E56" s="1"/>
      <c r="F56" s="1"/>
      <c r="G56" s="1"/>
      <c r="H56" s="1"/>
      <c r="I56" s="448"/>
      <c r="J56" s="1"/>
      <c r="K56" s="1"/>
      <c r="L56" s="1"/>
      <c r="M56" s="1"/>
      <c r="N56" s="96"/>
      <c r="O56" s="1"/>
      <c r="P56" s="1"/>
      <c r="Q56" s="1"/>
      <c r="R56" s="1"/>
      <c r="S56" s="1"/>
      <c r="T56" s="1"/>
      <c r="U56" s="1"/>
      <c r="V56" s="1"/>
      <c r="W56" s="1"/>
      <c r="X56" s="1"/>
    </row>
    <row x14ac:dyDescent="0.25" r="57" customHeight="1" ht="18.75">
      <c r="A57" s="210"/>
      <c r="B57" s="447" t="s">
        <v>118</v>
      </c>
      <c r="C57" s="2"/>
      <c r="D57" s="96"/>
      <c r="E57" s="1"/>
      <c r="F57" s="1"/>
      <c r="G57" s="1"/>
      <c r="H57" s="1"/>
      <c r="I57" s="448"/>
      <c r="J57" s="1"/>
      <c r="K57" s="1"/>
      <c r="L57" s="1"/>
      <c r="M57" s="1"/>
      <c r="N57" s="96"/>
      <c r="O57" s="1"/>
      <c r="P57" s="1"/>
      <c r="Q57" s="1"/>
      <c r="R57" s="1"/>
      <c r="S57" s="1"/>
      <c r="T57" s="1"/>
      <c r="U57" s="1"/>
      <c r="V57" s="1"/>
      <c r="W57" s="1"/>
      <c r="X57" s="1"/>
    </row>
    <row x14ac:dyDescent="0.25" r="58" customHeight="1" ht="18">
      <c r="A58" s="210" t="s">
        <v>52</v>
      </c>
      <c r="B58" s="297" t="s">
        <v>65</v>
      </c>
      <c r="C58" s="298" t="s">
        <v>47</v>
      </c>
      <c r="D58" s="167" t="s">
        <v>48</v>
      </c>
      <c r="E58" s="299"/>
      <c r="F58" s="1"/>
      <c r="G58" s="1"/>
      <c r="H58" s="1"/>
      <c r="I58" s="448"/>
      <c r="J58" s="1"/>
      <c r="K58" s="1"/>
      <c r="L58" s="1"/>
      <c r="M58" s="1"/>
      <c r="N58" s="96"/>
      <c r="O58" s="1"/>
      <c r="P58" s="1"/>
      <c r="Q58" s="1"/>
      <c r="R58" s="1"/>
      <c r="S58" s="1"/>
      <c r="T58" s="1"/>
      <c r="U58" s="1"/>
      <c r="V58" s="1"/>
      <c r="W58" s="1"/>
      <c r="X58" s="1"/>
    </row>
    <row x14ac:dyDescent="0.25" r="59" customHeight="1" ht="18.75">
      <c r="A59" s="210" t="s">
        <v>55</v>
      </c>
      <c r="B59" s="300">
        <f>CONCATENATE($B$4,"/V")</f>
      </c>
      <c r="C59" s="119">
        <f>SLOPE(R40:R51,S40:S51)</f>
      </c>
      <c r="D59" s="120">
        <f>INTERCEPT(R40:R51,S40:S51)</f>
      </c>
      <c r="E59" s="301">
        <f>CORREL(AB5:AB55,AA5:AA55)</f>
      </c>
      <c r="F59" s="1"/>
      <c r="G59" s="1"/>
      <c r="H59" s="1"/>
      <c r="I59" s="448"/>
      <c r="J59" s="1"/>
      <c r="K59" s="1"/>
      <c r="L59" s="1"/>
      <c r="M59" s="1"/>
      <c r="N59" s="96"/>
      <c r="O59" s="1"/>
      <c r="P59" s="1"/>
      <c r="Q59" s="1"/>
      <c r="R59" s="1"/>
      <c r="S59" s="1"/>
      <c r="T59" s="1"/>
      <c r="U59" s="1"/>
      <c r="V59" s="1"/>
      <c r="W59" s="1"/>
      <c r="X59" s="1"/>
    </row>
    <row x14ac:dyDescent="0.25" r="60" customHeight="1" ht="18.75">
      <c r="A60" s="210"/>
      <c r="B60" s="302">
        <f>CONCATENATE("V/",$B$4)</f>
      </c>
      <c r="C60" s="124">
        <f>SLOPE(S40:S51,R40:R51)</f>
      </c>
      <c r="D60" s="125">
        <f>INTERCEPT(S40:S51,R40:R51)</f>
      </c>
      <c r="E60" s="1"/>
      <c r="F60" s="1"/>
      <c r="G60" s="1"/>
      <c r="H60" s="1"/>
      <c r="I60" s="448"/>
      <c r="J60" s="1"/>
      <c r="K60" s="1"/>
      <c r="L60" s="1"/>
      <c r="M60" s="1"/>
      <c r="N60" s="96"/>
      <c r="O60" s="1"/>
      <c r="P60" s="1"/>
      <c r="Q60" s="1"/>
      <c r="R60" s="1"/>
      <c r="S60" s="1"/>
      <c r="T60" s="1"/>
      <c r="U60" s="1"/>
      <c r="V60" s="1"/>
      <c r="W60" s="1"/>
      <c r="X60" s="1"/>
    </row>
    <row x14ac:dyDescent="0.25" r="61" customHeight="1" ht="18.75">
      <c r="A61" s="210"/>
      <c r="B61" s="303"/>
      <c r="C61" s="2"/>
      <c r="D61" s="96"/>
      <c r="E61" s="1"/>
      <c r="F61" s="1"/>
      <c r="G61" s="1"/>
      <c r="H61" s="1"/>
      <c r="I61" s="448"/>
      <c r="J61" s="1"/>
      <c r="K61" s="1"/>
      <c r="L61" s="1"/>
      <c r="M61" s="1"/>
      <c r="N61" s="96"/>
      <c r="O61" s="1"/>
      <c r="P61" s="1"/>
      <c r="Q61" s="1"/>
      <c r="R61" s="1"/>
      <c r="S61" s="1"/>
      <c r="T61" s="1"/>
      <c r="U61" s="1"/>
      <c r="V61" s="1"/>
      <c r="W61" s="1"/>
      <c r="X61" s="1"/>
    </row>
    <row x14ac:dyDescent="0.25" r="62" customHeight="1" ht="18">
      <c r="A62" s="210" t="s">
        <v>61</v>
      </c>
      <c r="B62" s="297" t="s">
        <v>65</v>
      </c>
      <c r="C62" s="298" t="s">
        <v>58</v>
      </c>
      <c r="D62" s="304" t="s">
        <v>59</v>
      </c>
      <c r="E62" s="111" t="s">
        <v>60</v>
      </c>
      <c r="F62" s="1"/>
      <c r="G62" s="1"/>
      <c r="H62" s="1"/>
      <c r="I62" s="448"/>
      <c r="J62" s="1"/>
      <c r="K62" s="1"/>
      <c r="L62" s="1"/>
      <c r="M62" s="1"/>
      <c r="N62" s="96"/>
      <c r="O62" s="1"/>
      <c r="P62" s="1"/>
      <c r="Q62" s="1"/>
      <c r="R62" s="1"/>
      <c r="S62" s="1"/>
      <c r="T62" s="1"/>
      <c r="U62" s="1"/>
      <c r="V62" s="1"/>
      <c r="W62" s="1"/>
      <c r="X62" s="1"/>
    </row>
    <row x14ac:dyDescent="0.25" r="63" customHeight="1" ht="18.75">
      <c r="A63" s="210" t="s">
        <v>63</v>
      </c>
      <c r="B63" s="300">
        <f>CONCATENATE($B$4,"/V")</f>
      </c>
      <c r="C63" s="131">
        <f>INDEX(LINEST(R40:R51,(S40:S51)^{1,2}),1)</f>
      </c>
      <c r="D63" s="131">
        <f>INDEX(LINEST(R40:R51,(S40:S51)^{1,2}),1,2)</f>
      </c>
      <c r="E63" s="132">
        <f>INDEX(LINEST(R40:R51,(S40:S51)^{1,2}),1,3)</f>
      </c>
      <c r="F63" s="1"/>
      <c r="G63" s="1"/>
      <c r="H63" s="1"/>
      <c r="I63" s="448"/>
      <c r="J63" s="1"/>
      <c r="K63" s="1"/>
      <c r="L63" s="1"/>
      <c r="M63" s="1"/>
      <c r="N63" s="96"/>
      <c r="O63" s="1"/>
      <c r="P63" s="1"/>
      <c r="Q63" s="1"/>
      <c r="R63" s="1"/>
      <c r="S63" s="1"/>
      <c r="T63" s="1"/>
      <c r="U63" s="1"/>
      <c r="V63" s="1"/>
      <c r="W63" s="1"/>
      <c r="X63" s="1"/>
    </row>
    <row x14ac:dyDescent="0.25" r="64" customHeight="1" ht="18.75">
      <c r="A64" s="210"/>
      <c r="B64" s="302">
        <f>CONCATENATE("V/",$B$4)</f>
      </c>
      <c r="C64" s="201">
        <f>INDEX(LINEST(S40:S51,(R40:R51)^{1,2}),1)</f>
      </c>
      <c r="D64" s="201">
        <f>INDEX(LINEST(S40:S51,(R40:R51)^{1,2}),1,2)</f>
      </c>
      <c r="E64" s="202">
        <f>INDEX(LINEST(S40:S51,(R40:R51)^{1,2}),1,3)</f>
      </c>
      <c r="F64" s="1"/>
      <c r="G64" s="1"/>
      <c r="H64" s="1"/>
      <c r="I64" s="448"/>
      <c r="J64" s="1"/>
      <c r="K64" s="1"/>
      <c r="L64" s="1"/>
      <c r="M64" s="1"/>
      <c r="N64" s="96"/>
      <c r="O64" s="1"/>
      <c r="P64" s="1"/>
      <c r="Q64" s="1"/>
      <c r="R64" s="1"/>
      <c r="S64" s="1"/>
      <c r="T64" s="1"/>
      <c r="U64" s="1"/>
      <c r="V64" s="1"/>
      <c r="W64" s="1"/>
      <c r="X64" s="1"/>
    </row>
    <row x14ac:dyDescent="0.25" r="65" customHeight="1" ht="18.75">
      <c r="A65" s="210"/>
      <c r="B65" s="447"/>
      <c r="C65" s="2"/>
      <c r="D65" s="96"/>
      <c r="E65" s="1"/>
      <c r="F65" s="1"/>
      <c r="G65" s="1"/>
      <c r="H65" s="1"/>
      <c r="I65" s="448"/>
      <c r="J65" s="1"/>
      <c r="K65" s="1"/>
      <c r="L65" s="1"/>
      <c r="M65" s="1"/>
      <c r="N65" s="96"/>
      <c r="O65" s="1"/>
      <c r="P65" s="1"/>
      <c r="Q65" s="1"/>
      <c r="R65" s="1"/>
      <c r="S65" s="1"/>
      <c r="T65" s="1"/>
      <c r="U65" s="1"/>
      <c r="V65" s="1"/>
      <c r="W65" s="1"/>
      <c r="X65" s="1"/>
    </row>
    <row x14ac:dyDescent="0.25" r="66" customHeight="1" ht="25.8">
      <c r="A66" s="443" t="s">
        <v>119</v>
      </c>
      <c r="B66" s="444"/>
      <c r="C66" s="444"/>
      <c r="D66" s="445"/>
      <c r="E66" s="446"/>
      <c r="F66" s="446"/>
      <c r="G66" s="446"/>
      <c r="H66" s="446"/>
      <c r="I66" s="446"/>
      <c r="J66" s="446"/>
      <c r="K66" s="446"/>
      <c r="L66" s="446"/>
      <c r="M66" s="446"/>
      <c r="N66" s="445"/>
      <c r="O66" s="446"/>
      <c r="P66" s="446"/>
      <c r="Q66" s="446"/>
      <c r="R66" s="446"/>
      <c r="S66" s="446"/>
      <c r="T66" s="446"/>
      <c r="U66" s="446"/>
      <c r="V66" s="446"/>
      <c r="W66" s="446"/>
      <c r="X66" s="446"/>
    </row>
    <row x14ac:dyDescent="0.25" r="67" customHeight="1" ht="25.8">
      <c r="A67" s="443"/>
      <c r="B67" s="444"/>
      <c r="C67" s="444"/>
      <c r="D67" s="445"/>
      <c r="E67" s="446"/>
      <c r="F67" s="446"/>
      <c r="G67" s="446"/>
      <c r="H67" s="446"/>
      <c r="I67" s="446"/>
      <c r="J67" s="446"/>
      <c r="K67" s="446"/>
      <c r="L67" s="446"/>
      <c r="M67" s="446"/>
      <c r="N67" s="445"/>
      <c r="O67" s="446"/>
      <c r="P67" s="446"/>
      <c r="Q67" s="446"/>
      <c r="R67" s="446"/>
      <c r="S67" s="446"/>
      <c r="T67" s="446"/>
      <c r="U67" s="446"/>
      <c r="V67" s="446"/>
      <c r="W67" s="446"/>
      <c r="X67" s="446"/>
    </row>
    <row x14ac:dyDescent="0.25" r="68" customHeight="1" ht="18.75">
      <c r="A68" s="210"/>
      <c r="B68" s="447"/>
      <c r="C68" s="2"/>
      <c r="D68" s="96"/>
      <c r="E68" s="1"/>
      <c r="F68" s="1"/>
      <c r="G68" s="1"/>
      <c r="H68" s="1"/>
      <c r="I68" s="448"/>
      <c r="J68" s="1"/>
      <c r="K68" s="1"/>
      <c r="L68" s="1"/>
      <c r="M68" s="1"/>
      <c r="N68" s="96"/>
      <c r="O68" s="1"/>
      <c r="P68" s="1"/>
      <c r="Q68" s="1"/>
      <c r="R68" s="1"/>
      <c r="S68" s="1"/>
      <c r="T68" s="1"/>
      <c r="U68" s="1"/>
      <c r="V68" s="1"/>
      <c r="W68" s="1"/>
      <c r="X68" s="1"/>
    </row>
    <row x14ac:dyDescent="0.25" r="69" customHeight="1" ht="15">
      <c r="A69" s="210"/>
      <c r="B69" s="447"/>
      <c r="C69" s="2"/>
      <c r="D69" s="96"/>
      <c r="E69" s="1"/>
      <c r="F69" s="1" t="s">
        <v>120</v>
      </c>
      <c r="G69" s="1"/>
      <c r="H69" s="1"/>
      <c r="I69" s="448"/>
      <c r="J69" s="1"/>
      <c r="K69" s="1"/>
      <c r="L69" s="1"/>
      <c r="M69" s="1"/>
      <c r="N69" s="96"/>
      <c r="O69" s="1"/>
      <c r="P69" s="1"/>
      <c r="Q69" s="1"/>
      <c r="R69" s="1"/>
      <c r="S69" s="1"/>
      <c r="T69" s="1"/>
      <c r="U69" s="1"/>
      <c r="V69" s="1"/>
      <c r="W69" s="1"/>
      <c r="X69" s="1"/>
    </row>
    <row x14ac:dyDescent="0.25" r="70" customHeight="1" ht="18">
      <c r="A70" s="210"/>
      <c r="B70" s="447"/>
      <c r="C70" s="2"/>
      <c r="D70" s="96"/>
      <c r="E70" s="1"/>
      <c r="F70" s="109" t="s">
        <v>121</v>
      </c>
      <c r="G70" s="110" t="s">
        <v>47</v>
      </c>
      <c r="H70" s="111" t="s">
        <v>48</v>
      </c>
      <c r="I70" s="448"/>
      <c r="J70" s="1"/>
      <c r="K70" s="1"/>
      <c r="L70" s="1"/>
      <c r="M70" s="1"/>
      <c r="N70" s="96"/>
      <c r="O70" s="1"/>
      <c r="P70" s="1"/>
      <c r="Q70" s="1"/>
      <c r="R70" s="1"/>
      <c r="S70" s="1"/>
      <c r="T70" s="1"/>
      <c r="U70" s="1"/>
      <c r="V70" s="1"/>
      <c r="W70" s="1"/>
      <c r="X70" s="1"/>
    </row>
    <row x14ac:dyDescent="0.25" r="71" customHeight="1" ht="15">
      <c r="A71" s="210"/>
      <c r="B71" s="447"/>
      <c r="C71" s="2"/>
      <c r="D71" s="96"/>
      <c r="E71" s="1"/>
      <c r="F71" s="118" t="s">
        <v>53</v>
      </c>
      <c r="G71" s="119">
        <f>LINEST(E73:E74,F73:F74)</f>
      </c>
      <c r="H71" s="120">
        <f>INTERCEPT(E73:E74,F73:F74)</f>
      </c>
      <c r="I71" s="448"/>
      <c r="J71" s="1"/>
      <c r="K71" s="1"/>
      <c r="L71" s="1"/>
      <c r="M71" s="1"/>
      <c r="N71" s="96"/>
      <c r="O71" s="1"/>
      <c r="P71" s="1"/>
      <c r="Q71" s="1"/>
      <c r="R71" s="1"/>
      <c r="S71" s="1"/>
      <c r="T71" s="1"/>
      <c r="U71" s="1"/>
      <c r="V71" s="1"/>
      <c r="W71" s="1"/>
      <c r="X71" s="1"/>
    </row>
    <row x14ac:dyDescent="0.25" r="72" customHeight="1" ht="18.75">
      <c r="A72" s="210" t="s">
        <v>122</v>
      </c>
      <c r="B72" s="447"/>
      <c r="C72" s="2"/>
      <c r="D72" s="96"/>
      <c r="E72" s="1"/>
      <c r="F72" s="305" t="s">
        <v>56</v>
      </c>
      <c r="G72" s="306">
        <f>LINEST(F73:F74,E73:E74)</f>
      </c>
      <c r="H72" s="307">
        <f>INTERCEPT(F73:F74,E73:E74)</f>
      </c>
      <c r="I72" s="448"/>
      <c r="J72" s="1"/>
      <c r="K72" s="1"/>
      <c r="L72" s="1"/>
      <c r="M72" s="1"/>
      <c r="N72" s="96"/>
      <c r="O72" s="1"/>
      <c r="P72" s="1"/>
      <c r="Q72" s="1"/>
      <c r="R72" s="1"/>
      <c r="S72" s="1"/>
      <c r="T72" s="1"/>
      <c r="U72" s="1"/>
      <c r="V72" s="1"/>
      <c r="W72" s="1"/>
      <c r="X72" s="1"/>
    </row>
    <row x14ac:dyDescent="0.25" r="73" customHeight="1" ht="18.75">
      <c r="A73" s="308">
        <f>D11</f>
      </c>
      <c r="B73" s="309">
        <f>SetPnt_P_0</f>
      </c>
      <c r="C73" s="279">
        <f>B73*$G$72+$H$72</f>
      </c>
      <c r="D73" s="279">
        <f>B73*$C$60+$D$60</f>
      </c>
      <c r="E73" s="310">
        <f>D40</f>
      </c>
      <c r="F73" s="310">
        <f>E40</f>
      </c>
      <c r="G73" s="279">
        <f>E73*$G$94+$H$94</f>
      </c>
      <c r="H73" s="279">
        <f>F73-G73</f>
      </c>
      <c r="I73" s="311">
        <f>C73+H73</f>
      </c>
      <c r="J73" s="279">
        <f>H73/4</f>
      </c>
      <c r="K73" s="312"/>
      <c r="L73" s="279">
        <f>E73*$C$60+$D$60</f>
      </c>
      <c r="M73" s="279">
        <f>F73-L73</f>
      </c>
      <c r="N73" s="311">
        <f>C73+M73</f>
      </c>
      <c r="O73" s="313">
        <f>M73/4</f>
      </c>
      <c r="P73" s="1"/>
      <c r="Q73" s="1"/>
      <c r="R73" s="1"/>
      <c r="S73" s="1"/>
      <c r="T73" s="1"/>
      <c r="U73" s="1"/>
      <c r="V73" s="1"/>
      <c r="W73" s="1"/>
      <c r="X73" s="1"/>
    </row>
    <row x14ac:dyDescent="0.25" r="74" customHeight="1" ht="18.75">
      <c r="A74" s="308">
        <f>D16</f>
      </c>
      <c r="B74" s="314">
        <f>SetPnt_P_5</f>
      </c>
      <c r="C74" s="279">
        <f>B74*$G$72+$H$72</f>
      </c>
      <c r="D74" s="279">
        <f>B74*$C$60+$D$60</f>
      </c>
      <c r="E74" s="310">
        <f>D41</f>
      </c>
      <c r="F74" s="310">
        <f>E41</f>
      </c>
      <c r="G74" s="279">
        <f>E74*$G$72+$H$72</f>
      </c>
      <c r="H74" s="279">
        <f>F74-G74</f>
      </c>
      <c r="I74" s="311">
        <f>C74+H74</f>
      </c>
      <c r="J74" s="279">
        <f>H74/4</f>
      </c>
      <c r="K74" s="312"/>
      <c r="L74" s="279">
        <f>E74*$C$60+$D$60</f>
      </c>
      <c r="M74" s="279">
        <f>F74-L74</f>
      </c>
      <c r="N74" s="311">
        <f>C74+M74</f>
      </c>
      <c r="O74" s="313">
        <f>M74/4</f>
      </c>
      <c r="P74" s="1"/>
      <c r="Q74" s="1"/>
      <c r="R74" s="1"/>
      <c r="S74" s="1"/>
      <c r="T74" s="1"/>
      <c r="U74" s="1"/>
      <c r="V74" s="1"/>
      <c r="W74" s="1"/>
      <c r="X74" s="1"/>
    </row>
    <row x14ac:dyDescent="0.25" r="75" customHeight="1" ht="18.75">
      <c r="A75" s="210"/>
      <c r="B75" s="447"/>
      <c r="C75" s="2"/>
      <c r="D75" s="96"/>
      <c r="E75" s="1"/>
      <c r="F75" s="1"/>
      <c r="G75" s="1"/>
      <c r="H75" s="1"/>
      <c r="I75" s="448"/>
      <c r="J75" s="1"/>
      <c r="K75" s="1"/>
      <c r="L75" s="1"/>
      <c r="M75" s="1"/>
      <c r="N75" s="96"/>
      <c r="O75" s="1"/>
      <c r="P75" s="1"/>
      <c r="Q75" s="1"/>
      <c r="R75" s="1"/>
      <c r="S75" s="1"/>
      <c r="T75" s="1"/>
      <c r="U75" s="1"/>
      <c r="V75" s="1"/>
      <c r="W75" s="1"/>
      <c r="X75" s="1"/>
    </row>
    <row x14ac:dyDescent="0.25" r="76" customHeight="1" ht="15">
      <c r="A76" s="210"/>
      <c r="B76" s="447"/>
      <c r="C76" s="2"/>
      <c r="D76" s="96"/>
      <c r="E76" s="1"/>
      <c r="F76" s="1" t="s">
        <v>123</v>
      </c>
      <c r="G76" s="1"/>
      <c r="H76" s="1"/>
      <c r="I76" s="448"/>
      <c r="J76" s="1"/>
      <c r="K76" s="1"/>
      <c r="L76" s="1"/>
      <c r="M76" s="1"/>
      <c r="N76" s="96"/>
      <c r="O76" s="1"/>
      <c r="P76" s="1"/>
      <c r="Q76" s="1"/>
      <c r="R76" s="1"/>
      <c r="S76" s="1"/>
      <c r="T76" s="1"/>
      <c r="U76" s="1"/>
      <c r="V76" s="1"/>
      <c r="W76" s="1"/>
      <c r="X76" s="1"/>
    </row>
    <row x14ac:dyDescent="0.25" r="77" customHeight="1" ht="18">
      <c r="A77" s="210"/>
      <c r="B77" s="447"/>
      <c r="C77" s="2"/>
      <c r="D77" s="96"/>
      <c r="E77" s="1"/>
      <c r="F77" s="109" t="s">
        <v>121</v>
      </c>
      <c r="G77" s="110" t="s">
        <v>47</v>
      </c>
      <c r="H77" s="111" t="s">
        <v>48</v>
      </c>
      <c r="I77" s="448"/>
      <c r="J77" s="1"/>
      <c r="K77" s="1"/>
      <c r="L77" s="1"/>
      <c r="M77" s="1"/>
      <c r="N77" s="96"/>
      <c r="O77" s="1"/>
      <c r="P77" s="1"/>
      <c r="Q77" s="1"/>
      <c r="R77" s="1"/>
      <c r="S77" s="1"/>
      <c r="T77" s="1"/>
      <c r="U77" s="1"/>
      <c r="V77" s="1"/>
      <c r="W77" s="1"/>
      <c r="X77" s="1"/>
    </row>
    <row x14ac:dyDescent="0.25" r="78" customHeight="1" ht="15">
      <c r="A78" s="210"/>
      <c r="B78" s="447"/>
      <c r="C78" s="2"/>
      <c r="D78" s="96"/>
      <c r="E78" s="1"/>
      <c r="F78" s="118" t="s">
        <v>53</v>
      </c>
      <c r="G78" s="119">
        <f>LINEST(E80:E81,F80:F81)</f>
      </c>
      <c r="H78" s="120">
        <f>INTERCEPT(E80:E81,F80:F81)</f>
      </c>
      <c r="I78" s="448"/>
      <c r="J78" s="1"/>
      <c r="K78" s="1"/>
      <c r="L78" s="1"/>
      <c r="M78" s="1"/>
      <c r="N78" s="96"/>
      <c r="O78" s="1"/>
      <c r="P78" s="1"/>
      <c r="Q78" s="1"/>
      <c r="R78" s="1"/>
      <c r="S78" s="1"/>
      <c r="T78" s="1"/>
      <c r="U78" s="1"/>
      <c r="V78" s="1"/>
      <c r="W78" s="1"/>
      <c r="X78" s="1"/>
    </row>
    <row x14ac:dyDescent="0.25" r="79" customHeight="1" ht="18.75">
      <c r="A79" s="210" t="s">
        <v>124</v>
      </c>
      <c r="B79" s="447"/>
      <c r="C79" s="2"/>
      <c r="D79" s="96"/>
      <c r="E79" s="1"/>
      <c r="F79" s="305" t="s">
        <v>56</v>
      </c>
      <c r="G79" s="306">
        <f>LINEST(F80:F81,E80:E81)</f>
      </c>
      <c r="H79" s="307">
        <f>INTERCEPT(F80:F81,E80:E81)</f>
      </c>
      <c r="I79" s="448"/>
      <c r="J79" s="1"/>
      <c r="K79" s="1"/>
      <c r="L79" s="1"/>
      <c r="M79" s="1"/>
      <c r="N79" s="96"/>
      <c r="O79" s="1"/>
      <c r="P79" s="1"/>
      <c r="Q79" s="1"/>
      <c r="R79" s="1"/>
      <c r="S79" s="1"/>
      <c r="T79" s="1"/>
      <c r="U79" s="1"/>
      <c r="V79" s="1"/>
      <c r="W79" s="1"/>
      <c r="X79" s="1"/>
    </row>
    <row x14ac:dyDescent="0.25" r="80" customHeight="1" ht="18.75">
      <c r="A80" s="308">
        <f>D11</f>
      </c>
      <c r="B80" s="309">
        <f>SetPnt_P_0</f>
      </c>
      <c r="C80" s="279">
        <f>B80*$G$79+$H$79</f>
      </c>
      <c r="D80" s="279">
        <f>B80*$C$60+$D$60</f>
      </c>
      <c r="E80" s="310">
        <f>D42</f>
      </c>
      <c r="F80" s="310">
        <f>E42</f>
      </c>
      <c r="G80" s="279">
        <f>E80*$G$94+$H$94</f>
      </c>
      <c r="H80" s="279">
        <f>F80-G80</f>
      </c>
      <c r="I80" s="311">
        <f>C80+H80</f>
      </c>
      <c r="J80" s="279">
        <f>H80/4</f>
      </c>
      <c r="K80" s="312"/>
      <c r="L80" s="279">
        <f>E80*$C$60+$D$60</f>
      </c>
      <c r="M80" s="279">
        <f>F80-L80</f>
      </c>
      <c r="N80" s="311">
        <f>C80+M80</f>
      </c>
      <c r="O80" s="313">
        <f>M80/4</f>
      </c>
      <c r="P80" s="1"/>
      <c r="Q80" s="1"/>
      <c r="R80" s="1"/>
      <c r="S80" s="1"/>
      <c r="T80" s="1"/>
      <c r="U80" s="1"/>
      <c r="V80" s="1"/>
      <c r="W80" s="1"/>
      <c r="X80" s="1"/>
    </row>
    <row x14ac:dyDescent="0.25" r="81" customHeight="1" ht="18.75">
      <c r="A81" s="308">
        <f>D16</f>
      </c>
      <c r="B81" s="314">
        <f>SetPnt_P_5</f>
      </c>
      <c r="C81" s="279">
        <f>B81*$G$79+$H$79</f>
      </c>
      <c r="D81" s="279">
        <f>B81*$C$60+$D$60</f>
      </c>
      <c r="E81" s="310">
        <f>D43</f>
      </c>
      <c r="F81" s="310">
        <f>E43</f>
      </c>
      <c r="G81" s="279">
        <f>E81*$G$79+$H$79</f>
      </c>
      <c r="H81" s="279">
        <f>F81-G81</f>
      </c>
      <c r="I81" s="311">
        <f>C81+H81</f>
      </c>
      <c r="J81" s="279">
        <f>H81/4</f>
      </c>
      <c r="K81" s="312"/>
      <c r="L81" s="279">
        <f>E81*$C$60+$D$60</f>
      </c>
      <c r="M81" s="279">
        <f>F81-L81</f>
      </c>
      <c r="N81" s="311">
        <f>C81+M81</f>
      </c>
      <c r="O81" s="313">
        <f>M81/4</f>
      </c>
      <c r="P81" s="1"/>
      <c r="Q81" s="1"/>
      <c r="R81" s="1"/>
      <c r="S81" s="1"/>
      <c r="T81" s="1"/>
      <c r="U81" s="1"/>
      <c r="V81" s="1"/>
      <c r="W81" s="1"/>
      <c r="X81" s="1"/>
    </row>
    <row x14ac:dyDescent="0.25" r="82" customHeight="1" ht="18.75">
      <c r="A82" s="210"/>
      <c r="B82" s="447"/>
      <c r="C82" s="2"/>
      <c r="D82" s="96"/>
      <c r="E82" s="1"/>
      <c r="F82" s="1"/>
      <c r="G82" s="1"/>
      <c r="H82" s="1"/>
      <c r="I82" s="448"/>
      <c r="J82" s="1"/>
      <c r="K82" s="1"/>
      <c r="L82" s="1"/>
      <c r="M82" s="1"/>
      <c r="N82" s="96"/>
      <c r="O82" s="1"/>
      <c r="P82" s="1"/>
      <c r="Q82" s="1"/>
      <c r="R82" s="1"/>
      <c r="S82" s="1"/>
      <c r="T82" s="1"/>
      <c r="U82" s="1"/>
      <c r="V82" s="1"/>
      <c r="W82" s="1"/>
      <c r="X82" s="1"/>
    </row>
    <row x14ac:dyDescent="0.25" r="83" customHeight="1" ht="15">
      <c r="A83" s="210"/>
      <c r="B83" s="447"/>
      <c r="C83" s="2"/>
      <c r="D83" s="96"/>
      <c r="E83" s="1"/>
      <c r="F83" s="1" t="s">
        <v>125</v>
      </c>
      <c r="G83" s="1"/>
      <c r="H83" s="1"/>
      <c r="I83" s="448"/>
      <c r="J83" s="1"/>
      <c r="K83" s="1"/>
      <c r="L83" s="1"/>
      <c r="M83" s="1"/>
      <c r="N83" s="96"/>
      <c r="O83" s="1"/>
      <c r="P83" s="1"/>
      <c r="Q83" s="1"/>
      <c r="R83" s="1"/>
      <c r="S83" s="1"/>
      <c r="T83" s="1"/>
      <c r="U83" s="1"/>
      <c r="V83" s="1"/>
      <c r="W83" s="1"/>
      <c r="X83" s="1"/>
    </row>
    <row x14ac:dyDescent="0.25" r="84" customHeight="1" ht="18">
      <c r="A84" s="210"/>
      <c r="B84" s="447"/>
      <c r="C84" s="2"/>
      <c r="D84" s="96"/>
      <c r="E84" s="1"/>
      <c r="F84" s="109" t="s">
        <v>121</v>
      </c>
      <c r="G84" s="110" t="s">
        <v>47</v>
      </c>
      <c r="H84" s="111" t="s">
        <v>48</v>
      </c>
      <c r="I84" s="448"/>
      <c r="J84" s="1"/>
      <c r="K84" s="1"/>
      <c r="L84" s="1"/>
      <c r="M84" s="1"/>
      <c r="N84" s="96"/>
      <c r="O84" s="1"/>
      <c r="P84" s="1"/>
      <c r="Q84" s="1"/>
      <c r="R84" s="1"/>
      <c r="S84" s="1"/>
      <c r="T84" s="1"/>
      <c r="U84" s="1"/>
      <c r="V84" s="1"/>
      <c r="W84" s="1"/>
      <c r="X84" s="1"/>
    </row>
    <row x14ac:dyDescent="0.25" r="85" customHeight="1" ht="15">
      <c r="A85" s="210"/>
      <c r="B85" s="447"/>
      <c r="C85" s="2"/>
      <c r="D85" s="96"/>
      <c r="E85" s="1"/>
      <c r="F85" s="118" t="s">
        <v>53</v>
      </c>
      <c r="G85" s="119">
        <f>LINEST(E87:E88,F87:F88)</f>
      </c>
      <c r="H85" s="120">
        <f>INTERCEPT(E87:E88,F87:F88)</f>
      </c>
      <c r="I85" s="448"/>
      <c r="J85" s="1"/>
      <c r="K85" s="1"/>
      <c r="L85" s="1"/>
      <c r="M85" s="1"/>
      <c r="N85" s="96"/>
      <c r="O85" s="1"/>
      <c r="P85" s="1"/>
      <c r="Q85" s="1"/>
      <c r="R85" s="1"/>
      <c r="S85" s="1"/>
      <c r="T85" s="1"/>
      <c r="U85" s="1"/>
      <c r="V85" s="1"/>
      <c r="W85" s="1"/>
      <c r="X85" s="1"/>
    </row>
    <row x14ac:dyDescent="0.25" r="86" customHeight="1" ht="18.75">
      <c r="A86" s="210" t="s">
        <v>126</v>
      </c>
      <c r="B86" s="447"/>
      <c r="C86" s="2"/>
      <c r="D86" s="96"/>
      <c r="E86" s="1"/>
      <c r="F86" s="305" t="s">
        <v>56</v>
      </c>
      <c r="G86" s="306">
        <f>LINEST(F87:F88,E87:E88)</f>
      </c>
      <c r="H86" s="307">
        <f>INTERCEPT(F87:F88,E87:E88)</f>
      </c>
      <c r="I86" s="448"/>
      <c r="J86" s="1"/>
      <c r="K86" s="1"/>
      <c r="L86" s="1"/>
      <c r="M86" s="1"/>
      <c r="N86" s="96"/>
      <c r="O86" s="1"/>
      <c r="P86" s="1"/>
      <c r="Q86" s="1"/>
      <c r="R86" s="1"/>
      <c r="S86" s="1"/>
      <c r="T86" s="1"/>
      <c r="U86" s="1"/>
      <c r="V86" s="1"/>
      <c r="W86" s="1"/>
      <c r="X86" s="1"/>
    </row>
    <row x14ac:dyDescent="0.25" r="87" customHeight="1" ht="18.75">
      <c r="A87" s="308">
        <f>D11</f>
      </c>
      <c r="B87" s="309">
        <f>SetPnt_P_0</f>
      </c>
      <c r="C87" s="279">
        <f>B87*$G$86+$H$86</f>
      </c>
      <c r="D87" s="279">
        <f>B87*$C$60+$D$60</f>
      </c>
      <c r="E87" s="310">
        <f>D44</f>
      </c>
      <c r="F87" s="310">
        <f>E44</f>
      </c>
      <c r="G87" s="279">
        <f>E87*$G$94+$H$94</f>
      </c>
      <c r="H87" s="279">
        <f>F87-G87</f>
      </c>
      <c r="I87" s="311">
        <f>C87+H87</f>
      </c>
      <c r="J87" s="279">
        <f>H87/4</f>
      </c>
      <c r="K87" s="312"/>
      <c r="L87" s="279">
        <f>E87*$C$60+$D$60</f>
      </c>
      <c r="M87" s="279">
        <f>F87-L87</f>
      </c>
      <c r="N87" s="311">
        <f>C87+M87</f>
      </c>
      <c r="O87" s="313">
        <f>M87/4</f>
      </c>
      <c r="P87" s="1"/>
      <c r="Q87" s="1"/>
      <c r="R87" s="1"/>
      <c r="S87" s="1"/>
      <c r="T87" s="1"/>
      <c r="U87" s="1"/>
      <c r="V87" s="1"/>
      <c r="W87" s="1"/>
      <c r="X87" s="1"/>
    </row>
    <row x14ac:dyDescent="0.25" r="88" customHeight="1" ht="18.75">
      <c r="A88" s="308">
        <f>D16</f>
      </c>
      <c r="B88" s="314">
        <f>SetPnt_P_5</f>
      </c>
      <c r="C88" s="279">
        <f>B88*$G$86+$H$86</f>
      </c>
      <c r="D88" s="279">
        <f>B88*$C$60+$D$60</f>
      </c>
      <c r="E88" s="310">
        <f>D45</f>
      </c>
      <c r="F88" s="310">
        <f>E45</f>
      </c>
      <c r="G88" s="279">
        <f>E88*$G$86+$H$86</f>
      </c>
      <c r="H88" s="279">
        <f>F88-G88</f>
      </c>
      <c r="I88" s="311">
        <f>C88+H88</f>
      </c>
      <c r="J88" s="279">
        <f>H88/4</f>
      </c>
      <c r="K88" s="312"/>
      <c r="L88" s="279">
        <f>E88*$C$60+$D$60</f>
      </c>
      <c r="M88" s="279">
        <f>F88-L88</f>
      </c>
      <c r="N88" s="311">
        <f>C88+M88</f>
      </c>
      <c r="O88" s="313">
        <f>M88/4</f>
      </c>
      <c r="P88" s="1"/>
      <c r="Q88" s="1"/>
      <c r="R88" s="1"/>
      <c r="S88" s="1"/>
      <c r="T88" s="1"/>
      <c r="U88" s="1"/>
      <c r="V88" s="1"/>
      <c r="W88" s="1"/>
      <c r="X88" s="1"/>
    </row>
    <row x14ac:dyDescent="0.25" r="89" customHeight="1" ht="18.75">
      <c r="A89" s="210"/>
      <c r="B89" s="447"/>
      <c r="C89" s="2"/>
      <c r="D89" s="96"/>
      <c r="E89" s="1"/>
      <c r="F89" s="1"/>
      <c r="G89" s="1"/>
      <c r="H89" s="1"/>
      <c r="I89" s="448"/>
      <c r="J89" s="1"/>
      <c r="K89" s="1"/>
      <c r="L89" s="1"/>
      <c r="M89" s="1"/>
      <c r="N89" s="96"/>
      <c r="O89" s="1"/>
      <c r="P89" s="1"/>
      <c r="Q89" s="1"/>
      <c r="R89" s="1"/>
      <c r="S89" s="1"/>
      <c r="T89" s="1"/>
      <c r="U89" s="1"/>
      <c r="V89" s="1"/>
      <c r="W89" s="1"/>
      <c r="X89" s="1"/>
    </row>
    <row x14ac:dyDescent="0.25" r="90" customHeight="1" ht="18.75">
      <c r="A90" s="210"/>
      <c r="B90" s="447"/>
      <c r="C90" s="2"/>
      <c r="D90" s="96"/>
      <c r="E90" s="1"/>
      <c r="F90" s="1"/>
      <c r="G90" s="1"/>
      <c r="H90" s="1"/>
      <c r="I90" s="448"/>
      <c r="J90" s="1"/>
      <c r="K90" s="1"/>
      <c r="L90" s="1"/>
      <c r="M90" s="1"/>
      <c r="N90" s="96"/>
      <c r="O90" s="1"/>
      <c r="P90" s="1"/>
      <c r="Q90" s="1"/>
      <c r="R90" s="1"/>
      <c r="S90" s="1"/>
      <c r="T90" s="1"/>
      <c r="U90" s="1"/>
      <c r="V90" s="1"/>
      <c r="W90" s="1"/>
      <c r="X90" s="1"/>
    </row>
    <row x14ac:dyDescent="0.25" r="91" customHeight="1" ht="15">
      <c r="A91" s="210"/>
      <c r="B91" s="447"/>
      <c r="C91" s="2"/>
      <c r="D91" s="96"/>
      <c r="E91" s="1"/>
      <c r="F91" s="1" t="s">
        <v>127</v>
      </c>
      <c r="G91" s="1"/>
      <c r="H91" s="1"/>
      <c r="I91" s="448"/>
      <c r="J91" s="1"/>
      <c r="K91" s="1"/>
      <c r="L91" s="1"/>
      <c r="M91" s="1"/>
      <c r="N91" s="96"/>
      <c r="O91" s="1"/>
      <c r="P91" s="1"/>
      <c r="Q91" s="1"/>
      <c r="R91" s="1"/>
      <c r="S91" s="1"/>
      <c r="T91" s="1"/>
      <c r="U91" s="1"/>
      <c r="V91" s="1"/>
      <c r="W91" s="1"/>
      <c r="X91" s="1"/>
    </row>
    <row x14ac:dyDescent="0.25" r="92" customHeight="1" ht="18">
      <c r="A92" s="210"/>
      <c r="B92" s="447"/>
      <c r="C92" s="2"/>
      <c r="D92" s="96"/>
      <c r="E92" s="1"/>
      <c r="F92" s="109" t="s">
        <v>121</v>
      </c>
      <c r="G92" s="110" t="s">
        <v>47</v>
      </c>
      <c r="H92" s="111" t="s">
        <v>48</v>
      </c>
      <c r="I92" s="448"/>
      <c r="J92" s="1"/>
      <c r="K92" s="1"/>
      <c r="L92" s="1"/>
      <c r="M92" s="1"/>
      <c r="N92" s="96"/>
      <c r="O92" s="1"/>
      <c r="P92" s="1"/>
      <c r="Q92" s="1"/>
      <c r="R92" s="1"/>
      <c r="S92" s="1"/>
      <c r="T92" s="1"/>
      <c r="U92" s="1"/>
      <c r="V92" s="1"/>
      <c r="W92" s="1"/>
      <c r="X92" s="1"/>
    </row>
    <row x14ac:dyDescent="0.25" r="93" customHeight="1" ht="15">
      <c r="A93" s="210"/>
      <c r="B93" s="447"/>
      <c r="C93" s="2"/>
      <c r="D93" s="96"/>
      <c r="E93" s="1"/>
      <c r="F93" s="118" t="s">
        <v>53</v>
      </c>
      <c r="G93" s="119">
        <f>LINEST(E96:E101,F96:F101)</f>
      </c>
      <c r="H93" s="120">
        <f>INTERCEPT(E96:E101,F96:F101)</f>
      </c>
      <c r="I93" s="448"/>
      <c r="J93" s="1"/>
      <c r="K93" s="1"/>
      <c r="L93" s="1"/>
      <c r="M93" s="1"/>
      <c r="N93" s="96"/>
      <c r="O93" s="1"/>
      <c r="P93" s="1"/>
      <c r="Q93" s="1"/>
      <c r="R93" s="1"/>
      <c r="S93" s="1"/>
      <c r="T93" s="1"/>
      <c r="U93" s="1"/>
      <c r="V93" s="1"/>
      <c r="W93" s="1"/>
      <c r="X93" s="1"/>
    </row>
    <row x14ac:dyDescent="0.25" r="94" customHeight="1" ht="15">
      <c r="A94" s="210"/>
      <c r="B94" s="447"/>
      <c r="C94" s="2"/>
      <c r="D94" s="96"/>
      <c r="E94" s="1"/>
      <c r="F94" s="305" t="s">
        <v>56</v>
      </c>
      <c r="G94" s="306">
        <f>LINEST(F96:F101,E96:E101)</f>
      </c>
      <c r="H94" s="307">
        <f>INTERCEPT(F96:F101,E96:E101)</f>
      </c>
      <c r="I94" s="448"/>
      <c r="J94" s="1"/>
      <c r="K94" s="1"/>
      <c r="L94" s="1"/>
      <c r="M94" s="1"/>
      <c r="N94" s="96"/>
      <c r="O94" s="1"/>
      <c r="P94" s="1"/>
      <c r="Q94" s="1"/>
      <c r="R94" s="1"/>
      <c r="S94" s="1"/>
      <c r="T94" s="1"/>
      <c r="U94" s="1"/>
      <c r="V94" s="1"/>
      <c r="W94" s="1"/>
      <c r="X94" s="1"/>
    </row>
    <row x14ac:dyDescent="0.25" r="95" customHeight="1" ht="38.4">
      <c r="A95" s="315" t="s">
        <v>92</v>
      </c>
      <c r="B95" s="316" t="s">
        <v>128</v>
      </c>
      <c r="C95" s="317" t="s">
        <v>129</v>
      </c>
      <c r="D95" s="318" t="s">
        <v>130</v>
      </c>
      <c r="E95" s="319" t="s">
        <v>131</v>
      </c>
      <c r="F95" s="319" t="s">
        <v>132</v>
      </c>
      <c r="G95" s="320" t="s">
        <v>133</v>
      </c>
      <c r="H95" s="320" t="s">
        <v>134</v>
      </c>
      <c r="I95" s="321" t="s">
        <v>135</v>
      </c>
      <c r="J95" s="320" t="s">
        <v>136</v>
      </c>
      <c r="K95" s="322"/>
      <c r="L95" s="320" t="s">
        <v>137</v>
      </c>
      <c r="M95" s="320" t="s">
        <v>138</v>
      </c>
      <c r="N95" s="323" t="s">
        <v>139</v>
      </c>
      <c r="O95" s="324" t="s">
        <v>136</v>
      </c>
      <c r="P95" s="1"/>
      <c r="Q95" s="1"/>
      <c r="R95" s="1"/>
      <c r="S95" s="1"/>
      <c r="T95" s="1"/>
      <c r="U95" s="1"/>
      <c r="V95" s="1"/>
      <c r="W95" s="1"/>
      <c r="X95" s="1"/>
    </row>
    <row x14ac:dyDescent="0.25" r="96" customHeight="1" ht="15">
      <c r="A96" s="308">
        <f>D11</f>
      </c>
      <c r="B96" s="309">
        <f>SetPnt_P_0</f>
      </c>
      <c r="C96" s="279">
        <f>B96*$G$94+$H$94</f>
      </c>
      <c r="D96" s="279">
        <f>B96*$C$60+$D$60</f>
      </c>
      <c r="E96" s="310">
        <f>I40</f>
      </c>
      <c r="F96" s="310">
        <f>J40</f>
      </c>
      <c r="G96" s="279">
        <f>E96*$G$94+$H$94</f>
      </c>
      <c r="H96" s="279">
        <f>F96-G96</f>
      </c>
      <c r="I96" s="311">
        <f>C96+H96</f>
      </c>
      <c r="J96" s="279">
        <f>H96/4</f>
      </c>
      <c r="K96" s="312"/>
      <c r="L96" s="279">
        <f>E96*$C$60+$D$60</f>
      </c>
      <c r="M96" s="279">
        <f>F96-L96</f>
      </c>
      <c r="N96" s="311">
        <f>C96+M96</f>
      </c>
      <c r="O96" s="313">
        <f>M96/4</f>
      </c>
      <c r="P96" s="1"/>
      <c r="Q96" s="1"/>
      <c r="R96" s="1"/>
      <c r="S96" s="1"/>
      <c r="T96" s="1"/>
      <c r="U96" s="1"/>
      <c r="V96" s="1"/>
      <c r="W96" s="1"/>
      <c r="X96" s="1"/>
    </row>
    <row x14ac:dyDescent="0.25" r="97" customHeight="1" ht="18.75">
      <c r="A97" s="308">
        <f>D12</f>
      </c>
      <c r="B97" s="314">
        <f>SetPnt_P_1</f>
      </c>
      <c r="C97" s="279">
        <f>B97*$G$94+$H$94</f>
      </c>
      <c r="D97" s="279">
        <f>B97*$C$60+$D$60</f>
      </c>
      <c r="E97" s="310">
        <f>I41</f>
      </c>
      <c r="F97" s="310">
        <f>J41</f>
      </c>
      <c r="G97" s="279">
        <f>E97*$G$94+$H$94</f>
      </c>
      <c r="H97" s="279">
        <f>F97-G97</f>
      </c>
      <c r="I97" s="311">
        <f>C97+H97</f>
      </c>
      <c r="J97" s="279">
        <f>H97/4</f>
      </c>
      <c r="K97" s="312"/>
      <c r="L97" s="279">
        <f>E97*$C$60+$D$60</f>
      </c>
      <c r="M97" s="279">
        <f>F97-L97</f>
      </c>
      <c r="N97" s="311">
        <f>C97+M97</f>
      </c>
      <c r="O97" s="313">
        <f>M97/4</f>
      </c>
      <c r="P97" s="1"/>
      <c r="Q97" s="1"/>
      <c r="R97" s="1"/>
      <c r="S97" s="1"/>
      <c r="T97" s="1"/>
      <c r="U97" s="1"/>
      <c r="V97" s="1"/>
      <c r="W97" s="1"/>
      <c r="X97" s="1"/>
    </row>
    <row x14ac:dyDescent="0.25" r="98" customHeight="1" ht="18.75">
      <c r="A98" s="308">
        <f>D13</f>
      </c>
      <c r="B98" s="314">
        <f>SetPnt_P_2</f>
      </c>
      <c r="C98" s="279">
        <f>B98*$G$94+$H$94</f>
      </c>
      <c r="D98" s="279">
        <f>B98*$C$60+$D$60</f>
      </c>
      <c r="E98" s="310">
        <f>I42</f>
      </c>
      <c r="F98" s="310">
        <f>J42</f>
      </c>
      <c r="G98" s="279">
        <f>E98*$G$94+$H$94</f>
      </c>
      <c r="H98" s="279">
        <f>F98-G98</f>
      </c>
      <c r="I98" s="311">
        <f>C98+H98</f>
      </c>
      <c r="J98" s="279">
        <f>H98/4</f>
      </c>
      <c r="K98" s="312"/>
      <c r="L98" s="279">
        <f>E98*$C$60+$D$60</f>
      </c>
      <c r="M98" s="279">
        <f>F98-L98</f>
      </c>
      <c r="N98" s="311">
        <f>C98+M98</f>
      </c>
      <c r="O98" s="313">
        <f>M98/4</f>
      </c>
      <c r="P98" s="1"/>
      <c r="Q98" s="1"/>
      <c r="R98" s="1"/>
      <c r="S98" s="1"/>
      <c r="T98" s="1"/>
      <c r="U98" s="1"/>
      <c r="V98" s="1"/>
      <c r="W98" s="1"/>
      <c r="X98" s="1"/>
    </row>
    <row x14ac:dyDescent="0.25" r="99" customHeight="1" ht="18.75">
      <c r="A99" s="308">
        <f>D14</f>
      </c>
      <c r="B99" s="314">
        <f>SetPnt_P_3</f>
      </c>
      <c r="C99" s="279">
        <f>B99*$G$94+$H$94</f>
      </c>
      <c r="D99" s="279">
        <f>B99*$C$60+$D$60</f>
      </c>
      <c r="E99" s="310">
        <f>I43</f>
      </c>
      <c r="F99" s="310">
        <f>J43</f>
      </c>
      <c r="G99" s="279">
        <f>E99*$G$94+$H$94</f>
      </c>
      <c r="H99" s="279">
        <f>F99-G99</f>
      </c>
      <c r="I99" s="311">
        <f>C99+H99</f>
      </c>
      <c r="J99" s="279">
        <f>H99/4</f>
      </c>
      <c r="K99" s="312"/>
      <c r="L99" s="279">
        <f>E99*$C$60+$D$60</f>
      </c>
      <c r="M99" s="279">
        <f>F99-L99</f>
      </c>
      <c r="N99" s="311">
        <f>C99+M99</f>
      </c>
      <c r="O99" s="313">
        <f>M99/4</f>
      </c>
      <c r="P99" s="1"/>
      <c r="Q99" s="1"/>
      <c r="R99" s="1"/>
      <c r="S99" s="1"/>
      <c r="T99" s="1"/>
      <c r="U99" s="1"/>
      <c r="V99" s="1"/>
      <c r="W99" s="1"/>
      <c r="X99" s="1"/>
    </row>
    <row x14ac:dyDescent="0.25" r="100" customHeight="1" ht="18.75">
      <c r="A100" s="308">
        <f>D15</f>
      </c>
      <c r="B100" s="314">
        <f>SetPnt_P_4</f>
      </c>
      <c r="C100" s="279">
        <f>B100*$G$94+$H$94</f>
      </c>
      <c r="D100" s="279">
        <f>B100*$C$60+$D$60</f>
      </c>
      <c r="E100" s="310">
        <f>I44</f>
      </c>
      <c r="F100" s="310">
        <f>J44</f>
      </c>
      <c r="G100" s="279">
        <f>E100*$G$94+$H$94</f>
      </c>
      <c r="H100" s="279">
        <f>F100-G100</f>
      </c>
      <c r="I100" s="311">
        <f>C100+H100</f>
      </c>
      <c r="J100" s="279">
        <f>H100/4</f>
      </c>
      <c r="K100" s="312"/>
      <c r="L100" s="279">
        <f>E100*$C$60+$D$60</f>
      </c>
      <c r="M100" s="279">
        <f>F100-L100</f>
      </c>
      <c r="N100" s="311">
        <f>C100+M100</f>
      </c>
      <c r="O100" s="313">
        <f>M100/4</f>
      </c>
      <c r="P100" s="1"/>
      <c r="Q100" s="1"/>
      <c r="R100" s="1"/>
      <c r="S100" s="1"/>
      <c r="T100" s="1"/>
      <c r="U100" s="1"/>
      <c r="V100" s="1"/>
      <c r="W100" s="1"/>
      <c r="X100" s="1"/>
    </row>
    <row x14ac:dyDescent="0.25" r="101" customHeight="1" ht="15">
      <c r="A101" s="326">
        <f>D16</f>
      </c>
      <c r="B101" s="327">
        <f>SetPnt_P_5</f>
      </c>
      <c r="C101" s="328">
        <f>B101*$G$94+$H$94</f>
      </c>
      <c r="D101" s="328">
        <f>B101*$C$60+$D$60</f>
      </c>
      <c r="E101" s="329">
        <f>I45</f>
      </c>
      <c r="F101" s="329">
        <f>J45</f>
      </c>
      <c r="G101" s="328">
        <f>E101*$G$94+$H$94</f>
      </c>
      <c r="H101" s="328">
        <f>F101-G101</f>
      </c>
      <c r="I101" s="330">
        <f>C101+H101</f>
      </c>
      <c r="J101" s="328">
        <f>H101/4</f>
      </c>
      <c r="K101" s="331"/>
      <c r="L101" s="328">
        <f>E101*$C$60+$D$60</f>
      </c>
      <c r="M101" s="328">
        <f>F101-L101</f>
      </c>
      <c r="N101" s="330">
        <f>C101+M101</f>
      </c>
      <c r="O101" s="451">
        <f>M101/4</f>
      </c>
      <c r="P101" s="1"/>
      <c r="Q101" s="1"/>
      <c r="R101" s="1"/>
      <c r="S101" s="1"/>
      <c r="T101" s="1"/>
      <c r="U101" s="1"/>
      <c r="V101" s="1"/>
      <c r="W101" s="1"/>
      <c r="X101" s="1"/>
    </row>
    <row x14ac:dyDescent="0.25" r="102" customHeight="1" ht="15">
      <c r="A102" s="210"/>
      <c r="B102" s="447"/>
      <c r="C102" s="2"/>
      <c r="D102" s="96"/>
      <c r="E102" s="1"/>
      <c r="F102" s="1" t="s">
        <v>140</v>
      </c>
      <c r="G102" s="1"/>
      <c r="H102" s="1"/>
      <c r="I102" s="448"/>
      <c r="J102" s="1"/>
      <c r="K102" s="1"/>
      <c r="L102" s="1"/>
      <c r="M102" s="1"/>
      <c r="N102" s="96"/>
      <c r="O102" s="1"/>
      <c r="P102" s="1"/>
      <c r="Q102" s="1"/>
      <c r="R102" s="1"/>
      <c r="S102" s="1"/>
      <c r="T102" s="1"/>
      <c r="U102" s="1"/>
      <c r="V102" s="1"/>
      <c r="W102" s="1"/>
      <c r="X102" s="1"/>
    </row>
    <row x14ac:dyDescent="0.25" r="103" customHeight="1" ht="18">
      <c r="A103" s="210"/>
      <c r="B103" s="447"/>
      <c r="C103" s="2"/>
      <c r="D103" s="96"/>
      <c r="E103" s="1"/>
      <c r="F103" s="109" t="s">
        <v>190</v>
      </c>
      <c r="G103" s="110" t="s">
        <v>47</v>
      </c>
      <c r="H103" s="111" t="s">
        <v>48</v>
      </c>
      <c r="I103" s="448"/>
      <c r="J103" s="1"/>
      <c r="K103" s="1"/>
      <c r="L103" s="1"/>
      <c r="M103" s="1"/>
      <c r="N103" s="96"/>
      <c r="O103" s="1"/>
      <c r="P103" s="1"/>
      <c r="Q103" s="1"/>
      <c r="R103" s="1"/>
      <c r="S103" s="1"/>
      <c r="T103" s="1"/>
      <c r="U103" s="1"/>
      <c r="V103" s="1"/>
      <c r="W103" s="1"/>
      <c r="X103" s="1"/>
    </row>
    <row x14ac:dyDescent="0.25" r="104" customHeight="1" ht="15">
      <c r="A104" s="210"/>
      <c r="B104" s="447"/>
      <c r="C104" s="2"/>
      <c r="D104" s="96"/>
      <c r="E104" s="1"/>
      <c r="F104" s="118" t="s">
        <v>53</v>
      </c>
      <c r="G104" s="119">
        <f>LINEST(E107:E112,F107:F112)</f>
      </c>
      <c r="H104" s="120">
        <f>INTERCEPT(E107:E112,F107:F112)</f>
      </c>
      <c r="I104" s="448"/>
      <c r="J104" s="1"/>
      <c r="K104" s="1"/>
      <c r="L104" s="1"/>
      <c r="M104" s="1"/>
      <c r="N104" s="96"/>
      <c r="O104" s="1"/>
      <c r="P104" s="1"/>
      <c r="Q104" s="1"/>
      <c r="R104" s="1"/>
      <c r="S104" s="1"/>
      <c r="T104" s="1"/>
      <c r="U104" s="1"/>
      <c r="V104" s="1"/>
      <c r="W104" s="1"/>
      <c r="X104" s="1"/>
    </row>
    <row x14ac:dyDescent="0.25" r="105" customHeight="1" ht="15">
      <c r="A105" s="210"/>
      <c r="B105" s="447"/>
      <c r="C105" s="2"/>
      <c r="D105" s="96"/>
      <c r="E105" s="1"/>
      <c r="F105" s="123" t="s">
        <v>56</v>
      </c>
      <c r="G105" s="333">
        <f>LINEST(F107:F112,E107:E112)</f>
      </c>
      <c r="H105" s="334">
        <f>INTERCEPT(F107:F112,E107:E112)</f>
      </c>
      <c r="I105" s="448"/>
      <c r="J105" s="1"/>
      <c r="K105" s="1"/>
      <c r="L105" s="1"/>
      <c r="M105" s="1"/>
      <c r="N105" s="96"/>
      <c r="O105" s="1"/>
      <c r="P105" s="1"/>
      <c r="Q105" s="1"/>
      <c r="R105" s="1"/>
      <c r="S105" s="1"/>
      <c r="T105" s="1"/>
      <c r="U105" s="1"/>
      <c r="V105" s="1"/>
      <c r="W105" s="1"/>
      <c r="X105" s="1"/>
    </row>
    <row x14ac:dyDescent="0.25" r="106" customHeight="1" ht="31.8">
      <c r="A106" s="315" t="s">
        <v>141</v>
      </c>
      <c r="B106" s="316" t="s">
        <v>142</v>
      </c>
      <c r="C106" s="317" t="s">
        <v>143</v>
      </c>
      <c r="D106" s="318" t="s">
        <v>144</v>
      </c>
      <c r="E106" s="319" t="s">
        <v>131</v>
      </c>
      <c r="F106" s="319" t="s">
        <v>132</v>
      </c>
      <c r="G106" s="320" t="s">
        <v>145</v>
      </c>
      <c r="H106" s="320" t="s">
        <v>146</v>
      </c>
      <c r="I106" s="321" t="s">
        <v>135</v>
      </c>
      <c r="J106" s="320" t="s">
        <v>147</v>
      </c>
      <c r="K106" s="322"/>
      <c r="L106" s="320" t="s">
        <v>148</v>
      </c>
      <c r="M106" s="320" t="s">
        <v>149</v>
      </c>
      <c r="N106" s="323" t="s">
        <v>150</v>
      </c>
      <c r="O106" s="324" t="s">
        <v>147</v>
      </c>
      <c r="P106" s="1"/>
      <c r="Q106" s="1"/>
      <c r="R106" s="1"/>
      <c r="S106" s="1"/>
      <c r="T106" s="1"/>
      <c r="U106" s="1"/>
      <c r="V106" s="1"/>
      <c r="W106" s="1"/>
      <c r="X106" s="1"/>
    </row>
    <row x14ac:dyDescent="0.25" r="107" customHeight="1" ht="15">
      <c r="A107" s="308">
        <f>D11</f>
      </c>
      <c r="B107" s="309">
        <f>SetPnt_P_0</f>
      </c>
      <c r="C107" s="279">
        <f>B107*$G$105+$H$105</f>
      </c>
      <c r="D107" s="279">
        <f>B107*$C$60+$D$60</f>
      </c>
      <c r="E107" s="310">
        <f>N40</f>
      </c>
      <c r="F107" s="310">
        <f>O40</f>
      </c>
      <c r="G107" s="279">
        <f>E107*$G$105+$H$105</f>
      </c>
      <c r="H107" s="279">
        <f>F107-G107</f>
      </c>
      <c r="I107" s="311">
        <f>C107+H107</f>
      </c>
      <c r="J107" s="279">
        <f>H107/4</f>
      </c>
      <c r="K107" s="312"/>
      <c r="L107" s="279">
        <f>E107*$C$60+$D$60</f>
      </c>
      <c r="M107" s="279">
        <f>F107-L107</f>
      </c>
      <c r="N107" s="311">
        <f>C107+M107</f>
      </c>
      <c r="O107" s="313">
        <f>M107/4</f>
      </c>
      <c r="P107" s="1"/>
      <c r="Q107" s="1"/>
      <c r="R107" s="1"/>
      <c r="S107" s="1"/>
      <c r="T107" s="1"/>
      <c r="U107" s="1"/>
      <c r="V107" s="1"/>
      <c r="W107" s="1"/>
      <c r="X107" s="1"/>
    </row>
    <row x14ac:dyDescent="0.25" r="108" customHeight="1" ht="18.75">
      <c r="A108" s="308">
        <f>D12</f>
      </c>
      <c r="B108" s="314">
        <f>SetPnt_P_1</f>
      </c>
      <c r="C108" s="279">
        <f>B108*$G$105+$H$105</f>
      </c>
      <c r="D108" s="279">
        <f>B108*$C$60+$D$60</f>
      </c>
      <c r="E108" s="310">
        <f>N41</f>
      </c>
      <c r="F108" s="310">
        <f>O41</f>
      </c>
      <c r="G108" s="279">
        <f>E108*$G$105+$H$105</f>
      </c>
      <c r="H108" s="279">
        <f>F108-G108</f>
      </c>
      <c r="I108" s="311">
        <f>C108+H108</f>
      </c>
      <c r="J108" s="279">
        <f>H108/4</f>
      </c>
      <c r="K108" s="312"/>
      <c r="L108" s="279">
        <f>E108*$C$60+$D$60</f>
      </c>
      <c r="M108" s="279">
        <f>F108-L108</f>
      </c>
      <c r="N108" s="311">
        <f>C108+M108</f>
      </c>
      <c r="O108" s="313">
        <f>M108/4</f>
      </c>
      <c r="P108" s="1"/>
      <c r="Q108" s="1"/>
      <c r="R108" s="1"/>
      <c r="S108" s="1"/>
      <c r="T108" s="1"/>
      <c r="U108" s="1"/>
      <c r="V108" s="1"/>
      <c r="W108" s="1"/>
      <c r="X108" s="1"/>
    </row>
    <row x14ac:dyDescent="0.25" r="109" customHeight="1" ht="18.75">
      <c r="A109" s="308">
        <f>D13</f>
      </c>
      <c r="B109" s="314">
        <f>SetPnt_P_2</f>
      </c>
      <c r="C109" s="279">
        <f>B109*$G$105+$H$105</f>
      </c>
      <c r="D109" s="279">
        <f>B109*$C$60+$D$60</f>
      </c>
      <c r="E109" s="310">
        <f>N42</f>
      </c>
      <c r="F109" s="310">
        <f>O42</f>
      </c>
      <c r="G109" s="279">
        <f>E109*$G$105+$H$105</f>
      </c>
      <c r="H109" s="279">
        <f>F109-G109</f>
      </c>
      <c r="I109" s="311">
        <f>C109+H109</f>
      </c>
      <c r="J109" s="279">
        <f>H109/4</f>
      </c>
      <c r="K109" s="312"/>
      <c r="L109" s="279">
        <f>E109*$C$60+$D$60</f>
      </c>
      <c r="M109" s="279">
        <f>F109-L109</f>
      </c>
      <c r="N109" s="311">
        <f>C109+M109</f>
      </c>
      <c r="O109" s="313">
        <f>M109/4</f>
      </c>
      <c r="P109" s="1"/>
      <c r="Q109" s="1"/>
      <c r="R109" s="1"/>
      <c r="S109" s="1"/>
      <c r="T109" s="1"/>
      <c r="U109" s="1"/>
      <c r="V109" s="1"/>
      <c r="W109" s="1"/>
      <c r="X109" s="1"/>
    </row>
    <row x14ac:dyDescent="0.25" r="110" customHeight="1" ht="18.75">
      <c r="A110" s="308">
        <f>D14</f>
      </c>
      <c r="B110" s="314">
        <f>SetPnt_P_3</f>
      </c>
      <c r="C110" s="279">
        <f>B110*$G$105+$H$105</f>
      </c>
      <c r="D110" s="279">
        <f>B110*$C$60+$D$60</f>
      </c>
      <c r="E110" s="310">
        <f>N43</f>
      </c>
      <c r="F110" s="310">
        <f>O43</f>
      </c>
      <c r="G110" s="279">
        <f>E110*$G$105+$H$105</f>
      </c>
      <c r="H110" s="279">
        <f>F110-G110</f>
      </c>
      <c r="I110" s="311">
        <f>C110+H110</f>
      </c>
      <c r="J110" s="279">
        <f>H110/4</f>
      </c>
      <c r="K110" s="312"/>
      <c r="L110" s="279">
        <f>E110*$C$60+$D$60</f>
      </c>
      <c r="M110" s="279">
        <f>F110-L110</f>
      </c>
      <c r="N110" s="311">
        <f>C110+M110</f>
      </c>
      <c r="O110" s="313">
        <f>M110/4</f>
      </c>
      <c r="P110" s="1"/>
      <c r="Q110" s="1"/>
      <c r="R110" s="1"/>
      <c r="S110" s="1"/>
      <c r="T110" s="1"/>
      <c r="U110" s="1"/>
      <c r="V110" s="1"/>
      <c r="W110" s="1"/>
      <c r="X110" s="1"/>
    </row>
    <row x14ac:dyDescent="0.25" r="111" customHeight="1" ht="18.75">
      <c r="A111" s="308">
        <f>D15</f>
      </c>
      <c r="B111" s="314">
        <f>SetPnt_P_4</f>
      </c>
      <c r="C111" s="279">
        <f>B111*$G$105+$H$105</f>
      </c>
      <c r="D111" s="279">
        <f>B111*$C$60+$D$60</f>
      </c>
      <c r="E111" s="310">
        <f>N44</f>
      </c>
      <c r="F111" s="310">
        <f>O44</f>
      </c>
      <c r="G111" s="279">
        <f>E111*$G$105+$H$105</f>
      </c>
      <c r="H111" s="279">
        <f>F111-G111</f>
      </c>
      <c r="I111" s="311">
        <f>C111+H111</f>
      </c>
      <c r="J111" s="279">
        <f>H111/4</f>
      </c>
      <c r="K111" s="312"/>
      <c r="L111" s="279">
        <f>E111*$C$60+$D$60</f>
      </c>
      <c r="M111" s="279">
        <f>F111-L111</f>
      </c>
      <c r="N111" s="311">
        <f>C111+M111</f>
      </c>
      <c r="O111" s="313">
        <f>M111/4</f>
      </c>
      <c r="P111" s="1"/>
      <c r="Q111" s="1"/>
      <c r="R111" s="1"/>
      <c r="S111" s="1"/>
      <c r="T111" s="1"/>
      <c r="U111" s="1"/>
      <c r="V111" s="1"/>
      <c r="W111" s="1"/>
      <c r="X111" s="1"/>
    </row>
    <row x14ac:dyDescent="0.25" r="112" customHeight="1" ht="15">
      <c r="A112" s="326">
        <f>D16</f>
      </c>
      <c r="B112" s="327">
        <f>SetPnt_P_5</f>
      </c>
      <c r="C112" s="328">
        <f>B112*$G$105+$H$105</f>
      </c>
      <c r="D112" s="328">
        <f>B112*$C$60+$D$60</f>
      </c>
      <c r="E112" s="329">
        <f>N45</f>
      </c>
      <c r="F112" s="329">
        <f>O45</f>
      </c>
      <c r="G112" s="328">
        <f>E112*$G$105+$H$105</f>
      </c>
      <c r="H112" s="328">
        <f>F112-G112</f>
      </c>
      <c r="I112" s="330">
        <f>C112+H112</f>
      </c>
      <c r="J112" s="328">
        <f>H112/4</f>
      </c>
      <c r="K112" s="331"/>
      <c r="L112" s="328">
        <f>E112*$C$60+$D$60</f>
      </c>
      <c r="M112" s="328">
        <f>F112-L112</f>
      </c>
      <c r="N112" s="330">
        <f>C112+M112</f>
      </c>
      <c r="O112" s="451">
        <f>M112/4</f>
      </c>
      <c r="P112" s="1"/>
      <c r="Q112" s="1"/>
      <c r="R112" s="1"/>
      <c r="S112" s="1"/>
      <c r="T112" s="1"/>
      <c r="U112" s="1"/>
      <c r="V112" s="1"/>
      <c r="W112" s="1"/>
      <c r="X112" s="1"/>
    </row>
    <row x14ac:dyDescent="0.25" r="113" customHeight="1" ht="18.75">
      <c r="A113" s="210"/>
      <c r="B113" s="447"/>
      <c r="C113" s="2"/>
      <c r="D113" s="96"/>
      <c r="E113" s="1"/>
      <c r="F113" s="1"/>
      <c r="G113" s="1"/>
      <c r="H113" s="1"/>
      <c r="I113" s="448"/>
      <c r="J113" s="1"/>
      <c r="K113" s="1"/>
      <c r="L113" s="1"/>
      <c r="M113" s="1"/>
      <c r="N113" s="96"/>
      <c r="O113" s="1"/>
      <c r="P113" s="1"/>
      <c r="Q113" s="1"/>
      <c r="R113" s="1"/>
      <c r="S113" s="1"/>
      <c r="T113" s="1"/>
      <c r="U113" s="1"/>
      <c r="V113" s="1"/>
      <c r="W113" s="1"/>
      <c r="X113" s="1"/>
    </row>
    <row x14ac:dyDescent="0.25" r="114" customHeight="1" ht="25.8">
      <c r="A114" s="443" t="s">
        <v>151</v>
      </c>
      <c r="B114" s="444"/>
      <c r="C114" s="444"/>
      <c r="D114" s="445"/>
      <c r="E114" s="446"/>
      <c r="F114" s="446"/>
      <c r="G114" s="446"/>
      <c r="H114" s="446"/>
      <c r="I114" s="446"/>
      <c r="J114" s="446"/>
      <c r="K114" s="446"/>
      <c r="L114" s="446"/>
      <c r="M114" s="446"/>
      <c r="N114" s="445"/>
      <c r="O114" s="446"/>
      <c r="P114" s="446"/>
      <c r="Q114" s="446"/>
      <c r="R114" s="446"/>
      <c r="S114" s="446"/>
      <c r="T114" s="446"/>
      <c r="U114" s="446"/>
      <c r="V114" s="446"/>
      <c r="W114" s="446"/>
      <c r="X114" s="446"/>
    </row>
    <row x14ac:dyDescent="0.25" r="115" customHeight="1" ht="15">
      <c r="A115" s="210"/>
      <c r="B115" s="447"/>
      <c r="C115" s="2"/>
      <c r="D115" s="96"/>
      <c r="E115" s="1"/>
      <c r="F115" s="1"/>
      <c r="G115" s="1"/>
      <c r="H115" s="1"/>
      <c r="I115" s="448"/>
      <c r="J115" s="1"/>
      <c r="K115" s="1"/>
      <c r="L115" s="1"/>
      <c r="M115" s="1"/>
      <c r="N115" s="96"/>
      <c r="O115" s="1"/>
      <c r="P115" s="1"/>
      <c r="Q115" s="1"/>
      <c r="R115" s="1"/>
      <c r="S115" s="1"/>
      <c r="T115" s="1"/>
      <c r="U115" s="1"/>
      <c r="V115" s="1"/>
      <c r="W115" s="1"/>
      <c r="X115" s="1"/>
    </row>
    <row x14ac:dyDescent="0.25" r="116" customHeight="1" ht="18.6">
      <c r="A116" s="335" t="s">
        <v>191</v>
      </c>
      <c r="B116" s="336" t="s">
        <v>58</v>
      </c>
      <c r="C116" s="336" t="s">
        <v>59</v>
      </c>
      <c r="D116" s="337" t="s">
        <v>60</v>
      </c>
      <c r="E116" s="219"/>
      <c r="F116" s="335" t="s">
        <v>191</v>
      </c>
      <c r="G116" s="338" t="s">
        <v>47</v>
      </c>
      <c r="H116" s="339" t="s">
        <v>48</v>
      </c>
      <c r="I116" s="448"/>
      <c r="J116" s="1"/>
      <c r="K116" s="1"/>
      <c r="L116" s="1"/>
      <c r="M116" s="340"/>
      <c r="N116" s="340"/>
      <c r="O116" s="340"/>
      <c r="P116" s="1"/>
      <c r="Q116" s="1"/>
      <c r="R116" s="1"/>
      <c r="S116" s="1"/>
      <c r="T116" s="1"/>
      <c r="U116" s="1"/>
      <c r="V116" s="1"/>
      <c r="W116" s="1"/>
      <c r="X116" s="1"/>
    </row>
    <row x14ac:dyDescent="0.25" r="117" customHeight="1" ht="15">
      <c r="A117" s="341">
        <f>CONCATENATE("Cert [",EUnits,"/V]")</f>
      </c>
      <c r="B117" s="342">
        <f>INDEX(LINEST(T123:T134,(S123:S134)^{1,2}),1)</f>
      </c>
      <c r="C117" s="342">
        <f>INDEX(LINEST(T123:T134,(S123:S134)^{1,2}),1,2)</f>
      </c>
      <c r="D117" s="343">
        <f>INDEX(LINEST(T123:T134,(S123:S134)^{1,2}),1,3)</f>
      </c>
      <c r="E117" s="1"/>
      <c r="F117" s="344">
        <f>CONCATENATE("Cert [",EUnits,"/V]")</f>
      </c>
      <c r="G117" s="345">
        <f>LINEST(T123:T134,S123:S134)</f>
      </c>
      <c r="H117" s="346">
        <f>INTERCEPT(T123:T134,S123:S134)</f>
      </c>
      <c r="I117" s="448"/>
      <c r="J117" s="1"/>
      <c r="K117" s="1"/>
      <c r="L117" s="1"/>
      <c r="M117" s="1"/>
      <c r="N117" s="96"/>
      <c r="O117" s="340"/>
      <c r="P117" s="1"/>
      <c r="Q117" s="1"/>
      <c r="R117" s="1"/>
      <c r="S117" s="1"/>
      <c r="T117" s="1"/>
      <c r="U117" s="1"/>
      <c r="V117" s="1"/>
      <c r="W117" s="1"/>
      <c r="X117" s="1"/>
    </row>
    <row x14ac:dyDescent="0.25" r="118" customHeight="1" ht="15">
      <c r="A118" s="156">
        <f>CONCATENATE("Cert [V/",EUnits,"]")</f>
      </c>
      <c r="B118" s="347">
        <f>INDEX(LINEST(S123:S134,(T123:T134)^{1,2}),1)</f>
      </c>
      <c r="C118" s="347">
        <f>INDEX(LINEST(S123:S134,(T123:T134)^{1,2}),1,2)</f>
      </c>
      <c r="D118" s="348">
        <f>INDEX(LINEST(S123:S134,(T123:T134)^{1,2}),1,3)</f>
      </c>
      <c r="E118" s="1"/>
      <c r="F118" s="156">
        <f>CONCATENATE("Cert [V/",EUnits,"]")</f>
      </c>
      <c r="G118" s="349">
        <f>LINEST(S123:S134,T123:T134)</f>
      </c>
      <c r="H118" s="350">
        <f>INTERCEPT(S123:S134,T123:T134)</f>
      </c>
      <c r="I118" s="448"/>
      <c r="J118" s="1"/>
      <c r="K118" s="1"/>
      <c r="L118" s="1"/>
      <c r="M118" s="1"/>
      <c r="N118" s="96"/>
      <c r="O118" s="340"/>
      <c r="P118" s="1"/>
      <c r="Q118" s="1"/>
      <c r="R118" s="1"/>
      <c r="S118" s="1"/>
      <c r="T118" s="1"/>
      <c r="U118" s="1"/>
      <c r="V118" s="1"/>
      <c r="W118" s="1"/>
      <c r="X118" s="1"/>
    </row>
    <row x14ac:dyDescent="0.25" r="119" customHeight="1" ht="18.75">
      <c r="A119" s="210"/>
      <c r="B119" s="447"/>
      <c r="C119" s="2"/>
      <c r="D119" s="96"/>
      <c r="E119" s="1"/>
      <c r="F119" s="1"/>
      <c r="G119" s="1"/>
      <c r="H119" s="1"/>
      <c r="I119" s="448"/>
      <c r="J119" s="1"/>
      <c r="K119" s="1"/>
      <c r="L119" s="1"/>
      <c r="M119" s="1"/>
      <c r="N119" s="96"/>
      <c r="O119" s="1"/>
      <c r="P119" s="1"/>
      <c r="Q119" s="1"/>
      <c r="R119" s="1"/>
      <c r="S119" s="1"/>
      <c r="T119" s="1"/>
      <c r="U119" s="1"/>
      <c r="V119" s="1"/>
      <c r="W119" s="1"/>
      <c r="X119" s="1"/>
    </row>
    <row x14ac:dyDescent="0.25" r="120" customHeight="1" ht="18.6">
      <c r="A120" s="266" t="s">
        <v>153</v>
      </c>
      <c r="B120" s="351"/>
      <c r="C120" s="351"/>
      <c r="D120" s="352"/>
      <c r="E120" s="1"/>
      <c r="F120" s="1"/>
      <c r="G120" s="1"/>
      <c r="H120" s="1"/>
      <c r="I120" s="448"/>
      <c r="J120" s="1"/>
      <c r="K120" s="1"/>
      <c r="L120" s="1"/>
      <c r="M120" s="1"/>
      <c r="N120" s="96"/>
      <c r="O120" s="1"/>
      <c r="P120" s="340"/>
      <c r="Q120" s="1"/>
      <c r="R120" s="1"/>
      <c r="S120" s="1"/>
      <c r="T120" s="1"/>
      <c r="U120" s="1"/>
      <c r="V120" s="1"/>
      <c r="W120" s="1"/>
      <c r="X120" s="1"/>
    </row>
    <row x14ac:dyDescent="0.25" r="121" customHeight="1" ht="30">
      <c r="A121" s="353" t="s">
        <v>154</v>
      </c>
      <c r="B121" s="354" t="s">
        <v>155</v>
      </c>
      <c r="C121" s="355" t="s">
        <v>155</v>
      </c>
      <c r="D121" s="356" t="s">
        <v>155</v>
      </c>
      <c r="E121" s="357" t="s">
        <v>156</v>
      </c>
      <c r="F121" s="358" t="s">
        <v>157</v>
      </c>
      <c r="G121" s="359" t="s">
        <v>158</v>
      </c>
      <c r="H121" s="360" t="s">
        <v>159</v>
      </c>
      <c r="I121" s="361" t="s">
        <v>160</v>
      </c>
      <c r="J121" s="362"/>
      <c r="K121" s="363" t="s">
        <v>161</v>
      </c>
      <c r="L121" s="363" t="s">
        <v>162</v>
      </c>
      <c r="M121" s="363" t="s">
        <v>163</v>
      </c>
      <c r="N121" s="364" t="s">
        <v>164</v>
      </c>
      <c r="O121" s="363" t="s">
        <v>165</v>
      </c>
      <c r="P121" s="363" t="s">
        <v>166</v>
      </c>
      <c r="Q121" s="1"/>
      <c r="R121" s="272" t="s">
        <v>105</v>
      </c>
      <c r="S121" s="270"/>
      <c r="T121" s="270"/>
      <c r="U121" s="1"/>
      <c r="V121" s="1"/>
      <c r="W121" s="1"/>
      <c r="X121" s="1"/>
    </row>
    <row x14ac:dyDescent="0.25" r="122" customHeight="1" ht="29.399999999999995">
      <c r="A122" s="365"/>
      <c r="B122" s="366" t="s">
        <v>34</v>
      </c>
      <c r="C122" s="367" t="s">
        <v>34</v>
      </c>
      <c r="D122" s="368" t="s">
        <v>34</v>
      </c>
      <c r="E122" s="369" t="s">
        <v>35</v>
      </c>
      <c r="F122" s="370" t="s">
        <v>167</v>
      </c>
      <c r="G122" s="371" t="s">
        <v>35</v>
      </c>
      <c r="H122" s="16"/>
      <c r="I122" s="448"/>
      <c r="J122" s="362"/>
      <c r="K122" s="1"/>
      <c r="L122" s="1"/>
      <c r="M122" s="1"/>
      <c r="N122" s="96"/>
      <c r="O122" s="1"/>
      <c r="P122" s="1"/>
      <c r="Q122" s="1"/>
      <c r="R122" s="372"/>
      <c r="S122" s="373" t="s">
        <v>106</v>
      </c>
      <c r="T122" s="373" t="s">
        <v>168</v>
      </c>
      <c r="U122" s="1"/>
      <c r="V122" s="1"/>
      <c r="W122" s="1"/>
      <c r="X122" s="1"/>
    </row>
    <row x14ac:dyDescent="0.25" r="123" customHeight="1" ht="16.2">
      <c r="A123" s="374" t="s">
        <v>169</v>
      </c>
      <c r="B123" s="375" t="s">
        <v>170</v>
      </c>
      <c r="C123" s="376" t="s">
        <v>170</v>
      </c>
      <c r="D123" s="377" t="s">
        <v>170</v>
      </c>
      <c r="E123" s="378" t="s">
        <v>170</v>
      </c>
      <c r="F123" s="379" t="s">
        <v>170</v>
      </c>
      <c r="G123" s="380" t="s">
        <v>170</v>
      </c>
      <c r="H123" s="16"/>
      <c r="I123" s="448"/>
      <c r="J123" s="362"/>
      <c r="K123" s="1"/>
      <c r="L123" s="1"/>
      <c r="M123" s="1"/>
      <c r="N123" s="96"/>
      <c r="O123" s="1"/>
      <c r="P123" s="1"/>
      <c r="Q123" s="1"/>
      <c r="R123" s="381" t="s">
        <v>171</v>
      </c>
      <c r="S123" s="382">
        <f>E124</f>
      </c>
      <c r="T123" s="383">
        <f>SetPnt_P_0</f>
      </c>
      <c r="U123" s="1"/>
      <c r="V123" s="1"/>
      <c r="W123" s="1"/>
      <c r="X123" s="1"/>
    </row>
    <row x14ac:dyDescent="0.25" r="124" customHeight="1" ht="15.6">
      <c r="A124" s="384">
        <f>SetPnt_P_0</f>
      </c>
      <c r="B124" s="452">
        <f>$I$73</f>
      </c>
      <c r="C124" s="452">
        <f>I80</f>
      </c>
      <c r="D124" s="452">
        <f>I87</f>
      </c>
      <c r="E124" s="452">
        <f>I96</f>
      </c>
      <c r="F124" s="386" t="s">
        <v>172</v>
      </c>
      <c r="G124" s="452">
        <f>I107</f>
      </c>
      <c r="H124" s="387">
        <f>$B$118*A124^2 + $C$118*A124+$D$118</f>
      </c>
      <c r="I124" s="387">
        <f>A124*$G$118+$H$118</f>
      </c>
      <c r="J124" s="387"/>
      <c r="K124" s="387">
        <f>AVERAGE(E124:G124)</f>
      </c>
      <c r="L124" s="387">
        <f>ABS(E124-G124)</f>
      </c>
      <c r="M124" s="387">
        <f>SQRT((E124-K124)^2+(G124-K124)^2)</f>
      </c>
      <c r="N124" s="387">
        <f>(ABS(E124-F124) )</f>
      </c>
      <c r="O124" s="387">
        <f>I124-K124</f>
      </c>
      <c r="P124" s="387">
        <f>H124-K124</f>
      </c>
      <c r="Q124" s="1"/>
      <c r="R124" s="381"/>
      <c r="S124" s="382">
        <f>E125</f>
      </c>
      <c r="T124" s="388">
        <f>SetPnt_P_1</f>
      </c>
      <c r="U124" s="1"/>
      <c r="V124" s="1"/>
      <c r="W124" s="1"/>
      <c r="X124" s="1"/>
    </row>
    <row x14ac:dyDescent="0.25" r="125" customHeight="1" ht="15.6">
      <c r="A125" s="389">
        <f>SetPnt_P_1</f>
      </c>
      <c r="B125" s="390" t="s">
        <v>117</v>
      </c>
      <c r="C125" s="390" t="s">
        <v>117</v>
      </c>
      <c r="D125" s="391" t="s">
        <v>117</v>
      </c>
      <c r="E125" s="452">
        <f>I97</f>
      </c>
      <c r="F125" s="386" t="s">
        <v>172</v>
      </c>
      <c r="G125" s="452">
        <f>I108</f>
      </c>
      <c r="H125" s="387">
        <f>$B$118*A125^2 + $C$118*A125+$D$118</f>
      </c>
      <c r="I125" s="387">
        <f>A125*$G$118+$H$118</f>
      </c>
      <c r="J125" s="387"/>
      <c r="K125" s="387">
        <f>AVERAGE(E125:G125)</f>
      </c>
      <c r="L125" s="387">
        <f>ABS(E125-G125)</f>
      </c>
      <c r="M125" s="387">
        <f>SQRT((E125-K125)^2+(G125-K125)^2)</f>
      </c>
      <c r="N125" s="387">
        <f>(ABS(E125-F125) )</f>
      </c>
      <c r="O125" s="387">
        <f>H125-K125</f>
      </c>
      <c r="P125" s="387">
        <f>H125-K125</f>
      </c>
      <c r="Q125" s="1"/>
      <c r="R125" s="381"/>
      <c r="S125" s="382">
        <f>E126</f>
      </c>
      <c r="T125" s="388">
        <f>SetPnt_P_2</f>
      </c>
      <c r="U125" s="1"/>
      <c r="V125" s="1"/>
      <c r="W125" s="1"/>
      <c r="X125" s="1"/>
    </row>
    <row x14ac:dyDescent="0.25" r="126" customHeight="1" ht="15.6">
      <c r="A126" s="389">
        <f>SetPnt_P_2</f>
      </c>
      <c r="B126" s="390" t="s">
        <v>117</v>
      </c>
      <c r="C126" s="390" t="s">
        <v>117</v>
      </c>
      <c r="D126" s="391" t="s">
        <v>117</v>
      </c>
      <c r="E126" s="452">
        <f>I98</f>
      </c>
      <c r="F126" s="386" t="s">
        <v>172</v>
      </c>
      <c r="G126" s="452">
        <f>I109</f>
      </c>
      <c r="H126" s="387">
        <f>$B$118*A126^2 + $C$118*A126+$D$118</f>
      </c>
      <c r="I126" s="387">
        <f>A126*$G$118+$H$118</f>
      </c>
      <c r="J126" s="387"/>
      <c r="K126" s="387">
        <f>AVERAGE(E126:G126)</f>
      </c>
      <c r="L126" s="387">
        <f>ABS(E126-G126)</f>
      </c>
      <c r="M126" s="387">
        <f>SQRT((E126-K126)^2+(G126-K126)^2)</f>
      </c>
      <c r="N126" s="387">
        <f>(ABS(E126-F126) )</f>
      </c>
      <c r="O126" s="387">
        <f>H126-K126</f>
      </c>
      <c r="P126" s="387">
        <f>H126-K126</f>
      </c>
      <c r="Q126" s="1"/>
      <c r="R126" s="381"/>
      <c r="S126" s="382">
        <f>E127</f>
      </c>
      <c r="T126" s="388">
        <f>SetPnt_P_3</f>
      </c>
      <c r="U126" s="1"/>
      <c r="V126" s="1"/>
      <c r="W126" s="1"/>
      <c r="X126" s="1"/>
    </row>
    <row x14ac:dyDescent="0.25" r="127" customHeight="1" ht="15.6">
      <c r="A127" s="389">
        <f>SetPnt_P_3</f>
      </c>
      <c r="B127" s="390" t="s">
        <v>117</v>
      </c>
      <c r="C127" s="390" t="s">
        <v>117</v>
      </c>
      <c r="D127" s="391" t="s">
        <v>117</v>
      </c>
      <c r="E127" s="452">
        <f>I99</f>
      </c>
      <c r="F127" s="386" t="s">
        <v>172</v>
      </c>
      <c r="G127" s="452">
        <f>I110</f>
      </c>
      <c r="H127" s="387">
        <f>$B$118*A127^2 + $C$118*A127+$D$118</f>
      </c>
      <c r="I127" s="387">
        <f>A127*$G$118+$H$118</f>
      </c>
      <c r="J127" s="387"/>
      <c r="K127" s="387">
        <f>AVERAGE(E127:G127)</f>
      </c>
      <c r="L127" s="387">
        <f>ABS(E127-G127)</f>
      </c>
      <c r="M127" s="387">
        <f>SQRT((E127-K127)^2+(G127-K127)^2)</f>
      </c>
      <c r="N127" s="387">
        <f>(ABS(E127-F127) )</f>
      </c>
      <c r="O127" s="387">
        <f>H127-K127</f>
      </c>
      <c r="P127" s="387">
        <f>H127-K127</f>
      </c>
      <c r="Q127" s="1"/>
      <c r="R127" s="381"/>
      <c r="S127" s="382">
        <f>E128</f>
      </c>
      <c r="T127" s="388">
        <f>SetPnt_P_4</f>
      </c>
      <c r="U127" s="1"/>
      <c r="V127" s="1"/>
      <c r="W127" s="1"/>
      <c r="X127" s="1"/>
    </row>
    <row x14ac:dyDescent="0.25" r="128" customHeight="1" ht="15.6">
      <c r="A128" s="389">
        <f>SetPnt_P_4</f>
      </c>
      <c r="B128" s="390" t="s">
        <v>117</v>
      </c>
      <c r="C128" s="390" t="s">
        <v>117</v>
      </c>
      <c r="D128" s="391" t="s">
        <v>117</v>
      </c>
      <c r="E128" s="452">
        <f>I100</f>
      </c>
      <c r="F128" s="386" t="s">
        <v>172</v>
      </c>
      <c r="G128" s="452">
        <f>I111</f>
      </c>
      <c r="H128" s="387">
        <f>$B$118*A128^2 + $C$118*A128+$D$118</f>
      </c>
      <c r="I128" s="387">
        <f>A128*$G$118+$H$118</f>
      </c>
      <c r="J128" s="387"/>
      <c r="K128" s="387">
        <f>AVERAGE(E128:G128)</f>
      </c>
      <c r="L128" s="387">
        <f>ABS(E128-G128)</f>
      </c>
      <c r="M128" s="387">
        <f>SQRT((E128-K128)^2+(G128-K128)^2)</f>
      </c>
      <c r="N128" s="387">
        <f>(ABS(E128-F128) )</f>
      </c>
      <c r="O128" s="387">
        <f>H128-K128</f>
      </c>
      <c r="P128" s="387">
        <f>H128-K128</f>
      </c>
      <c r="Q128" s="1"/>
      <c r="R128" s="392"/>
      <c r="S128" s="393">
        <f>E129</f>
      </c>
      <c r="T128" s="453">
        <f>SetPnt_P_5</f>
      </c>
      <c r="U128" s="1"/>
      <c r="V128" s="1"/>
      <c r="W128" s="1"/>
      <c r="X128" s="1"/>
    </row>
    <row x14ac:dyDescent="0.25" r="129" customHeight="1" ht="15.6">
      <c r="A129" s="389">
        <f>SetPnt_P_5</f>
      </c>
      <c r="B129" s="452">
        <f>I74</f>
      </c>
      <c r="C129" s="452">
        <f>I81</f>
      </c>
      <c r="D129" s="452">
        <f>I88</f>
      </c>
      <c r="E129" s="452">
        <f>I101</f>
      </c>
      <c r="F129" s="386" t="s">
        <v>172</v>
      </c>
      <c r="G129" s="452">
        <f>I112</f>
      </c>
      <c r="H129" s="387">
        <f>$B$118*A129^2 + $C$118*A129+$D$118</f>
      </c>
      <c r="I129" s="387">
        <f>A129*$G$118+$H$118</f>
      </c>
      <c r="J129" s="387"/>
      <c r="K129" s="387">
        <f>AVERAGE(E129:G129)</f>
      </c>
      <c r="L129" s="387">
        <f>ABS(E129-G129)</f>
      </c>
      <c r="M129" s="387">
        <f>SQRT((E129-K129)^2+(G129-K129)^2)</f>
      </c>
      <c r="N129" s="387">
        <f>(ABS(E129-F129) )</f>
      </c>
      <c r="O129" s="387">
        <f>H129-K129</f>
      </c>
      <c r="P129" s="387">
        <f>H129-K129</f>
      </c>
      <c r="Q129" s="1"/>
      <c r="R129" s="381" t="s">
        <v>141</v>
      </c>
      <c r="S129" s="382">
        <f>G124</f>
      </c>
      <c r="T129" s="383">
        <f>SetPnt_P_0</f>
      </c>
      <c r="U129" s="1"/>
      <c r="V129" s="1"/>
      <c r="W129" s="1"/>
      <c r="X129" s="1"/>
    </row>
    <row x14ac:dyDescent="0.25" r="130" customHeight="1" ht="18.75">
      <c r="A130" s="210"/>
      <c r="B130" s="447"/>
      <c r="C130" s="2"/>
      <c r="D130" s="96"/>
      <c r="E130" s="1"/>
      <c r="F130" s="1"/>
      <c r="G130" s="1"/>
      <c r="H130" s="1"/>
      <c r="I130" s="448"/>
      <c r="J130" s="1"/>
      <c r="K130" s="1"/>
      <c r="L130" s="1"/>
      <c r="M130" s="1"/>
      <c r="N130" s="96"/>
      <c r="O130" s="1"/>
      <c r="P130" s="312"/>
      <c r="Q130" s="1"/>
      <c r="R130" s="299"/>
      <c r="S130" s="382">
        <f>G125</f>
      </c>
      <c r="T130" s="388">
        <f>SetPnt_P_1</f>
      </c>
      <c r="U130" s="1"/>
      <c r="V130" s="1"/>
      <c r="W130" s="1"/>
      <c r="X130" s="1"/>
    </row>
    <row x14ac:dyDescent="0.25" r="131" customHeight="1" ht="18.6">
      <c r="A131" s="266" t="s">
        <v>173</v>
      </c>
      <c r="B131" s="447"/>
      <c r="C131" s="2"/>
      <c r="D131" s="96"/>
      <c r="E131" s="1"/>
      <c r="F131" s="1"/>
      <c r="G131" s="1"/>
      <c r="H131" s="1"/>
      <c r="I131" s="448"/>
      <c r="J131" s="1"/>
      <c r="K131" s="1"/>
      <c r="L131" s="1"/>
      <c r="M131" s="1"/>
      <c r="N131" s="96"/>
      <c r="O131" s="1"/>
      <c r="P131" s="312"/>
      <c r="Q131" s="1"/>
      <c r="R131" s="299"/>
      <c r="S131" s="382">
        <f>G126</f>
      </c>
      <c r="T131" s="388">
        <f>SetPnt_P_2</f>
      </c>
      <c r="U131" s="1"/>
      <c r="V131" s="1"/>
      <c r="W131" s="1"/>
      <c r="X131" s="1"/>
    </row>
    <row x14ac:dyDescent="0.25" r="132" customHeight="1" ht="15">
      <c r="A132" s="454" t="s">
        <v>20</v>
      </c>
      <c r="B132" s="455" t="s">
        <v>174</v>
      </c>
      <c r="C132" s="455" t="s">
        <v>175</v>
      </c>
      <c r="D132" s="456" t="s">
        <v>176</v>
      </c>
      <c r="E132" s="457" t="s">
        <v>177</v>
      </c>
      <c r="F132" s="457" t="s">
        <v>178</v>
      </c>
      <c r="G132" s="457" t="s">
        <v>179</v>
      </c>
      <c r="H132" s="457" t="s">
        <v>180</v>
      </c>
      <c r="I132" s="457" t="s">
        <v>178</v>
      </c>
      <c r="J132" s="457" t="s">
        <v>179</v>
      </c>
      <c r="K132" s="16"/>
      <c r="L132" s="1"/>
      <c r="M132" s="340"/>
      <c r="N132" s="396" t="s">
        <v>176</v>
      </c>
      <c r="O132" s="1"/>
      <c r="P132" s="312"/>
      <c r="Q132" s="1"/>
      <c r="R132" s="299"/>
      <c r="S132" s="382">
        <f>G127</f>
      </c>
      <c r="T132" s="388">
        <f>SetPnt_P_3</f>
      </c>
      <c r="U132" s="1"/>
      <c r="V132" s="1"/>
      <c r="W132" s="1"/>
      <c r="X132" s="1"/>
    </row>
    <row x14ac:dyDescent="0.25" r="133" customHeight="1" ht="18.75">
      <c r="A133" s="398">
        <f>SetPnt_P_0</f>
      </c>
      <c r="B133" s="399">
        <f>L124*100 / (SQRT(2)*K124)</f>
      </c>
      <c r="C133" s="399">
        <f>M124*100 / (SQRT(2)*K124)</f>
      </c>
      <c r="D133" s="400">
        <v>0.469</v>
      </c>
      <c r="E133" s="401">
        <f>ABS(O124)*100 / (SQRT(6)*I124)</f>
      </c>
      <c r="F133" s="401">
        <f>SQRT((B133^2 + C133^2+D133^2+O124^2))</f>
      </c>
      <c r="G133" s="458">
        <f>F133*2</f>
      </c>
      <c r="H133" s="403">
        <f>ABS(P124)*100 / (SQRT(6)*H124)</f>
      </c>
      <c r="I133" s="401">
        <f>SQRT((B133^2 + C133^2+H133^2+D133^2))</f>
      </c>
      <c r="J133" s="401">
        <f>I133*2</f>
      </c>
      <c r="K133" s="1"/>
      <c r="L133" s="1"/>
      <c r="M133" s="340"/>
      <c r="N133" s="400">
        <v>0.469</v>
      </c>
      <c r="O133" s="1"/>
      <c r="P133" s="312"/>
      <c r="Q133" s="1"/>
      <c r="R133" s="299"/>
      <c r="S133" s="382">
        <f>G128</f>
      </c>
      <c r="T133" s="388">
        <f>SetPnt_P_4</f>
      </c>
      <c r="U133" s="1"/>
      <c r="V133" s="1"/>
      <c r="W133" s="1"/>
      <c r="X133" s="1"/>
    </row>
    <row x14ac:dyDescent="0.25" r="134" customHeight="1" ht="18.75">
      <c r="A134" s="389">
        <f>SetPnt_P_1</f>
      </c>
      <c r="B134" s="399">
        <f>L125*100 / (SQRT(2)*K125)</f>
      </c>
      <c r="C134" s="399">
        <f>M125*100 / (SQRT(2)*K125)</f>
      </c>
      <c r="D134" s="400">
        <v>0.109</v>
      </c>
      <c r="E134" s="401">
        <f>ABS(O125)*100 / (SQRT(6)*I125)</f>
      </c>
      <c r="F134" s="401">
        <f>SQRT((B134^2 + C134^2+D134^2+O125^2))</f>
      </c>
      <c r="G134" s="402">
        <f>F134*2</f>
      </c>
      <c r="H134" s="403">
        <f>ABS(P125)*100 / (SQRT(6)*H125)</f>
      </c>
      <c r="I134" s="401">
        <f>SQRT((B134^2 + C134^2+H134^2+D134^2))</f>
      </c>
      <c r="J134" s="404">
        <f>I134*2</f>
      </c>
      <c r="K134" s="1"/>
      <c r="L134" s="1"/>
      <c r="M134" s="340"/>
      <c r="N134" s="400">
        <v>0.469</v>
      </c>
      <c r="O134" s="1"/>
      <c r="P134" s="312"/>
      <c r="Q134" s="1"/>
      <c r="R134" s="299"/>
      <c r="S134" s="382">
        <f>G129</f>
      </c>
      <c r="T134" s="388">
        <f>SetPnt_P_5</f>
      </c>
      <c r="U134" s="1"/>
      <c r="V134" s="1"/>
      <c r="W134" s="1"/>
      <c r="X134" s="1"/>
    </row>
    <row x14ac:dyDescent="0.25" r="135" customHeight="1" ht="18.75">
      <c r="A135" s="389">
        <f>SetPnt_P_2</f>
      </c>
      <c r="B135" s="399">
        <f>L126*100 / (SQRT(2)*K126)</f>
      </c>
      <c r="C135" s="399">
        <f>M126*100 / (SQRT(2)*K126)</f>
      </c>
      <c r="D135" s="400">
        <v>0.109</v>
      </c>
      <c r="E135" s="401">
        <f>ABS(O126)*100 / (SQRT(6)*I126)</f>
      </c>
      <c r="F135" s="401">
        <f>SQRT((B135^2 + C135^2+D135^2+O126^2))</f>
      </c>
      <c r="G135" s="402">
        <f>F135*2</f>
      </c>
      <c r="H135" s="403">
        <f>ABS(P126)*100 / (SQRT(6)*H126)</f>
      </c>
      <c r="I135" s="401">
        <f>SQRT((B135^2 + C135^2+H135^2+D135^2))</f>
      </c>
      <c r="J135" s="404">
        <f>I135*2</f>
      </c>
      <c r="K135" s="1"/>
      <c r="L135" s="1"/>
      <c r="M135" s="340"/>
      <c r="N135" s="400">
        <v>0.109</v>
      </c>
      <c r="O135" s="1"/>
      <c r="P135" s="312"/>
      <c r="Q135" s="1"/>
      <c r="R135" s="1"/>
      <c r="S135" s="1"/>
      <c r="T135" s="1"/>
      <c r="U135" s="1"/>
      <c r="V135" s="1"/>
      <c r="W135" s="1"/>
      <c r="X135" s="1"/>
    </row>
    <row x14ac:dyDescent="0.25" r="136" customHeight="1" ht="18.75">
      <c r="A136" s="389">
        <f>SetPnt_P_3</f>
      </c>
      <c r="B136" s="399">
        <f>L127*100 / (SQRT(2)*K127)</f>
      </c>
      <c r="C136" s="399">
        <f>M127*100 / (SQRT(2)*K127)</f>
      </c>
      <c r="D136" s="400">
        <v>0.109</v>
      </c>
      <c r="E136" s="401">
        <f>ABS(O127)*100 / (SQRT(6)*I127)</f>
      </c>
      <c r="F136" s="401">
        <f>SQRT((B136^2 + C136^2+D136^2+O127^2))</f>
      </c>
      <c r="G136" s="402">
        <f>F136*2</f>
      </c>
      <c r="H136" s="403">
        <f>ABS(P127)*100 / (SQRT(6)*H127)</f>
      </c>
      <c r="I136" s="401">
        <f>SQRT((B136^2 + C136^2+H136^2+D136^2))</f>
      </c>
      <c r="J136" s="404">
        <f>I136*2</f>
      </c>
      <c r="K136" s="1"/>
      <c r="L136" s="1"/>
      <c r="M136" s="340"/>
      <c r="N136" s="400">
        <v>0.109</v>
      </c>
      <c r="O136" s="1"/>
      <c r="P136" s="312"/>
      <c r="Q136" s="1"/>
      <c r="R136" s="1"/>
      <c r="S136" s="1"/>
      <c r="T136" s="1"/>
      <c r="U136" s="1"/>
      <c r="V136" s="1"/>
      <c r="W136" s="1"/>
      <c r="X136" s="1"/>
    </row>
    <row x14ac:dyDescent="0.25" r="137" customHeight="1" ht="18.75">
      <c r="A137" s="389">
        <f>SetPnt_P_4</f>
      </c>
      <c r="B137" s="399">
        <f>L128*100 / (SQRT(2)*K128)</f>
      </c>
      <c r="C137" s="399">
        <f>M128*100 / (SQRT(2)*K128)</f>
      </c>
      <c r="D137" s="400">
        <v>0.108</v>
      </c>
      <c r="E137" s="401">
        <f>ABS(O128)*100 / (SQRT(6)*I128)</f>
      </c>
      <c r="F137" s="401">
        <f>SQRT((B137^2 + C137^2+D137^2+O128^2))</f>
      </c>
      <c r="G137" s="402">
        <f>F137*2</f>
      </c>
      <c r="H137" s="403">
        <f>ABS(P128)*100 / (SQRT(6)*H128)</f>
      </c>
      <c r="I137" s="401">
        <f>SQRT((B137^2 + C137^2+H137^2+D137^2))</f>
      </c>
      <c r="J137" s="404">
        <f>I137*2</f>
      </c>
      <c r="K137" s="1"/>
      <c r="L137" s="1"/>
      <c r="M137" s="340"/>
      <c r="N137" s="400">
        <v>0.108</v>
      </c>
      <c r="O137" s="1"/>
      <c r="P137" s="312"/>
      <c r="Q137" s="1"/>
      <c r="R137" s="1"/>
      <c r="S137" s="1"/>
      <c r="T137" s="1"/>
      <c r="U137" s="1"/>
      <c r="V137" s="1"/>
      <c r="W137" s="1"/>
      <c r="X137" s="1"/>
    </row>
    <row x14ac:dyDescent="0.25" r="138" customHeight="1" ht="18.75">
      <c r="A138" s="389">
        <f>SetPnt_P_5</f>
      </c>
      <c r="B138" s="399">
        <f>L129*100 / (SQRT(2)*K129)</f>
      </c>
      <c r="C138" s="399">
        <f>M129*100 / (SQRT(2)*K129)</f>
      </c>
      <c r="D138" s="400">
        <v>0.098</v>
      </c>
      <c r="E138" s="401">
        <f>ABS(O129)*100 / (SQRT(6)*I129)</f>
      </c>
      <c r="F138" s="401">
        <f>SQRT((B138^2 + C138^2+D138^2+O129^2))</f>
      </c>
      <c r="G138" s="402">
        <f>F138*2</f>
      </c>
      <c r="H138" s="403">
        <f>ABS(P129)*100 / (SQRT(6)*H129)</f>
      </c>
      <c r="I138" s="401">
        <f>SQRT((B138^2 + C138^2+H138^2+D138^2))</f>
      </c>
      <c r="J138" s="404">
        <f>I138*2</f>
      </c>
      <c r="K138" s="1"/>
      <c r="L138" s="1"/>
      <c r="M138" s="340"/>
      <c r="N138" s="400">
        <v>0.098</v>
      </c>
      <c r="O138" s="1"/>
      <c r="P138" s="1"/>
      <c r="Q138" s="1"/>
      <c r="R138" s="1"/>
      <c r="S138" s="1"/>
      <c r="T138" s="1"/>
      <c r="U138" s="1"/>
      <c r="V138" s="1"/>
      <c r="W138" s="1"/>
      <c r="X138" s="1"/>
    </row>
    <row x14ac:dyDescent="0.25" r="139" customHeight="1" ht="18.75">
      <c r="A139" s="210"/>
      <c r="B139" s="447"/>
      <c r="C139" s="2"/>
      <c r="D139" s="96"/>
      <c r="E139" s="1"/>
      <c r="F139" s="1"/>
      <c r="G139" s="1"/>
      <c r="H139" s="1"/>
      <c r="I139" s="448"/>
      <c r="J139" s="1"/>
      <c r="K139" s="1"/>
      <c r="L139" s="1"/>
      <c r="M139" s="1"/>
      <c r="N139" s="96"/>
      <c r="O139" s="1"/>
      <c r="P139" s="1"/>
      <c r="Q139" s="1"/>
      <c r="R139" s="1"/>
      <c r="S139" s="1"/>
      <c r="T139" s="1"/>
      <c r="U139" s="1"/>
      <c r="V139" s="1"/>
      <c r="W139" s="1"/>
      <c r="X139" s="1"/>
    </row>
    <row x14ac:dyDescent="0.25" r="140" customHeight="1" ht="25.8">
      <c r="A140" s="443" t="s">
        <v>181</v>
      </c>
      <c r="B140" s="444"/>
      <c r="C140" s="444"/>
      <c r="D140" s="445"/>
      <c r="E140" s="446"/>
      <c r="F140" s="446"/>
      <c r="G140" s="446"/>
      <c r="H140" s="446"/>
      <c r="I140" s="446"/>
      <c r="J140" s="446"/>
      <c r="K140" s="446"/>
      <c r="L140" s="446"/>
      <c r="M140" s="446"/>
      <c r="N140" s="445"/>
      <c r="O140" s="446"/>
      <c r="P140" s="446"/>
      <c r="Q140" s="446"/>
      <c r="R140" s="446"/>
      <c r="S140" s="446"/>
      <c r="T140" s="446"/>
      <c r="U140" s="446"/>
      <c r="V140" s="446"/>
      <c r="W140" s="446"/>
      <c r="X140" s="446"/>
    </row>
    <row x14ac:dyDescent="0.25" r="141" customHeight="1" ht="18.75">
      <c r="A141" s="210"/>
      <c r="B141" s="447"/>
      <c r="C141" s="2"/>
      <c r="D141" s="96"/>
      <c r="E141" s="1"/>
      <c r="F141" s="1"/>
      <c r="G141" s="1"/>
      <c r="H141" s="1"/>
      <c r="I141" s="448"/>
      <c r="J141" s="1"/>
      <c r="K141" s="1"/>
      <c r="L141" s="1"/>
      <c r="M141" s="1"/>
      <c r="N141" s="96"/>
      <c r="O141" s="1"/>
      <c r="P141" s="1"/>
      <c r="Q141" s="1"/>
      <c r="R141" s="1"/>
      <c r="S141" s="1"/>
      <c r="T141" s="1"/>
      <c r="U141" s="1"/>
      <c r="V141" s="1"/>
      <c r="W141" s="1"/>
      <c r="X141" s="1"/>
    </row>
    <row x14ac:dyDescent="0.25" r="142" customHeight="1" ht="15.75">
      <c r="A142" s="210"/>
      <c r="B142" s="405" t="s">
        <v>182</v>
      </c>
      <c r="C142" s="406"/>
      <c r="D142" s="406"/>
      <c r="E142" s="406"/>
      <c r="F142" s="406"/>
      <c r="G142" s="1"/>
      <c r="H142" s="1"/>
      <c r="I142" s="448"/>
      <c r="J142" s="1"/>
      <c r="K142" s="1"/>
      <c r="L142" s="1"/>
      <c r="M142" s="1"/>
      <c r="N142" s="96"/>
      <c r="O142" s="1"/>
      <c r="P142" s="1"/>
      <c r="Q142" s="1"/>
      <c r="R142" s="1"/>
      <c r="S142" s="1"/>
      <c r="T142" s="1"/>
      <c r="U142" s="1"/>
      <c r="V142" s="1"/>
      <c r="W142" s="1"/>
      <c r="X142" s="1"/>
    </row>
    <row x14ac:dyDescent="0.25" r="143" customHeight="1" ht="14.25">
      <c r="A143" s="210"/>
      <c r="B143" s="407" t="s">
        <v>25</v>
      </c>
      <c r="C143" s="408"/>
      <c r="D143" s="409"/>
      <c r="E143" s="1"/>
      <c r="F143" s="1"/>
      <c r="G143" s="1"/>
      <c r="H143" s="1"/>
      <c r="I143" s="448"/>
      <c r="J143" s="1"/>
      <c r="K143" s="1"/>
      <c r="L143" s="1"/>
      <c r="M143" s="1"/>
      <c r="N143" s="96"/>
      <c r="O143" s="1"/>
      <c r="P143" s="1"/>
      <c r="Q143" s="1"/>
      <c r="R143" s="1"/>
      <c r="S143" s="1"/>
      <c r="T143" s="1"/>
      <c r="U143" s="1"/>
      <c r="V143" s="1"/>
      <c r="W143" s="1"/>
      <c r="X143" s="1"/>
    </row>
    <row x14ac:dyDescent="0.25" r="144" customHeight="1" ht="14.25">
      <c r="A144" s="210"/>
      <c r="B144" s="410"/>
      <c r="C144" s="44" t="s">
        <v>26</v>
      </c>
      <c r="D144" s="411" t="s">
        <v>27</v>
      </c>
      <c r="E144" s="1"/>
      <c r="F144" s="1"/>
      <c r="G144" s="1"/>
      <c r="H144" s="1"/>
      <c r="I144" s="448"/>
      <c r="J144" s="1"/>
      <c r="K144" s="1"/>
      <c r="L144" s="1"/>
      <c r="M144" s="1"/>
      <c r="N144" s="96"/>
      <c r="O144" s="1"/>
      <c r="P144" s="1"/>
      <c r="Q144" s="1"/>
      <c r="R144" s="1"/>
      <c r="S144" s="1"/>
      <c r="T144" s="1"/>
      <c r="U144" s="1"/>
      <c r="V144" s="1"/>
      <c r="W144" s="1"/>
      <c r="X144" s="1"/>
    </row>
    <row x14ac:dyDescent="0.25" r="145" customHeight="1" ht="18.75">
      <c r="A145" s="210"/>
      <c r="B145" s="412" t="s">
        <v>28</v>
      </c>
      <c r="C145" s="49">
        <v>0</v>
      </c>
      <c r="D145" s="50">
        <f>$C$59/1000</f>
      </c>
      <c r="E145" s="1"/>
      <c r="F145" s="1"/>
      <c r="G145" s="1"/>
      <c r="H145" s="1"/>
      <c r="I145" s="448"/>
      <c r="J145" s="1"/>
      <c r="K145" s="1"/>
      <c r="L145" s="1"/>
      <c r="M145" s="1"/>
      <c r="N145" s="96"/>
      <c r="O145" s="1"/>
      <c r="P145" s="1"/>
      <c r="Q145" s="1"/>
      <c r="R145" s="1"/>
      <c r="S145" s="1"/>
      <c r="T145" s="1"/>
      <c r="U145" s="1"/>
      <c r="V145" s="1"/>
      <c r="W145" s="1"/>
      <c r="X145" s="1"/>
    </row>
    <row x14ac:dyDescent="0.25" r="146" customHeight="1" ht="15">
      <c r="A146" s="210"/>
      <c r="B146" s="413" t="s">
        <v>29</v>
      </c>
      <c r="C146" s="52">
        <f>$B$117/1000</f>
      </c>
      <c r="D146" s="53">
        <f>$C$117/1000</f>
      </c>
      <c r="E146" s="1"/>
      <c r="F146" s="1"/>
      <c r="G146" s="1"/>
      <c r="H146" s="1"/>
      <c r="I146" s="448"/>
      <c r="J146" s="1"/>
      <c r="K146" s="1"/>
      <c r="L146" s="1"/>
      <c r="M146" s="1"/>
      <c r="N146" s="96"/>
      <c r="O146" s="1"/>
      <c r="P146" s="1"/>
      <c r="Q146" s="1"/>
      <c r="R146" s="1"/>
      <c r="S146" s="1"/>
      <c r="T146" s="1"/>
      <c r="U146" s="1"/>
      <c r="V146" s="1"/>
      <c r="W146" s="1"/>
      <c r="X146" s="1"/>
    </row>
    <row x14ac:dyDescent="0.25" r="147" customHeight="1" ht="18.75">
      <c r="A147" s="210"/>
      <c r="B147" s="414"/>
      <c r="C147" s="415"/>
      <c r="D147" s="415"/>
      <c r="E147" s="1"/>
      <c r="F147" s="1"/>
      <c r="G147" s="1"/>
      <c r="H147" s="1"/>
      <c r="I147" s="448"/>
      <c r="J147" s="1"/>
      <c r="K147" s="1"/>
      <c r="L147" s="1"/>
      <c r="M147" s="1"/>
      <c r="N147" s="96"/>
      <c r="O147" s="1"/>
      <c r="P147" s="1"/>
      <c r="Q147" s="1"/>
      <c r="R147" s="1"/>
      <c r="S147" s="1"/>
      <c r="T147" s="1"/>
      <c r="U147" s="1"/>
      <c r="V147" s="1"/>
      <c r="W147" s="1"/>
      <c r="X147" s="1"/>
    </row>
    <row x14ac:dyDescent="0.25" r="148" customHeight="1" ht="15.75">
      <c r="A148" s="210"/>
      <c r="B148" s="416" t="s">
        <v>183</v>
      </c>
      <c r="C148" s="417"/>
      <c r="D148" s="418"/>
      <c r="E148" s="419"/>
      <c r="F148" s="419"/>
      <c r="G148" s="1"/>
      <c r="H148" s="1"/>
      <c r="I148" s="448"/>
      <c r="J148" s="1"/>
      <c r="K148" s="1"/>
      <c r="L148" s="1"/>
      <c r="M148" s="1"/>
      <c r="N148" s="96"/>
      <c r="O148" s="1"/>
      <c r="P148" s="1"/>
      <c r="Q148" s="1"/>
      <c r="R148" s="1"/>
      <c r="S148" s="1"/>
      <c r="T148" s="1"/>
      <c r="U148" s="1"/>
      <c r="V148" s="1"/>
      <c r="W148" s="1"/>
      <c r="X148" s="1"/>
    </row>
    <row x14ac:dyDescent="0.25" r="149" customHeight="1" ht="14.25">
      <c r="A149" s="210"/>
      <c r="B149" s="407" t="s">
        <v>30</v>
      </c>
      <c r="C149" s="408"/>
      <c r="D149" s="409"/>
      <c r="E149" s="1"/>
      <c r="F149" s="1"/>
      <c r="G149" s="1"/>
      <c r="H149" s="1"/>
      <c r="I149" s="448"/>
      <c r="J149" s="1"/>
      <c r="K149" s="1"/>
      <c r="L149" s="1"/>
      <c r="M149" s="1"/>
      <c r="N149" s="96"/>
      <c r="O149" s="1"/>
      <c r="P149" s="1"/>
      <c r="Q149" s="1"/>
      <c r="R149" s="1"/>
      <c r="S149" s="1"/>
      <c r="T149" s="1"/>
      <c r="U149" s="1"/>
      <c r="V149" s="1"/>
      <c r="W149" s="1"/>
      <c r="X149" s="1"/>
    </row>
    <row x14ac:dyDescent="0.25" r="150" customHeight="1" ht="14.25">
      <c r="A150" s="210"/>
      <c r="B150" s="410"/>
      <c r="C150" s="44" t="s">
        <v>31</v>
      </c>
      <c r="D150" s="411" t="s">
        <v>32</v>
      </c>
      <c r="E150" s="1"/>
      <c r="F150" s="1"/>
      <c r="G150" s="1"/>
      <c r="H150" s="1"/>
      <c r="I150" s="448"/>
      <c r="J150" s="1"/>
      <c r="K150" s="1"/>
      <c r="L150" s="1"/>
      <c r="M150" s="1"/>
      <c r="N150" s="96"/>
      <c r="O150" s="1"/>
      <c r="P150" s="1"/>
      <c r="Q150" s="1"/>
      <c r="R150" s="1"/>
      <c r="S150" s="1"/>
      <c r="T150" s="1"/>
      <c r="U150" s="1"/>
      <c r="V150" s="1"/>
      <c r="W150" s="1"/>
      <c r="X150" s="1"/>
    </row>
    <row x14ac:dyDescent="0.25" r="151" customHeight="1" ht="18.75">
      <c r="A151" s="210"/>
      <c r="B151" s="412" t="s">
        <v>28</v>
      </c>
      <c r="C151" s="49">
        <v>0</v>
      </c>
      <c r="D151" s="50">
        <f>$G$118*1000</f>
      </c>
      <c r="E151" s="1"/>
      <c r="F151" s="420"/>
      <c r="G151" s="1"/>
      <c r="H151" s="1"/>
      <c r="I151" s="448"/>
      <c r="J151" s="1"/>
      <c r="K151" s="1"/>
      <c r="L151" s="1"/>
      <c r="M151" s="1"/>
      <c r="N151" s="96"/>
      <c r="O151" s="1"/>
      <c r="P151" s="1"/>
      <c r="Q151" s="1"/>
      <c r="R151" s="1"/>
      <c r="S151" s="1"/>
      <c r="T151" s="1"/>
      <c r="U151" s="1"/>
      <c r="V151" s="1"/>
      <c r="W151" s="1"/>
      <c r="X151" s="1"/>
    </row>
    <row x14ac:dyDescent="0.25" r="152" customHeight="1" ht="15">
      <c r="A152" s="210"/>
      <c r="B152" s="413" t="s">
        <v>29</v>
      </c>
      <c r="C152" s="52">
        <f>$B$118*1000</f>
      </c>
      <c r="D152" s="53">
        <f>$C$118*1000</f>
      </c>
      <c r="E152" s="1"/>
      <c r="F152" s="420"/>
      <c r="G152" s="1"/>
      <c r="H152" s="1"/>
      <c r="I152" s="448"/>
      <c r="J152" s="1"/>
      <c r="K152" s="1"/>
      <c r="L152" s="1"/>
      <c r="M152" s="1"/>
      <c r="N152" s="96"/>
      <c r="O152" s="1"/>
      <c r="P152" s="1"/>
      <c r="Q152" s="1"/>
      <c r="R152" s="1"/>
      <c r="S152" s="1"/>
      <c r="T152" s="1"/>
      <c r="U152" s="1"/>
      <c r="V152" s="1"/>
      <c r="W152" s="1"/>
      <c r="X152" s="1"/>
    </row>
    <row x14ac:dyDescent="0.25" r="153" customHeight="1" ht="18.75">
      <c r="A153" s="210"/>
      <c r="B153" s="447"/>
      <c r="C153" s="2"/>
      <c r="D153" s="96"/>
      <c r="E153" s="1"/>
      <c r="F153" s="1"/>
      <c r="G153" s="1"/>
      <c r="H153" s="1"/>
      <c r="I153" s="448"/>
      <c r="J153" s="1"/>
      <c r="K153" s="1"/>
      <c r="L153" s="1"/>
      <c r="M153" s="1"/>
      <c r="N153" s="96"/>
      <c r="O153" s="1"/>
      <c r="P153" s="1"/>
      <c r="Q153" s="1"/>
      <c r="R153" s="1"/>
      <c r="S153" s="1"/>
      <c r="T153" s="1"/>
      <c r="U153" s="1"/>
      <c r="V153" s="1"/>
      <c r="W153" s="1"/>
      <c r="X153" s="1"/>
    </row>
    <row x14ac:dyDescent="0.25" r="154" customHeight="1" ht="15">
      <c r="A154" s="210"/>
      <c r="B154" s="421" t="s">
        <v>184</v>
      </c>
      <c r="C154" s="2"/>
      <c r="D154" s="96"/>
      <c r="E154" s="1"/>
      <c r="F154" s="1"/>
      <c r="G154" s="1"/>
      <c r="H154" s="1"/>
      <c r="I154" s="448"/>
      <c r="J154" s="1"/>
      <c r="K154" s="1"/>
      <c r="L154" s="1"/>
      <c r="M154" s="1"/>
      <c r="N154" s="96"/>
      <c r="O154" s="1"/>
      <c r="P154" s="1"/>
      <c r="Q154" s="1"/>
      <c r="R154" s="1"/>
      <c r="S154" s="1"/>
      <c r="T154" s="1"/>
      <c r="U154" s="1"/>
      <c r="V154" s="1"/>
      <c r="W154" s="1"/>
      <c r="X154" s="1"/>
    </row>
    <row x14ac:dyDescent="0.25" r="155" customHeight="1" ht="14.25">
      <c r="A155" s="210"/>
      <c r="B155" s="422" t="s">
        <v>20</v>
      </c>
      <c r="C155" s="423" t="s">
        <v>34</v>
      </c>
      <c r="D155" s="424" t="s">
        <v>34</v>
      </c>
      <c r="E155" s="425" t="s">
        <v>34</v>
      </c>
      <c r="F155" s="425" t="s">
        <v>35</v>
      </c>
      <c r="G155" s="426" t="s">
        <v>35</v>
      </c>
      <c r="H155" s="60"/>
      <c r="I155" s="427" t="s">
        <v>20</v>
      </c>
      <c r="J155" s="428" t="s">
        <v>21</v>
      </c>
      <c r="K155" s="1"/>
      <c r="L155" s="1"/>
      <c r="M155" s="1"/>
      <c r="N155" s="96"/>
      <c r="O155" s="1"/>
      <c r="P155" s="1"/>
      <c r="Q155" s="1"/>
      <c r="R155" s="1"/>
      <c r="S155" s="1"/>
      <c r="T155" s="1"/>
      <c r="U155" s="1"/>
      <c r="V155" s="1"/>
      <c r="W155" s="1"/>
      <c r="X155" s="1"/>
    </row>
    <row x14ac:dyDescent="0.25" r="156" customHeight="1" ht="18.75">
      <c r="A156" s="210"/>
      <c r="B156" s="429" t="s">
        <v>36</v>
      </c>
      <c r="C156" s="430" t="s">
        <v>37</v>
      </c>
      <c r="D156" s="431" t="s">
        <v>37</v>
      </c>
      <c r="E156" s="432" t="s">
        <v>37</v>
      </c>
      <c r="F156" s="432" t="s">
        <v>37</v>
      </c>
      <c r="G156" s="433" t="s">
        <v>37</v>
      </c>
      <c r="H156" s="67"/>
      <c r="I156" s="68"/>
      <c r="J156" s="69"/>
      <c r="K156" s="1"/>
      <c r="L156" s="1"/>
      <c r="M156" s="1"/>
      <c r="N156" s="96"/>
      <c r="O156" s="1"/>
      <c r="P156" s="1"/>
      <c r="Q156" s="1"/>
      <c r="R156" s="1"/>
      <c r="S156" s="1"/>
      <c r="T156" s="1"/>
      <c r="U156" s="1"/>
      <c r="V156" s="1"/>
      <c r="W156" s="1"/>
      <c r="X156" s="1"/>
    </row>
    <row x14ac:dyDescent="0.25" r="157" customHeight="1" ht="18.75">
      <c r="A157" s="210"/>
      <c r="B157" s="434">
        <f>SetPnt_P_0</f>
      </c>
      <c r="C157" s="71">
        <f>B124*1000</f>
      </c>
      <c r="D157" s="71">
        <f>C124*1000</f>
      </c>
      <c r="E157" s="71">
        <f>D124*1000</f>
      </c>
      <c r="F157" s="71">
        <f>E124*1000</f>
      </c>
      <c r="G157" s="72">
        <f>G124*1000</f>
      </c>
      <c r="H157" s="25"/>
      <c r="I157" s="73">
        <f>SetPnt_P_1</f>
      </c>
      <c r="J157" s="74">
        <f>J134</f>
      </c>
      <c r="K157" s="1"/>
      <c r="L157" s="1"/>
      <c r="M157" s="1"/>
      <c r="N157" s="96"/>
      <c r="O157" s="1"/>
      <c r="P157" s="1"/>
      <c r="Q157" s="1"/>
      <c r="R157" s="1"/>
      <c r="S157" s="1"/>
      <c r="T157" s="1"/>
      <c r="U157" s="1"/>
      <c r="V157" s="1"/>
      <c r="W157" s="1"/>
      <c r="X157" s="1"/>
    </row>
    <row x14ac:dyDescent="0.25" r="158" customHeight="1" ht="18.75">
      <c r="A158" s="210"/>
      <c r="B158" s="73">
        <f>SetPnt_P_1</f>
      </c>
      <c r="C158" s="75">
        <f>B125</f>
      </c>
      <c r="D158" s="75">
        <f>C125</f>
      </c>
      <c r="E158" s="75">
        <f>D125</f>
      </c>
      <c r="F158" s="75">
        <f>E125*1000</f>
      </c>
      <c r="G158" s="76">
        <f>G125*1000</f>
      </c>
      <c r="H158" s="25"/>
      <c r="I158" s="73">
        <f>SetPnt_P_2</f>
      </c>
      <c r="J158" s="74">
        <f>J135</f>
      </c>
      <c r="K158" s="1"/>
      <c r="L158" s="1"/>
      <c r="M158" s="1"/>
      <c r="N158" s="96"/>
      <c r="O158" s="1"/>
      <c r="P158" s="1"/>
      <c r="Q158" s="1"/>
      <c r="R158" s="1"/>
      <c r="S158" s="1"/>
      <c r="T158" s="1"/>
      <c r="U158" s="1"/>
      <c r="V158" s="1"/>
      <c r="W158" s="1"/>
      <c r="X158" s="1"/>
    </row>
    <row x14ac:dyDescent="0.25" r="159" customHeight="1" ht="18.75">
      <c r="A159" s="210"/>
      <c r="B159" s="73">
        <f>SetPnt_P_2</f>
      </c>
      <c r="C159" s="75">
        <f>B126</f>
      </c>
      <c r="D159" s="75">
        <f>C126</f>
      </c>
      <c r="E159" s="75">
        <f>D126</f>
      </c>
      <c r="F159" s="75">
        <f>E126*1000</f>
      </c>
      <c r="G159" s="76">
        <f>G126*1000</f>
      </c>
      <c r="H159" s="25"/>
      <c r="I159" s="73">
        <f>SetPnt_P_3</f>
      </c>
      <c r="J159" s="74">
        <f>J136</f>
      </c>
      <c r="K159" s="1"/>
      <c r="L159" s="1"/>
      <c r="M159" s="1"/>
      <c r="N159" s="96"/>
      <c r="O159" s="1"/>
      <c r="P159" s="1"/>
      <c r="Q159" s="1"/>
      <c r="R159" s="1"/>
      <c r="S159" s="1"/>
      <c r="T159" s="1"/>
      <c r="U159" s="1"/>
      <c r="V159" s="1"/>
      <c r="W159" s="1"/>
      <c r="X159" s="1"/>
    </row>
    <row x14ac:dyDescent="0.25" r="160" customHeight="1" ht="18.75">
      <c r="A160" s="210"/>
      <c r="B160" s="73">
        <f>SetPnt_P_3</f>
      </c>
      <c r="C160" s="75">
        <f>B127</f>
      </c>
      <c r="D160" s="75">
        <f>C127</f>
      </c>
      <c r="E160" s="75">
        <f>D127</f>
      </c>
      <c r="F160" s="75">
        <f>E127*1000</f>
      </c>
      <c r="G160" s="76">
        <f>G127*1000</f>
      </c>
      <c r="H160" s="25"/>
      <c r="I160" s="73">
        <f>SetPnt_P_4</f>
      </c>
      <c r="J160" s="74">
        <f>J137</f>
      </c>
      <c r="K160" s="1"/>
      <c r="L160" s="1"/>
      <c r="M160" s="1"/>
      <c r="N160" s="96"/>
      <c r="O160" s="1"/>
      <c r="P160" s="1"/>
      <c r="Q160" s="1"/>
      <c r="R160" s="1"/>
      <c r="S160" s="1"/>
      <c r="T160" s="1"/>
      <c r="U160" s="1"/>
      <c r="V160" s="1"/>
      <c r="W160" s="1"/>
      <c r="X160" s="1"/>
    </row>
    <row x14ac:dyDescent="0.25" r="161" customHeight="1" ht="15">
      <c r="A161" s="210"/>
      <c r="B161" s="73">
        <f>SetPnt_P_4</f>
      </c>
      <c r="C161" s="75">
        <f>B128</f>
      </c>
      <c r="D161" s="75">
        <f>C128</f>
      </c>
      <c r="E161" s="75">
        <f>D128</f>
      </c>
      <c r="F161" s="75">
        <f>E128*1000</f>
      </c>
      <c r="G161" s="76">
        <f>G128*1000</f>
      </c>
      <c r="H161" s="25"/>
      <c r="I161" s="77">
        <f>SetPnt_P_5</f>
      </c>
      <c r="J161" s="78">
        <f>J138</f>
      </c>
      <c r="K161" s="1"/>
      <c r="L161" s="1"/>
      <c r="M161" s="1"/>
      <c r="N161" s="96"/>
      <c r="O161" s="1"/>
      <c r="P161" s="1"/>
      <c r="Q161" s="1"/>
      <c r="R161" s="1"/>
      <c r="S161" s="1"/>
      <c r="T161" s="1"/>
      <c r="U161" s="1"/>
      <c r="V161" s="1"/>
      <c r="W161" s="1"/>
      <c r="X161" s="1"/>
    </row>
    <row x14ac:dyDescent="0.25" r="162" customHeight="1" ht="15">
      <c r="A162" s="210"/>
      <c r="B162" s="77">
        <f>SetPnt_P_5</f>
      </c>
      <c r="C162" s="79">
        <f>B129*1000</f>
      </c>
      <c r="D162" s="79">
        <f>C129*1000</f>
      </c>
      <c r="E162" s="79">
        <f>D129*1000</f>
      </c>
      <c r="F162" s="79">
        <f>E129*1000</f>
      </c>
      <c r="G162" s="80">
        <f>G129*1000</f>
      </c>
      <c r="H162" s="25"/>
      <c r="I162" s="23"/>
      <c r="J162" s="23"/>
      <c r="K162" s="1"/>
      <c r="L162" s="1"/>
      <c r="M162" s="1"/>
      <c r="N162" s="96"/>
      <c r="O162" s="1"/>
      <c r="P162" s="1"/>
      <c r="Q162" s="1"/>
      <c r="R162" s="1"/>
      <c r="S162" s="1"/>
      <c r="T162" s="1"/>
      <c r="U162" s="1"/>
      <c r="V162" s="1"/>
      <c r="W162" s="1"/>
      <c r="X162" s="1"/>
    </row>
    <row x14ac:dyDescent="0.25" r="163" customHeight="1" ht="18.75">
      <c r="A163" s="210"/>
      <c r="B163" s="447"/>
      <c r="C163" s="2"/>
      <c r="D163" s="96"/>
      <c r="E163" s="1"/>
      <c r="F163" s="1"/>
      <c r="G163" s="1"/>
      <c r="H163" s="1"/>
      <c r="I163" s="448"/>
      <c r="J163" s="1"/>
      <c r="K163" s="1"/>
      <c r="L163" s="1"/>
      <c r="M163" s="1"/>
      <c r="N163" s="96"/>
      <c r="O163" s="1"/>
      <c r="P163" s="1"/>
      <c r="Q163" s="1"/>
      <c r="R163" s="1"/>
      <c r="S163" s="1"/>
      <c r="T163" s="1"/>
      <c r="U163" s="1"/>
      <c r="V163" s="1"/>
      <c r="W163" s="1"/>
      <c r="X163" s="1"/>
    </row>
    <row x14ac:dyDescent="0.25" r="164" customHeight="1" ht="18.75">
      <c r="A164" s="210"/>
      <c r="B164" s="447"/>
      <c r="C164" s="2"/>
      <c r="D164" s="96"/>
      <c r="E164" s="1"/>
      <c r="F164" s="1"/>
      <c r="G164" s="1"/>
      <c r="H164" s="1"/>
      <c r="I164" s="448"/>
      <c r="J164" s="1"/>
      <c r="K164" s="1"/>
      <c r="L164" s="1"/>
      <c r="M164" s="1"/>
      <c r="N164" s="96"/>
      <c r="O164" s="1"/>
      <c r="P164" s="1"/>
      <c r="Q164" s="1"/>
      <c r="R164" s="1"/>
      <c r="S164" s="1"/>
      <c r="T164" s="1"/>
      <c r="U164" s="1"/>
      <c r="V164" s="1"/>
      <c r="W164" s="1"/>
      <c r="X164" s="1"/>
    </row>
    <row x14ac:dyDescent="0.25" r="165" customHeight="1" ht="25.8">
      <c r="A165" s="443" t="s">
        <v>185</v>
      </c>
      <c r="B165" s="444"/>
      <c r="C165" s="444"/>
      <c r="D165" s="445"/>
      <c r="E165" s="446"/>
      <c r="F165" s="446"/>
      <c r="G165" s="446"/>
      <c r="H165" s="446"/>
      <c r="I165" s="446"/>
      <c r="J165" s="446"/>
      <c r="K165" s="446"/>
      <c r="L165" s="446"/>
      <c r="M165" s="446"/>
      <c r="N165" s="445"/>
      <c r="O165" s="446"/>
      <c r="P165" s="446"/>
      <c r="Q165" s="446"/>
      <c r="R165" s="446"/>
      <c r="S165" s="446"/>
      <c r="T165" s="446"/>
      <c r="U165" s="446"/>
      <c r="V165" s="446"/>
      <c r="W165" s="446"/>
      <c r="X165" s="446"/>
    </row>
    <row x14ac:dyDescent="0.25" r="166" customHeight="1" ht="15">
      <c r="A166" s="210"/>
      <c r="B166" s="447"/>
      <c r="C166" s="2"/>
      <c r="D166" s="96"/>
      <c r="E166" s="1"/>
      <c r="F166" s="1"/>
      <c r="G166" s="1"/>
      <c r="H166" s="1"/>
      <c r="I166" s="448"/>
      <c r="J166" s="1"/>
      <c r="K166" s="1"/>
      <c r="L166" s="1"/>
      <c r="M166" s="1"/>
      <c r="N166" s="96"/>
      <c r="O166" s="1"/>
      <c r="P166" s="1"/>
      <c r="Q166" s="1"/>
      <c r="R166" s="1"/>
      <c r="S166" s="1"/>
      <c r="T166" s="1"/>
      <c r="U166" s="1"/>
      <c r="V166" s="1"/>
      <c r="W166" s="1"/>
      <c r="X166" s="1"/>
    </row>
    <row x14ac:dyDescent="0.25" r="167" customHeight="1" ht="18.6">
      <c r="A167" s="335" t="s">
        <v>186</v>
      </c>
      <c r="B167" s="336" t="s">
        <v>58</v>
      </c>
      <c r="C167" s="336" t="s">
        <v>59</v>
      </c>
      <c r="D167" s="337" t="s">
        <v>60</v>
      </c>
      <c r="E167" s="219"/>
      <c r="F167" s="335" t="s">
        <v>186</v>
      </c>
      <c r="G167" s="338" t="s">
        <v>47</v>
      </c>
      <c r="H167" s="339" t="s">
        <v>48</v>
      </c>
      <c r="I167" s="448"/>
      <c r="J167" s="1"/>
      <c r="K167" s="1"/>
      <c r="L167" s="1"/>
      <c r="M167" s="340"/>
      <c r="N167" s="340"/>
      <c r="O167" s="340"/>
      <c r="P167" s="1"/>
      <c r="Q167" s="1"/>
      <c r="R167" s="1"/>
      <c r="S167" s="1"/>
      <c r="T167" s="1"/>
      <c r="U167" s="1"/>
      <c r="V167" s="1"/>
      <c r="W167" s="1"/>
      <c r="X167" s="1"/>
    </row>
    <row x14ac:dyDescent="0.25" r="168" customHeight="1" ht="15">
      <c r="A168" s="341">
        <f>CONCATENATE("Cert [",EUnits,"/V]")</f>
      </c>
      <c r="B168" s="342">
        <f>'Check Q1 vs Q3 '!P17</f>
      </c>
      <c r="C168" s="342">
        <f>'Check Q1 vs Q3 '!Q17</f>
      </c>
      <c r="D168" s="342">
        <f>'Check Q1 vs Q3 '!R17</f>
      </c>
      <c r="E168" s="1"/>
      <c r="F168" s="344">
        <f>CONCATENATE("Cert [",EUnits,"/V]")</f>
      </c>
      <c r="G168" s="345">
        <f>'Check Q1 vs Q3 '!P13</f>
      </c>
      <c r="H168" s="346">
        <f>'Check Q1 vs Q3 '!Q13</f>
      </c>
      <c r="I168" s="448"/>
      <c r="J168" s="1"/>
      <c r="K168" s="1"/>
      <c r="L168" s="1"/>
      <c r="M168" s="1"/>
      <c r="N168" s="96"/>
      <c r="O168" s="340"/>
      <c r="P168" s="1"/>
      <c r="Q168" s="1"/>
      <c r="R168" s="1"/>
      <c r="S168" s="1"/>
      <c r="T168" s="1"/>
      <c r="U168" s="1"/>
      <c r="V168" s="1"/>
      <c r="W168" s="1"/>
      <c r="X168" s="1"/>
    </row>
    <row x14ac:dyDescent="0.25" r="169" customHeight="1" ht="15">
      <c r="A169" s="156">
        <f>CONCATENATE("Cert [V/",EUnits,"]")</f>
      </c>
      <c r="B169" s="347">
        <f>'Check Q1 vs Q3 '!P18</f>
      </c>
      <c r="C169" s="347">
        <f>'Check Q1 vs Q3 '!Q18</f>
      </c>
      <c r="D169" s="348">
        <f>'Check Q1 vs Q3 '!R18</f>
      </c>
      <c r="E169" s="1"/>
      <c r="F169" s="156">
        <f>CONCATENATE("Cert [V/",EUnits,"]")</f>
      </c>
      <c r="G169" s="349">
        <f>'Check Q1 vs Q3 '!P14</f>
      </c>
      <c r="H169" s="350">
        <f>'Check Q1 vs Q3 '!Q14</f>
      </c>
      <c r="I169" s="448"/>
      <c r="J169" s="1"/>
      <c r="K169" s="1"/>
      <c r="L169" s="1"/>
      <c r="M169" s="1"/>
      <c r="N169" s="96"/>
      <c r="O169" s="340"/>
      <c r="P169" s="1"/>
      <c r="Q169" s="1"/>
      <c r="R169" s="1"/>
      <c r="S169" s="1"/>
      <c r="T169" s="1"/>
      <c r="U169" s="1"/>
      <c r="V169" s="1"/>
      <c r="W169" s="1"/>
      <c r="X169" s="1"/>
    </row>
    <row x14ac:dyDescent="0.25" r="170" customHeight="1" ht="18.75">
      <c r="A170" s="210"/>
      <c r="B170" s="447"/>
      <c r="C170" s="2"/>
      <c r="D170" s="96"/>
      <c r="E170" s="1"/>
      <c r="F170" s="1"/>
      <c r="G170" s="1"/>
      <c r="H170" s="1"/>
      <c r="I170" s="448"/>
      <c r="J170" s="1"/>
      <c r="K170" s="1"/>
      <c r="L170" s="1"/>
      <c r="M170" s="1"/>
      <c r="N170" s="96"/>
      <c r="O170" s="1"/>
      <c r="P170" s="1"/>
      <c r="Q170" s="1"/>
      <c r="R170" s="1"/>
      <c r="S170" s="1"/>
      <c r="T170" s="1"/>
      <c r="U170" s="1"/>
      <c r="V170" s="1"/>
      <c r="W170" s="1"/>
      <c r="X170" s="1"/>
    </row>
    <row x14ac:dyDescent="0.25" r="171" customHeight="1" ht="18.6">
      <c r="A171" s="266" t="s">
        <v>187</v>
      </c>
      <c r="B171" s="351"/>
      <c r="C171" s="351"/>
      <c r="D171" s="352"/>
      <c r="E171" s="1"/>
      <c r="F171" s="1"/>
      <c r="G171" s="1"/>
      <c r="H171" s="1"/>
      <c r="I171" s="448"/>
      <c r="J171" s="1"/>
      <c r="K171" s="1"/>
      <c r="L171" s="1"/>
      <c r="M171" s="1"/>
      <c r="N171" s="96"/>
      <c r="O171" s="1"/>
      <c r="P171" s="340"/>
      <c r="Q171" s="1"/>
      <c r="R171" s="1"/>
      <c r="S171" s="1"/>
      <c r="T171" s="1"/>
      <c r="U171" s="1"/>
      <c r="V171" s="1"/>
      <c r="W171" s="1"/>
      <c r="X171" s="1"/>
    </row>
    <row x14ac:dyDescent="0.25" r="172" customHeight="1" ht="16.2">
      <c r="A172" s="353" t="s">
        <v>154</v>
      </c>
      <c r="B172" s="354" t="s">
        <v>155</v>
      </c>
      <c r="C172" s="355" t="s">
        <v>155</v>
      </c>
      <c r="D172" s="356" t="s">
        <v>155</v>
      </c>
      <c r="E172" s="357" t="s">
        <v>156</v>
      </c>
      <c r="F172" s="358" t="s">
        <v>157</v>
      </c>
      <c r="G172" s="359" t="s">
        <v>158</v>
      </c>
      <c r="H172" s="360" t="s">
        <v>159</v>
      </c>
      <c r="I172" s="361" t="s">
        <v>160</v>
      </c>
      <c r="J172" s="362"/>
      <c r="K172" s="363" t="s">
        <v>161</v>
      </c>
      <c r="L172" s="363" t="s">
        <v>162</v>
      </c>
      <c r="M172" s="363" t="s">
        <v>163</v>
      </c>
      <c r="N172" s="364" t="s">
        <v>164</v>
      </c>
      <c r="O172" s="363" t="s">
        <v>165</v>
      </c>
      <c r="P172" s="363" t="s">
        <v>166</v>
      </c>
      <c r="Q172" s="1"/>
      <c r="R172" s="272" t="s">
        <v>105</v>
      </c>
      <c r="S172" s="270"/>
      <c r="T172" s="270"/>
      <c r="U172" s="1"/>
      <c r="V172" s="1"/>
      <c r="W172" s="1"/>
      <c r="X172" s="1"/>
    </row>
    <row x14ac:dyDescent="0.25" r="173" customHeight="1" ht="29.399999999999995">
      <c r="A173" s="365"/>
      <c r="B173" s="366" t="s">
        <v>34</v>
      </c>
      <c r="C173" s="367" t="s">
        <v>34</v>
      </c>
      <c r="D173" s="368" t="s">
        <v>34</v>
      </c>
      <c r="E173" s="369" t="s">
        <v>35</v>
      </c>
      <c r="F173" s="370" t="s">
        <v>167</v>
      </c>
      <c r="G173" s="371" t="s">
        <v>35</v>
      </c>
      <c r="H173" s="16"/>
      <c r="I173" s="448"/>
      <c r="J173" s="362"/>
      <c r="K173" s="1"/>
      <c r="L173" s="1"/>
      <c r="M173" s="1"/>
      <c r="N173" s="96"/>
      <c r="O173" s="1"/>
      <c r="P173" s="1"/>
      <c r="Q173" s="1"/>
      <c r="R173" s="372"/>
      <c r="S173" s="373" t="s">
        <v>106</v>
      </c>
      <c r="T173" s="373" t="s">
        <v>168</v>
      </c>
      <c r="U173" s="1"/>
      <c r="V173" s="1"/>
      <c r="W173" s="1"/>
      <c r="X173" s="1"/>
    </row>
    <row x14ac:dyDescent="0.25" r="174" customHeight="1" ht="16.2">
      <c r="A174" s="374" t="s">
        <v>169</v>
      </c>
      <c r="B174" s="375" t="s">
        <v>170</v>
      </c>
      <c r="C174" s="376" t="s">
        <v>170</v>
      </c>
      <c r="D174" s="377" t="s">
        <v>170</v>
      </c>
      <c r="E174" s="378" t="s">
        <v>170</v>
      </c>
      <c r="F174" s="379" t="s">
        <v>170</v>
      </c>
      <c r="G174" s="380" t="s">
        <v>170</v>
      </c>
      <c r="H174" s="16"/>
      <c r="I174" s="448"/>
      <c r="J174" s="362"/>
      <c r="K174" s="1"/>
      <c r="L174" s="1"/>
      <c r="M174" s="1"/>
      <c r="N174" s="96"/>
      <c r="O174" s="1"/>
      <c r="P174" s="1"/>
      <c r="Q174" s="1"/>
      <c r="R174" s="381" t="s">
        <v>171</v>
      </c>
      <c r="S174" s="382">
        <f>E175</f>
      </c>
      <c r="T174" s="383">
        <f>SetPnt_N_0</f>
      </c>
      <c r="U174" s="1"/>
      <c r="V174" s="1"/>
      <c r="W174" s="1"/>
      <c r="X174" s="1"/>
    </row>
    <row x14ac:dyDescent="0.25" r="175" customHeight="1" ht="15.6">
      <c r="A175" s="384">
        <f>A124</f>
      </c>
      <c r="B175" s="385">
        <f>B124</f>
      </c>
      <c r="C175" s="385">
        <f>C124</f>
      </c>
      <c r="D175" s="385">
        <f>D124</f>
      </c>
      <c r="E175" s="385">
        <f>E124</f>
      </c>
      <c r="F175" s="435">
        <f>F124</f>
      </c>
      <c r="G175" s="385">
        <f>G124</f>
      </c>
      <c r="H175" s="387">
        <f>$B$169*A175^2 + $C$169*A175+$D$169</f>
      </c>
      <c r="I175" s="387">
        <f>A175*$G$169+$H$169</f>
      </c>
      <c r="J175" s="387"/>
      <c r="K175" s="387">
        <f>AVERAGE(E175:G175)</f>
      </c>
      <c r="L175" s="387">
        <f>ABS(E175-G175)</f>
      </c>
      <c r="M175" s="387">
        <f>SQRT((E175-K175)^2+(G175-K175)^2)</f>
      </c>
      <c r="N175" s="387">
        <f>(ABS(E175-F175) )</f>
      </c>
      <c r="O175" s="387">
        <f>I175-K175</f>
      </c>
      <c r="P175" s="387">
        <f>H175-K175</f>
      </c>
      <c r="Q175" s="1"/>
      <c r="R175" s="381"/>
      <c r="S175" s="382">
        <f>E176</f>
      </c>
      <c r="T175" s="388">
        <f>SetPnt_N_1</f>
      </c>
      <c r="U175" s="1"/>
      <c r="V175" s="1"/>
      <c r="W175" s="1"/>
      <c r="X175" s="1"/>
    </row>
    <row x14ac:dyDescent="0.25" r="176" customHeight="1" ht="15.6">
      <c r="A176" s="389">
        <f>A125</f>
      </c>
      <c r="B176" s="436">
        <f>B125</f>
      </c>
      <c r="C176" s="436">
        <f>C125</f>
      </c>
      <c r="D176" s="436">
        <f>D125</f>
      </c>
      <c r="E176" s="385">
        <f>E125</f>
      </c>
      <c r="F176" s="435">
        <f>F125</f>
      </c>
      <c r="G176" s="385">
        <f>G125</f>
      </c>
      <c r="H176" s="387">
        <f>$B$169*A176^2 + $C$169*A176+$D$169</f>
      </c>
      <c r="I176" s="387">
        <f>A176*$G$169+$H$169</f>
      </c>
      <c r="J176" s="387"/>
      <c r="K176" s="387">
        <f>AVERAGE(E176:G176)</f>
      </c>
      <c r="L176" s="387">
        <f>ABS(E176-G176)</f>
      </c>
      <c r="M176" s="387">
        <f>SQRT((E176-K176)^2+(G176-K176)^2)</f>
      </c>
      <c r="N176" s="387">
        <f>(ABS(E176-F176) )</f>
      </c>
      <c r="O176" s="387">
        <f>I176-K176</f>
      </c>
      <c r="P176" s="387">
        <f>H176-K176</f>
      </c>
      <c r="Q176" s="1"/>
      <c r="R176" s="381"/>
      <c r="S176" s="382">
        <f>E177</f>
      </c>
      <c r="T176" s="388">
        <f>SetPnt_N_2</f>
      </c>
      <c r="U176" s="1"/>
      <c r="V176" s="1"/>
      <c r="W176" s="1"/>
      <c r="X176" s="1"/>
    </row>
    <row x14ac:dyDescent="0.25" r="177" customHeight="1" ht="15.6">
      <c r="A177" s="389">
        <f>A126</f>
      </c>
      <c r="B177" s="436">
        <f>B126</f>
      </c>
      <c r="C177" s="436">
        <f>C126</f>
      </c>
      <c r="D177" s="436">
        <f>D126</f>
      </c>
      <c r="E177" s="385">
        <f>E126</f>
      </c>
      <c r="F177" s="435">
        <f>F126</f>
      </c>
      <c r="G177" s="385">
        <f>G126</f>
      </c>
      <c r="H177" s="387">
        <f>$B$169*A177^2 + $C$169*A177+$D$169</f>
      </c>
      <c r="I177" s="387">
        <f>A177*$G$169+$H$169</f>
      </c>
      <c r="J177" s="387"/>
      <c r="K177" s="387">
        <f>AVERAGE(E177:G177)</f>
      </c>
      <c r="L177" s="387">
        <f>ABS(E177-G177)</f>
      </c>
      <c r="M177" s="387">
        <f>SQRT((E177-K177)^2+(G177-K177)^2)</f>
      </c>
      <c r="N177" s="387">
        <f>(ABS(E177-F177) )</f>
      </c>
      <c r="O177" s="387">
        <f>I177-K177</f>
      </c>
      <c r="P177" s="387">
        <f>H177-K177</f>
      </c>
      <c r="Q177" s="1"/>
      <c r="R177" s="381"/>
      <c r="S177" s="382">
        <f>E178</f>
      </c>
      <c r="T177" s="388">
        <f>SetPnt_N_3</f>
      </c>
      <c r="U177" s="1"/>
      <c r="V177" s="1"/>
      <c r="W177" s="1"/>
      <c r="X177" s="1"/>
    </row>
    <row x14ac:dyDescent="0.25" r="178" customHeight="1" ht="15.6">
      <c r="A178" s="389">
        <f>A127</f>
      </c>
      <c r="B178" s="436">
        <f>B127</f>
      </c>
      <c r="C178" s="436">
        <f>C127</f>
      </c>
      <c r="D178" s="436">
        <f>D127</f>
      </c>
      <c r="E178" s="385">
        <f>E127</f>
      </c>
      <c r="F178" s="435">
        <f>F127</f>
      </c>
      <c r="G178" s="385">
        <f>G127</f>
      </c>
      <c r="H178" s="387">
        <f>$B$169*A178^2 + $C$169*A178+$D$169</f>
      </c>
      <c r="I178" s="387">
        <f>A178*$G$169+$H$169</f>
      </c>
      <c r="J178" s="387"/>
      <c r="K178" s="387">
        <f>AVERAGE(E178:G178)</f>
      </c>
      <c r="L178" s="387">
        <f>ABS(E178-G178)</f>
      </c>
      <c r="M178" s="387">
        <f>SQRT((E178-K178)^2+(G178-K178)^2)</f>
      </c>
      <c r="N178" s="387">
        <f>(ABS(E178-F178) )</f>
      </c>
      <c r="O178" s="387">
        <f>I178-K178</f>
      </c>
      <c r="P178" s="387">
        <f>H178-K178</f>
      </c>
      <c r="Q178" s="1"/>
      <c r="R178" s="381"/>
      <c r="S178" s="382">
        <f>E179</f>
      </c>
      <c r="T178" s="388">
        <f>SetPnt_N_4</f>
      </c>
      <c r="U178" s="1"/>
      <c r="V178" s="1"/>
      <c r="W178" s="1"/>
      <c r="X178" s="1"/>
    </row>
    <row x14ac:dyDescent="0.25" r="179" customHeight="1" ht="15.6">
      <c r="A179" s="389">
        <f>A128</f>
      </c>
      <c r="B179" s="436">
        <f>B128</f>
      </c>
      <c r="C179" s="436">
        <f>C128</f>
      </c>
      <c r="D179" s="436">
        <f>D128</f>
      </c>
      <c r="E179" s="385">
        <f>E128</f>
      </c>
      <c r="F179" s="435">
        <f>F128</f>
      </c>
      <c r="G179" s="385">
        <f>G128</f>
      </c>
      <c r="H179" s="387">
        <f>$B$169*A179^2 + $C$169*A179+$D$169</f>
      </c>
      <c r="I179" s="387">
        <f>A179*$G$169+$H$169</f>
      </c>
      <c r="J179" s="387"/>
      <c r="K179" s="387">
        <f>AVERAGE(E179:G179)</f>
      </c>
      <c r="L179" s="387">
        <f>ABS(E179-G179)</f>
      </c>
      <c r="M179" s="387">
        <f>SQRT((E179-K179)^2+(G179-K179)^2)</f>
      </c>
      <c r="N179" s="387">
        <f>(ABS(E179-F179) )</f>
      </c>
      <c r="O179" s="387">
        <f>I179-K179</f>
      </c>
      <c r="P179" s="387">
        <f>H179-K179</f>
      </c>
      <c r="Q179" s="1"/>
      <c r="R179" s="392"/>
      <c r="S179" s="393">
        <f>E180</f>
      </c>
      <c r="T179" s="388">
        <f>SetPnt_N_5</f>
      </c>
      <c r="U179" s="1"/>
      <c r="V179" s="1"/>
      <c r="W179" s="1"/>
      <c r="X179" s="1"/>
    </row>
    <row x14ac:dyDescent="0.25" r="180" customHeight="1" ht="15.6">
      <c r="A180" s="389">
        <f>A129</f>
      </c>
      <c r="B180" s="385">
        <f>B129</f>
      </c>
      <c r="C180" s="385">
        <f>C129</f>
      </c>
      <c r="D180" s="385">
        <f>D129</f>
      </c>
      <c r="E180" s="385">
        <f>E129</f>
      </c>
      <c r="F180" s="435">
        <f>F129</f>
      </c>
      <c r="G180" s="385">
        <f>G129</f>
      </c>
      <c r="H180" s="387">
        <f>$B$169*A180^2 + $C$169*A180+$D$169</f>
      </c>
      <c r="I180" s="387">
        <f>A180*$G$169+$H$169</f>
      </c>
      <c r="J180" s="387"/>
      <c r="K180" s="387">
        <f>AVERAGE(E180:G180)</f>
      </c>
      <c r="L180" s="387">
        <f>ABS(E180-G180)</f>
      </c>
      <c r="M180" s="387">
        <f>SQRT((E180-K180)^2+(G180-K180)^2)</f>
      </c>
      <c r="N180" s="387">
        <f>(ABS(E180-F180) )</f>
      </c>
      <c r="O180" s="387">
        <f>I180-K180</f>
      </c>
      <c r="P180" s="387">
        <f>H180-K180</f>
      </c>
      <c r="Q180" s="1"/>
      <c r="R180" s="381" t="s">
        <v>141</v>
      </c>
      <c r="S180" s="382">
        <f>G175</f>
      </c>
      <c r="T180" s="383">
        <f>SetPnt_N_0</f>
      </c>
      <c r="U180" s="1"/>
      <c r="V180" s="1"/>
      <c r="W180" s="1"/>
      <c r="X180" s="1"/>
    </row>
    <row x14ac:dyDescent="0.25" r="181" customHeight="1" ht="18.75">
      <c r="A181" s="210"/>
      <c r="B181" s="447"/>
      <c r="C181" s="2"/>
      <c r="D181" s="96"/>
      <c r="E181" s="1"/>
      <c r="F181" s="1"/>
      <c r="G181" s="1"/>
      <c r="H181" s="1"/>
      <c r="I181" s="448"/>
      <c r="J181" s="1"/>
      <c r="K181" s="1"/>
      <c r="L181" s="1"/>
      <c r="M181" s="1"/>
      <c r="N181" s="96"/>
      <c r="O181" s="1"/>
      <c r="P181" s="312"/>
      <c r="Q181" s="1"/>
      <c r="R181" s="299"/>
      <c r="S181" s="382">
        <f>G176</f>
      </c>
      <c r="T181" s="388">
        <f>SetPnt_N_1</f>
      </c>
      <c r="U181" s="1"/>
      <c r="V181" s="1"/>
      <c r="W181" s="1"/>
      <c r="X181" s="1"/>
    </row>
    <row x14ac:dyDescent="0.25" r="182" customHeight="1" ht="18.6">
      <c r="A182" s="266" t="s">
        <v>188</v>
      </c>
      <c r="B182" s="447"/>
      <c r="C182" s="2"/>
      <c r="D182" s="96"/>
      <c r="E182" s="1"/>
      <c r="F182" s="1"/>
      <c r="G182" s="1"/>
      <c r="H182" s="1"/>
      <c r="I182" s="448"/>
      <c r="J182" s="1"/>
      <c r="K182" s="1"/>
      <c r="L182" s="1"/>
      <c r="M182" s="1"/>
      <c r="N182" s="96"/>
      <c r="O182" s="1"/>
      <c r="P182" s="312"/>
      <c r="Q182" s="1"/>
      <c r="R182" s="299"/>
      <c r="S182" s="382">
        <f>G177</f>
      </c>
      <c r="T182" s="388">
        <f>SetPnt_N_2</f>
      </c>
      <c r="U182" s="1"/>
      <c r="V182" s="1"/>
      <c r="W182" s="1"/>
      <c r="X182" s="1"/>
    </row>
    <row x14ac:dyDescent="0.25" r="183" customHeight="1" ht="15">
      <c r="A183" s="394" t="s">
        <v>20</v>
      </c>
      <c r="B183" s="395" t="s">
        <v>174</v>
      </c>
      <c r="C183" s="395" t="s">
        <v>175</v>
      </c>
      <c r="D183" s="396" t="s">
        <v>176</v>
      </c>
      <c r="E183" s="397" t="s">
        <v>177</v>
      </c>
      <c r="F183" s="397" t="s">
        <v>178</v>
      </c>
      <c r="G183" s="397" t="s">
        <v>179</v>
      </c>
      <c r="H183" s="397" t="s">
        <v>180</v>
      </c>
      <c r="I183" s="397" t="s">
        <v>178</v>
      </c>
      <c r="J183" s="397" t="s">
        <v>179</v>
      </c>
      <c r="K183" s="16"/>
      <c r="L183" s="1"/>
      <c r="M183" s="340"/>
      <c r="N183" s="396" t="s">
        <v>176</v>
      </c>
      <c r="O183" s="1"/>
      <c r="P183" s="312"/>
      <c r="Q183" s="1"/>
      <c r="R183" s="299"/>
      <c r="S183" s="382">
        <f>G178</f>
      </c>
      <c r="T183" s="388">
        <f>SetPnt_N_3</f>
      </c>
      <c r="U183" s="1"/>
      <c r="V183" s="1"/>
      <c r="W183" s="1"/>
      <c r="X183" s="1"/>
    </row>
    <row x14ac:dyDescent="0.25" r="184" customHeight="1" ht="18.75">
      <c r="A184" s="389">
        <f>A175</f>
      </c>
      <c r="B184" s="399">
        <f>L175*100 / (SQRT(2)*K175)</f>
      </c>
      <c r="C184" s="399">
        <f>M175*100 / (SQRT(2)*K175)</f>
      </c>
      <c r="D184" s="400">
        <v>0.469</v>
      </c>
      <c r="E184" s="401">
        <f>ABS(O175)*100 / (SQRT(6)*I175)</f>
      </c>
      <c r="F184" s="401">
        <f>SQRT((B184^2 + C184^2+D184^2+E184^2))</f>
      </c>
      <c r="G184" s="402">
        <f>F184*2</f>
      </c>
      <c r="H184" s="403">
        <f>ABS(P175)*100 / (SQRT(6)*H175)</f>
      </c>
      <c r="I184" s="401">
        <f>SQRT((B184^2 + C184^2+H184^2+D184^2))</f>
      </c>
      <c r="J184" s="401">
        <f>I184*2</f>
      </c>
      <c r="K184" s="1"/>
      <c r="L184" s="1"/>
      <c r="M184" s="340"/>
      <c r="N184" s="400">
        <v>0.469</v>
      </c>
      <c r="O184" s="1"/>
      <c r="P184" s="312"/>
      <c r="Q184" s="1"/>
      <c r="R184" s="299"/>
      <c r="S184" s="382">
        <f>G179</f>
      </c>
      <c r="T184" s="388">
        <f>SetPnt_N_4</f>
      </c>
      <c r="U184" s="1"/>
      <c r="V184" s="1"/>
      <c r="W184" s="1"/>
      <c r="X184" s="1"/>
    </row>
    <row x14ac:dyDescent="0.25" r="185" customHeight="1" ht="18.75">
      <c r="A185" s="389">
        <f>A176</f>
      </c>
      <c r="B185" s="399">
        <f>L176*100 / (SQRT(2)*K176)</f>
      </c>
      <c r="C185" s="399">
        <f>M176*100 / (SQRT(2)*K176)</f>
      </c>
      <c r="D185" s="400">
        <v>0.109</v>
      </c>
      <c r="E185" s="401">
        <f>ABS(O176)*100 / (SQRT(6)*I176)</f>
      </c>
      <c r="F185" s="401">
        <f>SQRT((B185^2 + C185^2+D185^2+E185^2))</f>
      </c>
      <c r="G185" s="402">
        <f>F185*2</f>
      </c>
      <c r="H185" s="403">
        <f>ABS(P176)*100 / (SQRT(6)*H176)</f>
      </c>
      <c r="I185" s="401">
        <f>SQRT((B185^2 + C185^2+H185^2+D185^2))</f>
      </c>
      <c r="J185" s="404">
        <f>I185*2</f>
      </c>
      <c r="K185" s="1"/>
      <c r="L185" s="1"/>
      <c r="M185" s="340"/>
      <c r="N185" s="400">
        <v>0.469</v>
      </c>
      <c r="O185" s="1"/>
      <c r="P185" s="312"/>
      <c r="Q185" s="1"/>
      <c r="R185" s="299"/>
      <c r="S185" s="382">
        <f>G180</f>
      </c>
      <c r="T185" s="388">
        <f>SetPnt_N_5</f>
      </c>
      <c r="U185" s="1"/>
      <c r="V185" s="1"/>
      <c r="W185" s="1"/>
      <c r="X185" s="1"/>
    </row>
    <row x14ac:dyDescent="0.25" r="186" customHeight="1" ht="18.75">
      <c r="A186" s="389">
        <f>A177</f>
      </c>
      <c r="B186" s="399">
        <f>L177*100 / (SQRT(2)*K177)</f>
      </c>
      <c r="C186" s="399">
        <f>M177*100 / (SQRT(2)*K177)</f>
      </c>
      <c r="D186" s="400">
        <v>0.109</v>
      </c>
      <c r="E186" s="401">
        <f>ABS(O177)*100 / (SQRT(6)*I177)</f>
      </c>
      <c r="F186" s="401">
        <f>SQRT((B186^2 + C186^2+D186^2+E186^2))</f>
      </c>
      <c r="G186" s="402">
        <f>F186*2</f>
      </c>
      <c r="H186" s="403">
        <f>ABS(P177)*100 / (SQRT(6)*H177)</f>
      </c>
      <c r="I186" s="401">
        <f>SQRT((B186^2 + C186^2+H186^2+D186^2))</f>
      </c>
      <c r="J186" s="404">
        <f>I186*2</f>
      </c>
      <c r="K186" s="1"/>
      <c r="L186" s="1"/>
      <c r="M186" s="340"/>
      <c r="N186" s="400">
        <v>0.109</v>
      </c>
      <c r="O186" s="1"/>
      <c r="P186" s="312"/>
      <c r="Q186" s="1"/>
      <c r="R186" s="1"/>
      <c r="S186" s="1"/>
      <c r="T186" s="1"/>
      <c r="U186" s="1"/>
      <c r="V186" s="1"/>
      <c r="W186" s="1"/>
      <c r="X186" s="1"/>
    </row>
    <row x14ac:dyDescent="0.25" r="187" customHeight="1" ht="18.75">
      <c r="A187" s="389">
        <f>A178</f>
      </c>
      <c r="B187" s="399">
        <f>L178*100 / (SQRT(2)*K178)</f>
      </c>
      <c r="C187" s="399">
        <f>M178*100 / (SQRT(2)*K178)</f>
      </c>
      <c r="D187" s="400">
        <v>0.109</v>
      </c>
      <c r="E187" s="401">
        <f>ABS(O178)*100 / (SQRT(6)*I178)</f>
      </c>
      <c r="F187" s="401">
        <f>SQRT((B187^2 + C187^2+D187^2+E187^2))</f>
      </c>
      <c r="G187" s="402">
        <f>F187*2</f>
      </c>
      <c r="H187" s="403">
        <f>ABS(P178)*100 / (SQRT(6)*H178)</f>
      </c>
      <c r="I187" s="401">
        <f>SQRT((B187^2 + C187^2+H187^2+D187^2))</f>
      </c>
      <c r="J187" s="404">
        <f>I187*2</f>
      </c>
      <c r="K187" s="1"/>
      <c r="L187" s="1"/>
      <c r="M187" s="340"/>
      <c r="N187" s="400">
        <v>0.109</v>
      </c>
      <c r="O187" s="1"/>
      <c r="P187" s="312"/>
      <c r="Q187" s="1"/>
      <c r="R187" s="1"/>
      <c r="S187" s="1"/>
      <c r="T187" s="1"/>
      <c r="U187" s="1"/>
      <c r="V187" s="1"/>
      <c r="W187" s="1"/>
      <c r="X187" s="1"/>
    </row>
    <row x14ac:dyDescent="0.25" r="188" customHeight="1" ht="18.75">
      <c r="A188" s="389">
        <f>A179</f>
      </c>
      <c r="B188" s="399">
        <f>L179*100 / (SQRT(2)*K179)</f>
      </c>
      <c r="C188" s="399">
        <f>M179*100 / (SQRT(2)*K179)</f>
      </c>
      <c r="D188" s="400">
        <v>0.108</v>
      </c>
      <c r="E188" s="401">
        <f>ABS(O179)*100 / (SQRT(6)*I179)</f>
      </c>
      <c r="F188" s="401">
        <f>SQRT((B188^2 + C188^2+D188^2+E188^2))</f>
      </c>
      <c r="G188" s="402">
        <f>F188*2</f>
      </c>
      <c r="H188" s="403">
        <f>ABS(P179)*100 / (SQRT(6)*H179)</f>
      </c>
      <c r="I188" s="401">
        <f>SQRT((B188^2 + C188^2+H188^2+D188^2))</f>
      </c>
      <c r="J188" s="404">
        <f>I188*2</f>
      </c>
      <c r="K188" s="1"/>
      <c r="L188" s="1"/>
      <c r="M188" s="340"/>
      <c r="N188" s="400">
        <v>0.108</v>
      </c>
      <c r="O188" s="1"/>
      <c r="P188" s="312"/>
      <c r="Q188" s="1"/>
      <c r="R188" s="1"/>
      <c r="S188" s="1"/>
      <c r="T188" s="1"/>
      <c r="U188" s="1"/>
      <c r="V188" s="1"/>
      <c r="W188" s="1"/>
      <c r="X188" s="1"/>
    </row>
    <row x14ac:dyDescent="0.25" r="189" customHeight="1" ht="18.75">
      <c r="A189" s="389">
        <f>A180</f>
      </c>
      <c r="B189" s="399">
        <f>L180*100 / (SQRT(2)*K180)</f>
      </c>
      <c r="C189" s="399">
        <f>M180*100 / (SQRT(2)*K180)</f>
      </c>
      <c r="D189" s="400">
        <v>0.098</v>
      </c>
      <c r="E189" s="401">
        <f>ABS(O180)*100 / (SQRT(6)*I180)</f>
      </c>
      <c r="F189" s="401">
        <f>SQRT((B189^2 + C189^2+D189^2+E189^2))</f>
      </c>
      <c r="G189" s="402">
        <f>F189*2</f>
      </c>
      <c r="H189" s="403">
        <f>ABS(P180)*100 / (SQRT(6)*H180)</f>
      </c>
      <c r="I189" s="401">
        <f>SQRT((B189^2 + C189^2+H189^2+D189^2))</f>
      </c>
      <c r="J189" s="404">
        <f>I189*2</f>
      </c>
      <c r="K189" s="1"/>
      <c r="L189" s="1"/>
      <c r="M189" s="340"/>
      <c r="N189" s="400">
        <v>0.098</v>
      </c>
      <c r="O189" s="1"/>
      <c r="P189" s="1"/>
      <c r="Q189" s="1"/>
      <c r="R189" s="1"/>
      <c r="S189" s="1"/>
      <c r="T189" s="1"/>
      <c r="U189" s="1"/>
      <c r="V189" s="1"/>
      <c r="W189" s="1"/>
      <c r="X189" s="1"/>
    </row>
    <row x14ac:dyDescent="0.25" r="190" customHeight="1" ht="18.75">
      <c r="A190" s="210"/>
      <c r="B190" s="447"/>
      <c r="C190" s="2"/>
      <c r="D190" s="96"/>
      <c r="E190" s="1"/>
      <c r="F190" s="1"/>
      <c r="G190" s="1"/>
      <c r="H190" s="1"/>
      <c r="I190" s="448"/>
      <c r="J190" s="1"/>
      <c r="K190" s="1"/>
      <c r="L190" s="1"/>
      <c r="M190" s="1"/>
      <c r="N190" s="96"/>
      <c r="O190" s="1"/>
      <c r="P190" s="1"/>
      <c r="Q190" s="1"/>
      <c r="R190" s="1"/>
      <c r="S190" s="1"/>
      <c r="T190" s="1"/>
      <c r="U190" s="1"/>
      <c r="V190" s="1"/>
      <c r="W190" s="1"/>
      <c r="X190" s="1"/>
    </row>
    <row x14ac:dyDescent="0.25" r="191" customHeight="1" ht="18.75">
      <c r="A191" s="210"/>
      <c r="B191" s="447"/>
      <c r="C191" s="2"/>
      <c r="D191" s="96"/>
      <c r="E191" s="1"/>
      <c r="F191" s="1"/>
      <c r="G191" s="1"/>
      <c r="H191" s="1"/>
      <c r="I191" s="448"/>
      <c r="J191" s="1"/>
      <c r="K191" s="1"/>
      <c r="L191" s="1"/>
      <c r="M191" s="1"/>
      <c r="N191" s="96"/>
      <c r="O191" s="1"/>
      <c r="P191" s="1"/>
      <c r="Q191" s="1"/>
      <c r="R191" s="1"/>
      <c r="S191" s="1"/>
      <c r="T191" s="1"/>
      <c r="U191" s="1"/>
      <c r="V191" s="1"/>
      <c r="W191" s="1"/>
      <c r="X191" s="1"/>
    </row>
    <row x14ac:dyDescent="0.25" r="192" customHeight="1" ht="16.2">
      <c r="A192" s="210" t="s">
        <v>19</v>
      </c>
      <c r="B192" s="18"/>
      <c r="C192" s="2"/>
      <c r="D192" s="96"/>
      <c r="E192" s="1"/>
      <c r="F192" s="1"/>
      <c r="G192" s="1"/>
      <c r="H192" s="1"/>
      <c r="I192" s="26"/>
      <c r="J192" s="1"/>
      <c r="K192" s="1"/>
      <c r="L192" s="1"/>
      <c r="M192" s="1"/>
      <c r="N192" s="96"/>
      <c r="O192" s="1"/>
      <c r="P192" s="1"/>
      <c r="Q192" s="1"/>
      <c r="R192" s="1"/>
      <c r="S192" s="1"/>
      <c r="T192" s="1"/>
      <c r="U192" s="1"/>
      <c r="V192" s="1"/>
      <c r="W192" s="1"/>
      <c r="X192" s="1"/>
    </row>
    <row x14ac:dyDescent="0.25" r="193" customHeight="1" ht="15">
      <c r="A193" s="11"/>
      <c r="B193" s="18"/>
      <c r="C193" s="2"/>
      <c r="D193" s="96"/>
      <c r="E193" s="1"/>
      <c r="F193" s="1"/>
      <c r="G193" s="1"/>
      <c r="H193" s="1"/>
      <c r="I193" s="26"/>
      <c r="J193" s="1"/>
      <c r="K193" s="1"/>
      <c r="L193" s="1"/>
      <c r="M193" s="1"/>
      <c r="N193" s="96"/>
      <c r="O193" s="1"/>
      <c r="P193" s="1"/>
      <c r="Q193" s="1"/>
      <c r="R193" s="1"/>
      <c r="S193" s="1"/>
      <c r="T193" s="1"/>
      <c r="U193" s="1"/>
      <c r="V193" s="1"/>
      <c r="W193" s="1"/>
      <c r="X193" s="1"/>
    </row>
    <row x14ac:dyDescent="0.25" r="194" customHeight="1" ht="18.75">
      <c r="A194" s="11"/>
      <c r="B194" s="447"/>
      <c r="C194" s="437" t="s">
        <v>20</v>
      </c>
      <c r="D194" s="438"/>
      <c r="E194" s="29">
        <f>A185</f>
      </c>
      <c r="F194" s="29">
        <f>A186</f>
      </c>
      <c r="G194" s="29">
        <f>A187</f>
      </c>
      <c r="H194" s="29">
        <f>A188</f>
      </c>
      <c r="I194" s="30">
        <f>A189</f>
      </c>
      <c r="J194" s="1"/>
      <c r="K194" s="1"/>
      <c r="L194" s="1"/>
      <c r="M194" s="1"/>
      <c r="N194" s="96"/>
      <c r="O194" s="1"/>
      <c r="P194" s="1"/>
      <c r="Q194" s="1"/>
      <c r="R194" s="1"/>
      <c r="S194" s="1"/>
      <c r="T194" s="1"/>
      <c r="U194" s="1"/>
      <c r="V194" s="1"/>
      <c r="W194" s="1"/>
      <c r="X194" s="1"/>
    </row>
    <row x14ac:dyDescent="0.25" r="195" customHeight="1" ht="15">
      <c r="A195" s="11"/>
      <c r="B195" s="447"/>
      <c r="C195" s="439" t="s">
        <v>21</v>
      </c>
      <c r="D195" s="440"/>
      <c r="E195" s="33">
        <f>1/100*J185</f>
      </c>
      <c r="F195" s="33">
        <f>1/100*J186</f>
      </c>
      <c r="G195" s="33">
        <f>1/100*J187</f>
      </c>
      <c r="H195" s="33">
        <f>1/100*J188</f>
      </c>
      <c r="I195" s="34">
        <f>1/100*J189</f>
      </c>
      <c r="J195" s="1"/>
      <c r="K195" s="1"/>
      <c r="L195" s="1"/>
      <c r="M195" s="1"/>
      <c r="N195" s="96"/>
      <c r="O195" s="1"/>
      <c r="P195" s="1"/>
      <c r="Q195" s="1"/>
      <c r="R195" s="1"/>
      <c r="S195" s="1"/>
      <c r="T195" s="1"/>
      <c r="U195" s="1"/>
      <c r="V195" s="1"/>
      <c r="W195" s="1"/>
      <c r="X195" s="1"/>
    </row>
    <row x14ac:dyDescent="0.25" r="196" customHeight="1" ht="18.75">
      <c r="A196" s="11"/>
      <c r="B196" s="18"/>
      <c r="C196" s="2"/>
      <c r="D196" s="96"/>
      <c r="E196" s="1"/>
      <c r="F196" s="1"/>
      <c r="G196" s="1"/>
      <c r="H196" s="1"/>
      <c r="I196" s="26"/>
      <c r="J196" s="1"/>
      <c r="K196" s="1"/>
      <c r="L196" s="1"/>
      <c r="M196" s="1"/>
      <c r="N196" s="96"/>
      <c r="O196" s="1"/>
      <c r="P196" s="1"/>
      <c r="Q196" s="1"/>
      <c r="R196" s="1"/>
      <c r="S196" s="1"/>
      <c r="T196" s="1"/>
      <c r="U196" s="1"/>
      <c r="V196" s="1"/>
      <c r="W196" s="1"/>
      <c r="X196" s="1"/>
    </row>
  </sheetData>
  <mergeCells count="32">
    <mergeCell ref="B21:B22"/>
    <mergeCell ref="C21:D21"/>
    <mergeCell ref="E21:F21"/>
    <mergeCell ref="G21:H21"/>
    <mergeCell ref="B38:E38"/>
    <mergeCell ref="G38:J38"/>
    <mergeCell ref="L38:O38"/>
    <mergeCell ref="Q38:S38"/>
    <mergeCell ref="G50:J50"/>
    <mergeCell ref="L50:O50"/>
    <mergeCell ref="H121:H123"/>
    <mergeCell ref="I121:I123"/>
    <mergeCell ref="K121:K123"/>
    <mergeCell ref="L121:L123"/>
    <mergeCell ref="M121:M123"/>
    <mergeCell ref="N121:N123"/>
    <mergeCell ref="O121:O123"/>
    <mergeCell ref="P121:P123"/>
    <mergeCell ref="R121:T121"/>
    <mergeCell ref="I155:I156"/>
    <mergeCell ref="J155:J156"/>
    <mergeCell ref="H172:H174"/>
    <mergeCell ref="I172:I174"/>
    <mergeCell ref="K172:K174"/>
    <mergeCell ref="L172:L174"/>
    <mergeCell ref="M172:M174"/>
    <mergeCell ref="N172:N174"/>
    <mergeCell ref="O172:O174"/>
    <mergeCell ref="P172:P174"/>
    <mergeCell ref="R172:T172"/>
    <mergeCell ref="C194:D194"/>
    <mergeCell ref="C195:D1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95"/>
  <sheetViews>
    <sheetView workbookViewId="0"/>
  </sheetViews>
  <sheetFormatPr defaultRowHeight="15" x14ac:dyDescent="0.25"/>
  <cols>
    <col min="1" max="1" style="441" width="14.290714285714287" customWidth="1" bestFit="1"/>
    <col min="2" max="2" style="93" width="19.719285714285714" customWidth="1" bestFit="1"/>
    <col min="3" max="3" style="442" width="13.43357142857143" customWidth="1" bestFit="1"/>
    <col min="4" max="4" style="205" width="20.862142857142857" customWidth="1" bestFit="1"/>
    <col min="5" max="5" style="92" width="13.43357142857143" customWidth="1" bestFit="1"/>
    <col min="6" max="6" style="92" width="15.43357142857143" customWidth="1" bestFit="1"/>
    <col min="7" max="7" style="92" width="14.147857142857141" customWidth="1" bestFit="1"/>
    <col min="8" max="8" style="92" width="14.147857142857141" customWidth="1" bestFit="1"/>
    <col min="9" max="9" style="92" width="14.147857142857141" customWidth="1" bestFit="1"/>
    <col min="10" max="10" style="92" width="9.290714285714287" customWidth="1" bestFit="1"/>
    <col min="11" max="11" style="92" width="9.147857142857141" customWidth="1" bestFit="1"/>
    <col min="12" max="12" style="92" width="12.862142857142858" customWidth="1" bestFit="1"/>
    <col min="13" max="13" style="92" width="12.719285714285713" customWidth="1" bestFit="1"/>
    <col min="14" max="14" style="205" width="12.576428571428572" customWidth="1" bestFit="1"/>
    <col min="15" max="15" style="92" width="10.719285714285713" customWidth="1" bestFit="1"/>
    <col min="16" max="16" style="92" width="10.719285714285713" customWidth="1" bestFit="1"/>
    <col min="17" max="17" style="92" width="11.576428571428572" customWidth="1" bestFit="1"/>
    <col min="18" max="18" style="92" width="11.576428571428572" customWidth="1" bestFit="1"/>
    <col min="19" max="19" style="92" width="11.576428571428572" customWidth="1" bestFit="1"/>
    <col min="20" max="20" style="92" width="10.576428571428572" customWidth="1" bestFit="1"/>
    <col min="21" max="21" style="92" width="7.862142857142857" customWidth="1" bestFit="1"/>
    <col min="22" max="22" style="92" width="12.576428571428572" customWidth="1" bestFit="1"/>
    <col min="23" max="23" style="92" width="13.290714285714287" customWidth="1" bestFit="1"/>
    <col min="24" max="24" style="92" width="12.576428571428572" customWidth="1" bestFit="1"/>
  </cols>
  <sheetData>
    <row x14ac:dyDescent="0.25" r="1" customHeight="1" ht="25.8">
      <c r="A1" s="206" t="s">
        <v>71</v>
      </c>
      <c r="B1" s="207"/>
      <c r="C1" s="207"/>
      <c r="D1" s="208"/>
      <c r="E1" s="209"/>
      <c r="F1" s="209"/>
      <c r="G1" s="209"/>
      <c r="H1" s="209"/>
      <c r="I1" s="209"/>
      <c r="J1" s="209"/>
      <c r="K1" s="209"/>
      <c r="L1" s="209"/>
      <c r="M1" s="209"/>
      <c r="N1" s="208"/>
      <c r="O1" s="209"/>
      <c r="P1" s="209"/>
      <c r="Q1" s="209"/>
      <c r="R1" s="209"/>
      <c r="S1" s="209"/>
      <c r="T1" s="209"/>
      <c r="U1" s="209"/>
      <c r="V1" s="209"/>
      <c r="W1" s="209"/>
      <c r="X1" s="209"/>
    </row>
    <row x14ac:dyDescent="0.25" r="2" customHeight="1" ht="18.75" hidden="1">
      <c r="A2" s="210" t="s">
        <v>72</v>
      </c>
      <c r="B2" s="2"/>
      <c r="C2" s="211"/>
      <c r="D2" s="96"/>
      <c r="E2" s="1"/>
      <c r="F2" s="1"/>
      <c r="G2" s="1"/>
      <c r="H2" s="1"/>
      <c r="I2" s="1"/>
      <c r="J2" s="1"/>
      <c r="K2" s="1"/>
      <c r="L2" s="1"/>
      <c r="M2" s="1"/>
      <c r="N2" s="96"/>
      <c r="O2" s="1"/>
      <c r="P2" s="1"/>
      <c r="Q2" s="1"/>
      <c r="R2" s="1"/>
      <c r="S2" s="1"/>
      <c r="T2" s="1"/>
      <c r="U2" s="1"/>
      <c r="V2" s="1"/>
      <c r="W2" s="1"/>
      <c r="X2" s="1"/>
    </row>
    <row x14ac:dyDescent="0.25" r="3" customHeight="1" ht="18.75" hidden="1">
      <c r="A3" s="212" t="s">
        <v>73</v>
      </c>
      <c r="B3" s="213">
        <f>CONCATENATE(EUnits,"/V")</f>
      </c>
      <c r="C3" s="214">
        <f>'Istruzioni Uso'!B13</f>
      </c>
      <c r="D3" s="96"/>
      <c r="E3" s="1"/>
      <c r="F3" s="215"/>
      <c r="G3" s="1"/>
      <c r="H3" s="1"/>
      <c r="I3" s="1"/>
      <c r="J3" s="1"/>
      <c r="K3" s="215"/>
      <c r="L3" s="1"/>
      <c r="M3" s="1"/>
      <c r="N3" s="96"/>
      <c r="O3" s="1"/>
      <c r="P3" s="215"/>
      <c r="Q3" s="1"/>
      <c r="R3" s="1"/>
      <c r="S3" s="1"/>
      <c r="T3" s="1"/>
      <c r="U3" s="1"/>
      <c r="V3" s="1"/>
      <c r="W3" s="1"/>
      <c r="X3" s="1"/>
    </row>
    <row x14ac:dyDescent="0.25" r="4" customHeight="1" ht="18.75" hidden="1">
      <c r="A4" s="216" t="s">
        <v>17</v>
      </c>
      <c r="B4" s="217" t="s">
        <v>36</v>
      </c>
      <c r="C4" s="218">
        <f>'Istruzioni Uso'!B15</f>
      </c>
      <c r="D4" s="96"/>
      <c r="E4" s="1"/>
      <c r="F4" s="215"/>
      <c r="G4" s="1"/>
      <c r="H4" s="1"/>
      <c r="I4" s="1"/>
      <c r="J4" s="1"/>
      <c r="K4" s="215"/>
      <c r="L4" s="1"/>
      <c r="M4" s="1"/>
      <c r="N4" s="96"/>
      <c r="O4" s="1"/>
      <c r="P4" s="215"/>
      <c r="Q4" s="1"/>
      <c r="R4" s="1"/>
      <c r="S4" s="1"/>
      <c r="T4" s="1"/>
      <c r="U4" s="1"/>
      <c r="V4" s="1"/>
      <c r="W4" s="1"/>
      <c r="X4" s="1"/>
    </row>
    <row x14ac:dyDescent="0.25" r="5" customHeight="1" ht="18.75" hidden="1">
      <c r="A5" s="210" t="s">
        <v>74</v>
      </c>
      <c r="B5" s="2">
        <f>CONCATENATE("UUT [V/",EUnits,"]")</f>
      </c>
      <c r="C5" s="211">
        <f>1/C3</f>
      </c>
      <c r="D5" s="96"/>
      <c r="E5" s="1"/>
      <c r="F5" s="215"/>
      <c r="G5" s="1"/>
      <c r="H5" s="1"/>
      <c r="I5" s="1"/>
      <c r="J5" s="1"/>
      <c r="K5" s="215"/>
      <c r="L5" s="1"/>
      <c r="M5" s="1"/>
      <c r="N5" s="96"/>
      <c r="O5" s="1"/>
      <c r="P5" s="215"/>
      <c r="Q5" s="1"/>
      <c r="R5" s="1"/>
      <c r="S5" s="1"/>
      <c r="T5" s="1"/>
      <c r="U5" s="1"/>
      <c r="V5" s="1"/>
      <c r="W5" s="1"/>
      <c r="X5" s="1"/>
    </row>
    <row x14ac:dyDescent="0.25" r="6" customHeight="1" ht="18.75" hidden="1">
      <c r="A6" s="210"/>
      <c r="B6" s="2"/>
      <c r="C6" s="211">
        <f>-C4/C3</f>
      </c>
      <c r="D6" s="96"/>
      <c r="E6" s="1"/>
      <c r="F6" s="215"/>
      <c r="G6" s="1"/>
      <c r="H6" s="1"/>
      <c r="I6" s="1"/>
      <c r="J6" s="1"/>
      <c r="K6" s="215"/>
      <c r="L6" s="1"/>
      <c r="M6" s="1"/>
      <c r="N6" s="96"/>
      <c r="O6" s="1"/>
      <c r="P6" s="215"/>
      <c r="Q6" s="1"/>
      <c r="R6" s="1"/>
      <c r="S6" s="1"/>
      <c r="T6" s="1"/>
      <c r="U6" s="1"/>
      <c r="V6" s="1"/>
      <c r="W6" s="1"/>
      <c r="X6" s="1"/>
    </row>
    <row x14ac:dyDescent="0.25" r="7" customHeight="1" ht="18.75">
      <c r="A7" s="210"/>
      <c r="B7" s="2"/>
      <c r="C7" s="211"/>
      <c r="D7" s="96"/>
      <c r="E7" s="1"/>
      <c r="F7" s="215"/>
      <c r="G7" s="1"/>
      <c r="H7" s="1"/>
      <c r="I7" s="1"/>
      <c r="J7" s="1"/>
      <c r="K7" s="215"/>
      <c r="L7" s="1"/>
      <c r="M7" s="1"/>
      <c r="N7" s="96"/>
      <c r="O7" s="1"/>
      <c r="P7" s="215"/>
      <c r="Q7" s="1"/>
      <c r="R7" s="1"/>
      <c r="S7" s="1"/>
      <c r="T7" s="1"/>
      <c r="U7" s="1"/>
      <c r="V7" s="1"/>
      <c r="W7" s="1"/>
      <c r="X7" s="1"/>
    </row>
    <row x14ac:dyDescent="0.25" r="8" customHeight="1" ht="25.8">
      <c r="A8" s="206" t="s">
        <v>75</v>
      </c>
      <c r="B8" s="207"/>
      <c r="C8" s="207"/>
      <c r="D8" s="208"/>
      <c r="E8" s="209"/>
      <c r="F8" s="209"/>
      <c r="G8" s="209"/>
      <c r="H8" s="209"/>
      <c r="I8" s="209"/>
      <c r="J8" s="209"/>
      <c r="K8" s="209"/>
      <c r="L8" s="209"/>
      <c r="M8" s="209"/>
      <c r="N8" s="208"/>
      <c r="O8" s="209"/>
      <c r="P8" s="209"/>
      <c r="Q8" s="209"/>
      <c r="R8" s="209"/>
      <c r="S8" s="209"/>
      <c r="T8" s="209"/>
      <c r="U8" s="209"/>
      <c r="V8" s="209"/>
      <c r="W8" s="209"/>
      <c r="X8" s="209"/>
    </row>
    <row x14ac:dyDescent="0.25" r="9" customHeight="1" ht="18.75">
      <c r="A9" s="210"/>
      <c r="B9" s="2"/>
      <c r="C9" s="211"/>
      <c r="D9" s="96"/>
      <c r="E9" s="1"/>
      <c r="F9" s="215"/>
      <c r="G9" s="1"/>
      <c r="H9" s="1"/>
      <c r="I9" s="1"/>
      <c r="J9" s="1"/>
      <c r="K9" s="215"/>
      <c r="L9" s="1"/>
      <c r="M9" s="1"/>
      <c r="N9" s="96"/>
      <c r="O9" s="1"/>
      <c r="P9" s="215"/>
      <c r="Q9" s="1"/>
      <c r="R9" s="1"/>
      <c r="S9" s="1"/>
      <c r="T9" s="1"/>
      <c r="U9" s="1"/>
      <c r="V9" s="1"/>
      <c r="W9" s="1"/>
      <c r="X9" s="1"/>
    </row>
    <row x14ac:dyDescent="0.25" r="10" customHeight="1" ht="18.75">
      <c r="A10" s="219" t="s">
        <v>76</v>
      </c>
      <c r="B10" s="2"/>
      <c r="C10" s="211"/>
      <c r="D10" s="220" t="s">
        <v>77</v>
      </c>
      <c r="E10" s="1"/>
      <c r="F10" s="215"/>
      <c r="G10" s="1"/>
      <c r="H10" s="1"/>
      <c r="I10" s="1"/>
      <c r="J10" s="1"/>
      <c r="K10" s="215"/>
      <c r="L10" s="1"/>
      <c r="M10" s="1"/>
      <c r="N10" s="96"/>
      <c r="O10" s="1"/>
      <c r="P10" s="215"/>
      <c r="Q10" s="1"/>
      <c r="R10" s="1"/>
      <c r="S10" s="1"/>
      <c r="T10" s="1"/>
      <c r="U10" s="1"/>
      <c r="V10" s="1"/>
      <c r="W10" s="1"/>
      <c r="X10" s="1"/>
    </row>
    <row x14ac:dyDescent="0.25" r="11" customHeight="1" ht="18.75">
      <c r="A11" s="221">
        <f>CONCATENATE("Min [",EUnits,"]")</f>
      </c>
      <c r="B11" s="222">
        <v>0</v>
      </c>
      <c r="C11" s="211"/>
      <c r="D11" s="96" t="s">
        <v>78</v>
      </c>
      <c r="E11" s="223">
        <f>SetPnt_N_0</f>
      </c>
      <c r="F11" s="215"/>
      <c r="G11" s="1"/>
      <c r="H11" s="1"/>
      <c r="I11" s="1"/>
      <c r="J11" s="1"/>
      <c r="K11" s="215"/>
      <c r="L11" s="1"/>
      <c r="M11" s="1"/>
      <c r="N11" s="96"/>
      <c r="O11" s="1"/>
      <c r="P11" s="215"/>
      <c r="Q11" s="1"/>
      <c r="R11" s="1"/>
      <c r="S11" s="1"/>
      <c r="T11" s="1"/>
      <c r="U11" s="1"/>
      <c r="V11" s="1"/>
      <c r="W11" s="1"/>
      <c r="X11" s="1"/>
    </row>
    <row x14ac:dyDescent="0.25" r="12" customHeight="1" ht="18.75">
      <c r="A12" s="221">
        <f>CONCATENATE("Max [",EUnits,"]")</f>
      </c>
      <c r="B12" s="2">
        <f>C_Tar_min</f>
      </c>
      <c r="C12" s="211"/>
      <c r="D12" s="96" t="s">
        <v>79</v>
      </c>
      <c r="E12" s="224">
        <f>SetPnt_N_1</f>
      </c>
      <c r="F12" s="215"/>
      <c r="G12" s="1"/>
      <c r="H12" s="1"/>
      <c r="I12" s="1"/>
      <c r="J12" s="1"/>
      <c r="K12" s="215"/>
      <c r="L12" s="1"/>
      <c r="M12" s="1"/>
      <c r="N12" s="96"/>
      <c r="O12" s="1"/>
      <c r="P12" s="215"/>
      <c r="Q12" s="1"/>
      <c r="R12" s="1"/>
      <c r="S12" s="1"/>
      <c r="T12" s="1"/>
      <c r="U12" s="1"/>
      <c r="V12" s="1"/>
      <c r="W12" s="1"/>
      <c r="X12" s="1"/>
    </row>
    <row x14ac:dyDescent="0.25" r="13" customHeight="1" ht="18.75">
      <c r="A13" s="210" t="s">
        <v>80</v>
      </c>
      <c r="B13" s="222">
        <v>5</v>
      </c>
      <c r="C13" s="211"/>
      <c r="D13" s="96" t="s">
        <v>81</v>
      </c>
      <c r="E13" s="224">
        <f>SetPnt_N_2</f>
      </c>
      <c r="F13" s="215"/>
      <c r="G13" s="1"/>
      <c r="H13" s="1"/>
      <c r="I13" s="1"/>
      <c r="J13" s="1"/>
      <c r="K13" s="215"/>
      <c r="L13" s="1"/>
      <c r="M13" s="1"/>
      <c r="N13" s="96"/>
      <c r="O13" s="1"/>
      <c r="P13" s="215"/>
      <c r="Q13" s="1"/>
      <c r="R13" s="1"/>
      <c r="S13" s="1"/>
      <c r="T13" s="1"/>
      <c r="U13" s="1"/>
      <c r="V13" s="1"/>
      <c r="W13" s="1"/>
      <c r="X13" s="1"/>
    </row>
    <row x14ac:dyDescent="0.25" r="14" customHeight="1" ht="18.75">
      <c r="A14" s="221">
        <f>CONCATENATE("Step [",EUnits,"]")</f>
      </c>
      <c r="B14" s="224">
        <f>(B12-B11)/B13</f>
      </c>
      <c r="C14" s="211"/>
      <c r="D14" s="96" t="s">
        <v>82</v>
      </c>
      <c r="E14" s="224">
        <f>SetPnt_N_3</f>
      </c>
      <c r="F14" s="215"/>
      <c r="G14" s="1"/>
      <c r="H14" s="1"/>
      <c r="I14" s="1"/>
      <c r="J14" s="1"/>
      <c r="K14" s="215"/>
      <c r="L14" s="1"/>
      <c r="M14" s="1"/>
      <c r="N14" s="96"/>
      <c r="O14" s="1"/>
      <c r="P14" s="215"/>
      <c r="Q14" s="1"/>
      <c r="R14" s="1"/>
      <c r="S14" s="1"/>
      <c r="T14" s="1"/>
      <c r="U14" s="1"/>
      <c r="V14" s="1"/>
      <c r="W14" s="1"/>
      <c r="X14" s="1"/>
    </row>
    <row x14ac:dyDescent="0.25" r="15" customHeight="1" ht="18.75">
      <c r="A15" s="210"/>
      <c r="B15" s="2"/>
      <c r="C15" s="211"/>
      <c r="D15" s="96" t="s">
        <v>83</v>
      </c>
      <c r="E15" s="224">
        <f>SetPnt_N_4</f>
      </c>
      <c r="F15" s="215"/>
      <c r="G15" s="1"/>
      <c r="H15" s="1"/>
      <c r="I15" s="1"/>
      <c r="J15" s="1"/>
      <c r="K15" s="215"/>
      <c r="L15" s="1"/>
      <c r="M15" s="1"/>
      <c r="N15" s="96"/>
      <c r="O15" s="1"/>
      <c r="P15" s="215"/>
      <c r="Q15" s="1"/>
      <c r="R15" s="1"/>
      <c r="S15" s="1"/>
      <c r="T15" s="1"/>
      <c r="U15" s="1"/>
      <c r="V15" s="1"/>
      <c r="W15" s="1"/>
      <c r="X15" s="1"/>
    </row>
    <row x14ac:dyDescent="0.25" r="16" customHeight="1" ht="18.75">
      <c r="A16" s="210"/>
      <c r="B16" s="2"/>
      <c r="C16" s="211"/>
      <c r="D16" s="96" t="s">
        <v>84</v>
      </c>
      <c r="E16" s="224">
        <f>SetPnt_N_5</f>
      </c>
      <c r="F16" s="215"/>
      <c r="G16" s="1"/>
      <c r="H16" s="1"/>
      <c r="I16" s="1"/>
      <c r="J16" s="1"/>
      <c r="K16" s="215"/>
      <c r="L16" s="1"/>
      <c r="M16" s="1"/>
      <c r="N16" s="96"/>
      <c r="O16" s="1"/>
      <c r="P16" s="215"/>
      <c r="Q16" s="1"/>
      <c r="R16" s="1"/>
      <c r="S16" s="1"/>
      <c r="T16" s="1"/>
      <c r="U16" s="1"/>
      <c r="V16" s="1"/>
      <c r="W16" s="1"/>
      <c r="X16" s="1"/>
    </row>
    <row x14ac:dyDescent="0.25" r="17" customHeight="1" ht="18.75">
      <c r="A17" s="210"/>
      <c r="B17" s="2"/>
      <c r="C17" s="211"/>
      <c r="D17" s="96"/>
      <c r="E17" s="1"/>
      <c r="F17" s="215"/>
      <c r="G17" s="1"/>
      <c r="H17" s="1"/>
      <c r="I17" s="1"/>
      <c r="J17" s="1"/>
      <c r="K17" s="215"/>
      <c r="L17" s="1"/>
      <c r="M17" s="1"/>
      <c r="N17" s="96"/>
      <c r="O17" s="1"/>
      <c r="P17" s="215"/>
      <c r="Q17" s="1"/>
      <c r="R17" s="1"/>
      <c r="S17" s="1"/>
      <c r="T17" s="1"/>
      <c r="U17" s="1"/>
      <c r="V17" s="1"/>
      <c r="W17" s="1"/>
      <c r="X17" s="1"/>
    </row>
    <row x14ac:dyDescent="0.25" r="18" customHeight="1" ht="25.8">
      <c r="A18" s="206" t="s">
        <v>85</v>
      </c>
      <c r="B18" s="207"/>
      <c r="C18" s="207"/>
      <c r="D18" s="208"/>
      <c r="E18" s="209"/>
      <c r="F18" s="209"/>
      <c r="G18" s="209"/>
      <c r="H18" s="209"/>
      <c r="I18" s="209"/>
      <c r="J18" s="209"/>
      <c r="K18" s="209"/>
      <c r="L18" s="209"/>
      <c r="M18" s="209"/>
      <c r="N18" s="208"/>
      <c r="O18" s="209"/>
      <c r="P18" s="209"/>
      <c r="Q18" s="209"/>
      <c r="R18" s="209"/>
      <c r="S18" s="209"/>
      <c r="T18" s="209"/>
      <c r="U18" s="209"/>
      <c r="V18" s="209"/>
      <c r="W18" s="209"/>
      <c r="X18" s="209"/>
    </row>
    <row x14ac:dyDescent="0.25" r="19" customHeight="1" ht="18.75">
      <c r="A19" s="210" t="s">
        <v>86</v>
      </c>
      <c r="B19" s="2"/>
      <c r="C19" s="211"/>
      <c r="D19" s="96"/>
      <c r="E19" s="1"/>
      <c r="F19" s="215"/>
      <c r="G19" s="1"/>
      <c r="H19" s="1"/>
      <c r="I19" s="1"/>
      <c r="J19" s="1"/>
      <c r="K19" s="215"/>
      <c r="L19" s="1"/>
      <c r="M19" s="225" t="s">
        <v>87</v>
      </c>
      <c r="N19" s="96"/>
      <c r="O19" s="1"/>
      <c r="P19" s="215"/>
      <c r="Q19" s="1"/>
      <c r="R19" s="1"/>
      <c r="S19" s="1"/>
      <c r="T19" s="1"/>
      <c r="U19" s="1"/>
      <c r="V19" s="1"/>
      <c r="W19" s="1"/>
      <c r="X19" s="1"/>
    </row>
    <row x14ac:dyDescent="0.25" r="20" customHeight="1" ht="15">
      <c r="A20" s="210"/>
      <c r="B20" s="2"/>
      <c r="C20" s="211"/>
      <c r="D20" s="96"/>
      <c r="E20" s="1"/>
      <c r="F20" s="215"/>
      <c r="G20" s="1"/>
      <c r="H20" s="1"/>
      <c r="I20" s="1"/>
      <c r="J20" s="1"/>
      <c r="K20" s="215"/>
      <c r="L20" s="1"/>
      <c r="M20" s="1"/>
      <c r="N20" s="96"/>
      <c r="O20" s="1"/>
      <c r="P20" s="215"/>
      <c r="Q20" s="1"/>
      <c r="R20" s="1"/>
      <c r="S20" s="1"/>
      <c r="T20" s="1"/>
      <c r="U20" s="1"/>
      <c r="V20" s="1"/>
      <c r="W20" s="1"/>
      <c r="X20" s="1"/>
    </row>
    <row x14ac:dyDescent="0.25" r="21" customHeight="1" ht="18.75">
      <c r="A21" s="210"/>
      <c r="B21" s="226" t="s">
        <v>88</v>
      </c>
      <c r="C21" s="227" t="s">
        <v>89</v>
      </c>
      <c r="D21" s="228"/>
      <c r="E21" s="229" t="s">
        <v>90</v>
      </c>
      <c r="F21" s="230"/>
      <c r="G21" s="231" t="s">
        <v>91</v>
      </c>
      <c r="H21" s="14"/>
      <c r="I21" s="1"/>
      <c r="J21" s="1"/>
      <c r="K21" s="215"/>
      <c r="L21" s="1"/>
      <c r="M21" s="1"/>
      <c r="N21" s="96"/>
      <c r="O21" s="1"/>
      <c r="P21" s="215"/>
      <c r="Q21" s="1"/>
      <c r="R21" s="1"/>
      <c r="S21" s="1"/>
      <c r="T21" s="1"/>
      <c r="U21" s="1"/>
      <c r="V21" s="1"/>
      <c r="W21" s="1"/>
      <c r="X21" s="1"/>
    </row>
    <row x14ac:dyDescent="0.25" r="22" customHeight="1" ht="18.75">
      <c r="A22" s="210"/>
      <c r="B22" s="232"/>
      <c r="C22" s="233">
        <f>$B$11</f>
      </c>
      <c r="D22" s="234">
        <f>$B$12</f>
      </c>
      <c r="E22" s="235">
        <f>$B$11</f>
      </c>
      <c r="F22" s="236">
        <f>$B$12</f>
      </c>
      <c r="G22" s="237">
        <f>$B$11</f>
      </c>
      <c r="H22" s="238">
        <f>$B$12</f>
      </c>
      <c r="I22" s="1"/>
      <c r="J22" s="1"/>
      <c r="K22" s="1"/>
      <c r="L22" s="1"/>
      <c r="M22" s="1"/>
      <c r="N22" s="96"/>
      <c r="O22" s="1"/>
      <c r="P22" s="1"/>
      <c r="Q22" s="1"/>
      <c r="R22" s="1"/>
      <c r="S22" s="1"/>
      <c r="T22" s="1"/>
      <c r="U22" s="1"/>
      <c r="V22" s="1"/>
      <c r="W22" s="1"/>
      <c r="X22" s="1"/>
    </row>
    <row x14ac:dyDescent="0.25" r="23" customHeight="1" ht="15">
      <c r="A23" s="210"/>
      <c r="B23" s="239">
        <f>CONCATENATE("Coppia REF [",EUnits,"]")</f>
      </c>
      <c r="C23" s="240">
        <f>'Istruzioni Uso'!C46</f>
      </c>
      <c r="D23" s="241">
        <f>'Istruzioni Uso'!D46</f>
      </c>
      <c r="E23" s="242">
        <f>'Istruzioni Uso'!E46</f>
      </c>
      <c r="F23" s="243">
        <f>'Istruzioni Uso'!F46</f>
      </c>
      <c r="G23" s="244">
        <f>'Istruzioni Uso'!G46</f>
      </c>
      <c r="H23" s="245">
        <f>'Istruzioni Uso'!H46</f>
      </c>
      <c r="I23" s="1"/>
      <c r="J23" s="1"/>
      <c r="K23" s="1"/>
      <c r="L23" s="1"/>
      <c r="M23" s="1"/>
      <c r="N23" s="96"/>
      <c r="O23" s="1"/>
      <c r="P23" s="1"/>
      <c r="Q23" s="1"/>
      <c r="R23" s="1"/>
      <c r="S23" s="1"/>
      <c r="T23" s="1"/>
      <c r="U23" s="1"/>
      <c r="V23" s="1"/>
      <c r="W23" s="1"/>
      <c r="X23" s="1"/>
    </row>
    <row x14ac:dyDescent="0.25" r="24" customHeight="1" ht="15">
      <c r="A24" s="210"/>
      <c r="B24" s="246">
        <f>CONCATENATE("Coppia UUT [",EUnits,"]")</f>
      </c>
      <c r="C24" s="247">
        <f>'Istruzioni Uso'!C47</f>
      </c>
      <c r="D24" s="248">
        <f>'Istruzioni Uso'!D47</f>
      </c>
      <c r="E24" s="249">
        <f>'Istruzioni Uso'!E47</f>
      </c>
      <c r="F24" s="250">
        <f>'Istruzioni Uso'!F47</f>
      </c>
      <c r="G24" s="251">
        <f>'Istruzioni Uso'!G47</f>
      </c>
      <c r="H24" s="252">
        <f>'Istruzioni Uso'!H47</f>
      </c>
      <c r="I24" s="1"/>
      <c r="J24" s="1"/>
      <c r="K24" s="1"/>
      <c r="L24" s="1"/>
      <c r="M24" s="1"/>
      <c r="N24" s="96"/>
      <c r="O24" s="1"/>
      <c r="P24" s="1"/>
      <c r="Q24" s="1"/>
      <c r="R24" s="1"/>
      <c r="S24" s="1"/>
      <c r="T24" s="1"/>
      <c r="U24" s="1"/>
      <c r="V24" s="1"/>
      <c r="W24" s="1"/>
      <c r="X24" s="1"/>
    </row>
    <row x14ac:dyDescent="0.25" r="25" customHeight="1" ht="15">
      <c r="A25" s="210"/>
      <c r="B25" s="2"/>
      <c r="C25" s="211"/>
      <c r="D25" s="96"/>
      <c r="E25" s="1"/>
      <c r="F25" s="1"/>
      <c r="G25" s="1"/>
      <c r="H25" s="1"/>
      <c r="I25" s="1"/>
      <c r="J25" s="1"/>
      <c r="K25" s="1"/>
      <c r="L25" s="1"/>
      <c r="M25" s="1"/>
      <c r="N25" s="96"/>
      <c r="O25" s="1"/>
      <c r="P25" s="1"/>
      <c r="Q25" s="1"/>
      <c r="R25" s="1"/>
      <c r="S25" s="1"/>
      <c r="T25" s="1"/>
      <c r="U25" s="1"/>
      <c r="V25" s="1"/>
      <c r="W25" s="1"/>
      <c r="X25" s="1"/>
    </row>
    <row x14ac:dyDescent="0.25" r="26" customHeight="1" ht="39.75" customFormat="1" s="253">
      <c r="A26" s="254"/>
      <c r="B26" s="255" t="s">
        <v>92</v>
      </c>
      <c r="C26" s="256" t="s">
        <v>93</v>
      </c>
      <c r="D26" s="257" t="s">
        <v>94</v>
      </c>
      <c r="E26" s="258" t="s">
        <v>95</v>
      </c>
      <c r="F26" s="259" t="s">
        <v>96</v>
      </c>
      <c r="G26" s="258" t="s">
        <v>97</v>
      </c>
      <c r="H26" s="259" t="s">
        <v>98</v>
      </c>
      <c r="I26" s="260" t="s">
        <v>93</v>
      </c>
      <c r="J26" s="94"/>
      <c r="K26" s="94"/>
      <c r="L26" s="94"/>
      <c r="M26" s="94"/>
      <c r="N26" s="261"/>
      <c r="O26" s="94"/>
      <c r="P26" s="94"/>
      <c r="Q26" s="94"/>
      <c r="R26" s="94"/>
      <c r="S26" s="94"/>
      <c r="T26" s="94"/>
      <c r="U26" s="94"/>
      <c r="V26" s="94"/>
      <c r="W26" s="94"/>
      <c r="X26" s="94"/>
    </row>
    <row x14ac:dyDescent="0.25" r="27" customHeight="1" ht="15">
      <c r="A27" s="210"/>
      <c r="B27" s="239">
        <f>CONCATENATE("Coppia REF [",EUnits,"]")</f>
      </c>
      <c r="C27" s="262">
        <f>'Istruzioni Uso'!C50</f>
      </c>
      <c r="D27" s="263">
        <f>'Istruzioni Uso'!D50</f>
      </c>
      <c r="E27" s="243">
        <f>'Istruzioni Uso'!E50</f>
      </c>
      <c r="F27" s="244">
        <f>'Istruzioni Uso'!F50</f>
      </c>
      <c r="G27" s="243">
        <f>'Istruzioni Uso'!G50</f>
      </c>
      <c r="H27" s="244">
        <f>'Istruzioni Uso'!H50</f>
      </c>
      <c r="I27" s="245">
        <f>'Istruzioni Uso'!I50</f>
      </c>
      <c r="J27" s="1"/>
      <c r="K27" s="1"/>
      <c r="L27" s="1"/>
      <c r="M27" s="1"/>
      <c r="N27" s="96"/>
      <c r="O27" s="1"/>
      <c r="P27" s="1"/>
      <c r="Q27" s="1"/>
      <c r="R27" s="1"/>
      <c r="S27" s="1"/>
      <c r="T27" s="1"/>
      <c r="U27" s="1"/>
      <c r="V27" s="1"/>
      <c r="W27" s="1"/>
      <c r="X27" s="1"/>
    </row>
    <row x14ac:dyDescent="0.25" r="28" customHeight="1" ht="15">
      <c r="A28" s="210"/>
      <c r="B28" s="246">
        <f>CONCATENATE("Coppia UUT [",EUnits,"]")</f>
      </c>
      <c r="C28" s="264">
        <f>'Istruzioni Uso'!C51</f>
      </c>
      <c r="D28" s="265">
        <f>'Istruzioni Uso'!D51</f>
      </c>
      <c r="E28" s="250">
        <f>'Istruzioni Uso'!E51</f>
      </c>
      <c r="F28" s="251">
        <f>'Istruzioni Uso'!F51</f>
      </c>
      <c r="G28" s="250">
        <f>'Istruzioni Uso'!G51</f>
      </c>
      <c r="H28" s="251">
        <f>'Istruzioni Uso'!H51</f>
      </c>
      <c r="I28" s="252">
        <f>'Istruzioni Uso'!I51</f>
      </c>
      <c r="J28" s="1"/>
      <c r="K28" s="1"/>
      <c r="L28" s="1"/>
      <c r="M28" s="1"/>
      <c r="N28" s="96"/>
      <c r="O28" s="1"/>
      <c r="P28" s="1"/>
      <c r="Q28" s="1"/>
      <c r="R28" s="1"/>
      <c r="S28" s="1"/>
      <c r="T28" s="1"/>
      <c r="U28" s="1"/>
      <c r="V28" s="1"/>
      <c r="W28" s="1"/>
      <c r="X28" s="1"/>
    </row>
    <row x14ac:dyDescent="0.25" r="29" customHeight="1" ht="15">
      <c r="A29" s="210"/>
      <c r="B29" s="2"/>
      <c r="C29" s="211"/>
      <c r="D29" s="96"/>
      <c r="E29" s="1"/>
      <c r="F29" s="1"/>
      <c r="G29" s="1"/>
      <c r="H29" s="1"/>
      <c r="I29" s="1"/>
      <c r="J29" s="1"/>
      <c r="K29" s="1"/>
      <c r="L29" s="1"/>
      <c r="M29" s="1"/>
      <c r="N29" s="96"/>
      <c r="O29" s="1"/>
      <c r="P29" s="1"/>
      <c r="Q29" s="1"/>
      <c r="R29" s="1"/>
      <c r="S29" s="1"/>
      <c r="T29" s="1"/>
      <c r="U29" s="1"/>
      <c r="V29" s="1"/>
      <c r="W29" s="1"/>
      <c r="X29" s="1"/>
    </row>
    <row x14ac:dyDescent="0.25" r="30" customHeight="1" ht="39.75" customFormat="1" s="253">
      <c r="A30" s="254"/>
      <c r="B30" s="255" t="s">
        <v>99</v>
      </c>
      <c r="C30" s="256" t="s">
        <v>93</v>
      </c>
      <c r="D30" s="257" t="s">
        <v>94</v>
      </c>
      <c r="E30" s="258" t="s">
        <v>95</v>
      </c>
      <c r="F30" s="259" t="s">
        <v>96</v>
      </c>
      <c r="G30" s="258" t="s">
        <v>97</v>
      </c>
      <c r="H30" s="259" t="s">
        <v>98</v>
      </c>
      <c r="I30" s="260" t="s">
        <v>93</v>
      </c>
      <c r="J30" s="94"/>
      <c r="K30" s="94"/>
      <c r="L30" s="94"/>
      <c r="M30" s="94"/>
      <c r="N30" s="261"/>
      <c r="O30" s="94"/>
      <c r="P30" s="94"/>
      <c r="Q30" s="94"/>
      <c r="R30" s="94"/>
      <c r="S30" s="94"/>
      <c r="T30" s="94"/>
      <c r="U30" s="94"/>
      <c r="V30" s="94"/>
      <c r="W30" s="94"/>
      <c r="X30" s="94"/>
    </row>
    <row x14ac:dyDescent="0.25" r="31" customHeight="1" ht="15">
      <c r="A31" s="210"/>
      <c r="B31" s="239">
        <f>CONCATENATE("Coppia REF [",EUnits,"]")</f>
      </c>
      <c r="C31" s="262">
        <f>'Istruzioni Uso'!C54</f>
      </c>
      <c r="D31" s="263">
        <f>'Istruzioni Uso'!D54</f>
      </c>
      <c r="E31" s="243">
        <f>'Istruzioni Uso'!E54</f>
      </c>
      <c r="F31" s="244">
        <f>'Istruzioni Uso'!F54</f>
      </c>
      <c r="G31" s="243">
        <f>'Istruzioni Uso'!G54</f>
      </c>
      <c r="H31" s="244">
        <f>'Istruzioni Uso'!H54</f>
      </c>
      <c r="I31" s="245">
        <f>'Istruzioni Uso'!I54</f>
      </c>
      <c r="J31" s="1"/>
      <c r="K31" s="1"/>
      <c r="L31" s="1"/>
      <c r="M31" s="1"/>
      <c r="N31" s="96"/>
      <c r="O31" s="1"/>
      <c r="P31" s="1"/>
      <c r="Q31" s="1"/>
      <c r="R31" s="1"/>
      <c r="S31" s="1"/>
      <c r="T31" s="1"/>
      <c r="U31" s="1"/>
      <c r="V31" s="1"/>
      <c r="W31" s="1"/>
      <c r="X31" s="1"/>
    </row>
    <row x14ac:dyDescent="0.25" r="32" customHeight="1" ht="15">
      <c r="A32" s="210"/>
      <c r="B32" s="246">
        <f>CONCATENATE("Coppia UUT [",EUnits,"]")</f>
      </c>
      <c r="C32" s="264">
        <f>'Istruzioni Uso'!C55</f>
      </c>
      <c r="D32" s="265">
        <f>'Istruzioni Uso'!D55</f>
      </c>
      <c r="E32" s="250">
        <f>'Istruzioni Uso'!E55</f>
      </c>
      <c r="F32" s="251">
        <f>'Istruzioni Uso'!F55</f>
      </c>
      <c r="G32" s="250">
        <f>'Istruzioni Uso'!G55</f>
      </c>
      <c r="H32" s="251">
        <f>'Istruzioni Uso'!H55</f>
      </c>
      <c r="I32" s="252">
        <f>'Istruzioni Uso'!I55</f>
      </c>
      <c r="J32" s="1"/>
      <c r="K32" s="1"/>
      <c r="L32" s="1"/>
      <c r="M32" s="1"/>
      <c r="N32" s="96"/>
      <c r="O32" s="1"/>
      <c r="P32" s="1"/>
      <c r="Q32" s="1"/>
      <c r="R32" s="1"/>
      <c r="S32" s="1"/>
      <c r="T32" s="1"/>
      <c r="U32" s="1"/>
      <c r="V32" s="1"/>
      <c r="W32" s="1"/>
      <c r="X32" s="1"/>
    </row>
    <row x14ac:dyDescent="0.25" r="33" customHeight="1" ht="18.75">
      <c r="A33" s="210"/>
      <c r="B33" s="2"/>
      <c r="C33" s="211"/>
      <c r="D33" s="96"/>
      <c r="E33" s="1"/>
      <c r="F33" s="215"/>
      <c r="G33" s="1"/>
      <c r="H33" s="1"/>
      <c r="I33" s="1"/>
      <c r="J33" s="1"/>
      <c r="K33" s="215"/>
      <c r="L33" s="1"/>
      <c r="M33" s="1"/>
      <c r="N33" s="96"/>
      <c r="O33" s="1"/>
      <c r="P33" s="215"/>
      <c r="Q33" s="1"/>
      <c r="R33" s="1"/>
      <c r="S33" s="1"/>
      <c r="T33" s="1"/>
      <c r="U33" s="1"/>
      <c r="V33" s="1"/>
      <c r="W33" s="1"/>
      <c r="X33" s="1"/>
    </row>
    <row x14ac:dyDescent="0.25" r="34" customHeight="1" ht="25.8">
      <c r="A34" s="206" t="s">
        <v>100</v>
      </c>
      <c r="B34" s="207"/>
      <c r="C34" s="207"/>
      <c r="D34" s="208"/>
      <c r="E34" s="209"/>
      <c r="F34" s="209"/>
      <c r="G34" s="209"/>
      <c r="H34" s="209"/>
      <c r="I34" s="209"/>
      <c r="J34" s="209"/>
      <c r="K34" s="209"/>
      <c r="L34" s="209"/>
      <c r="M34" s="209"/>
      <c r="N34" s="208"/>
      <c r="O34" s="209"/>
      <c r="P34" s="209"/>
      <c r="Q34" s="209"/>
      <c r="R34" s="209"/>
      <c r="S34" s="209"/>
      <c r="T34" s="209"/>
      <c r="U34" s="209"/>
      <c r="V34" s="209"/>
      <c r="W34" s="209"/>
      <c r="X34" s="209"/>
    </row>
    <row x14ac:dyDescent="0.25" r="35" customHeight="1" ht="18.75">
      <c r="A35" s="210"/>
      <c r="B35" s="2"/>
      <c r="C35" s="211"/>
      <c r="D35" s="96"/>
      <c r="E35" s="1"/>
      <c r="F35" s="215"/>
      <c r="G35" s="1"/>
      <c r="H35" s="1"/>
      <c r="I35" s="1"/>
      <c r="J35" s="1"/>
      <c r="K35" s="215"/>
      <c r="L35" s="1"/>
      <c r="M35" s="1"/>
      <c r="N35" s="96"/>
      <c r="O35" s="1"/>
      <c r="P35" s="215"/>
      <c r="Q35" s="1"/>
      <c r="R35" s="1"/>
      <c r="S35" s="1"/>
      <c r="T35" s="1"/>
      <c r="U35" s="1"/>
      <c r="V35" s="1"/>
      <c r="W35" s="1"/>
      <c r="X35" s="1"/>
    </row>
    <row x14ac:dyDescent="0.25" r="36" customHeight="1" ht="18.75">
      <c r="A36" s="210"/>
      <c r="B36" s="2"/>
      <c r="C36" s="211"/>
      <c r="D36" s="96"/>
      <c r="E36" s="1"/>
      <c r="F36" s="215"/>
      <c r="G36" s="1"/>
      <c r="H36" s="1"/>
      <c r="I36" s="1"/>
      <c r="J36" s="1"/>
      <c r="K36" s="215"/>
      <c r="L36" s="1"/>
      <c r="M36" s="1"/>
      <c r="N36" s="96"/>
      <c r="O36" s="1"/>
      <c r="P36" s="215"/>
      <c r="Q36" s="1"/>
      <c r="R36" s="1"/>
      <c r="S36" s="1"/>
      <c r="T36" s="1"/>
      <c r="U36" s="1"/>
      <c r="V36" s="1"/>
      <c r="W36" s="1"/>
      <c r="X36" s="1"/>
    </row>
    <row x14ac:dyDescent="0.25" r="37" customHeight="1" ht="18">
      <c r="A37" s="266" t="s">
        <v>101</v>
      </c>
      <c r="B37" s="2"/>
      <c r="C37" s="211"/>
      <c r="D37" s="96"/>
      <c r="E37" s="1"/>
      <c r="F37" s="1"/>
      <c r="G37" s="1"/>
      <c r="H37" s="1"/>
      <c r="I37" s="1"/>
      <c r="J37" s="1"/>
      <c r="K37" s="215"/>
      <c r="L37" s="1"/>
      <c r="M37" s="1"/>
      <c r="N37" s="96"/>
      <c r="O37" s="1"/>
      <c r="P37" s="215"/>
      <c r="Q37" s="1"/>
      <c r="R37" s="1"/>
      <c r="S37" s="1"/>
      <c r="T37" s="1"/>
      <c r="U37" s="1"/>
      <c r="V37" s="1"/>
      <c r="W37" s="1"/>
      <c r="X37" s="1"/>
    </row>
    <row x14ac:dyDescent="0.25" r="38" customHeight="1" ht="27">
      <c r="A38" s="210"/>
      <c r="B38" s="267" t="s">
        <v>102</v>
      </c>
      <c r="C38" s="268"/>
      <c r="D38" s="269"/>
      <c r="E38" s="270"/>
      <c r="F38" s="1"/>
      <c r="G38" s="271" t="s">
        <v>103</v>
      </c>
      <c r="H38" s="270"/>
      <c r="I38" s="270"/>
      <c r="J38" s="270"/>
      <c r="K38" s="1"/>
      <c r="L38" s="271" t="s">
        <v>104</v>
      </c>
      <c r="M38" s="270"/>
      <c r="N38" s="269"/>
      <c r="O38" s="270"/>
      <c r="P38" s="1"/>
      <c r="Q38" s="272" t="s">
        <v>105</v>
      </c>
      <c r="R38" s="270"/>
      <c r="S38" s="270"/>
      <c r="T38" s="1"/>
      <c r="U38" s="1"/>
      <c r="V38" s="1"/>
      <c r="W38" s="1"/>
      <c r="X38" s="1"/>
    </row>
    <row x14ac:dyDescent="0.25" r="39" customHeight="1" ht="29.399999999999995">
      <c r="A39" s="210"/>
      <c r="B39" s="273" t="s">
        <v>41</v>
      </c>
      <c r="C39" s="274"/>
      <c r="D39" s="275"/>
      <c r="E39" s="276" t="s">
        <v>106</v>
      </c>
      <c r="F39" s="1"/>
      <c r="G39" s="277" t="s">
        <v>41</v>
      </c>
      <c r="H39" s="276"/>
      <c r="I39" s="276"/>
      <c r="J39" s="276" t="s">
        <v>106</v>
      </c>
      <c r="K39" s="1"/>
      <c r="L39" s="277" t="s">
        <v>41</v>
      </c>
      <c r="M39" s="276"/>
      <c r="N39" s="275"/>
      <c r="O39" s="276" t="s">
        <v>106</v>
      </c>
      <c r="P39" s="1"/>
      <c r="Q39" s="277" t="s">
        <v>41</v>
      </c>
      <c r="R39" s="276"/>
      <c r="S39" s="276" t="s">
        <v>106</v>
      </c>
      <c r="T39" s="1"/>
      <c r="U39" s="1"/>
      <c r="V39" s="1"/>
      <c r="W39" s="1"/>
      <c r="X39" s="1"/>
    </row>
    <row x14ac:dyDescent="0.25" r="40" customHeight="1" ht="18.75">
      <c r="A40" s="210"/>
      <c r="B40" s="2">
        <f>SetPnt_P_0</f>
      </c>
      <c r="C40" s="211">
        <f>C24</f>
      </c>
      <c r="D40" s="96">
        <f>C23</f>
      </c>
      <c r="E40" s="278">
        <f>C40*$C$5+$C$6</f>
      </c>
      <c r="F40" s="1"/>
      <c r="G40" s="223">
        <f>SetPnt_N_0</f>
      </c>
      <c r="H40" s="223">
        <f>C28</f>
      </c>
      <c r="I40" s="223">
        <f>C27</f>
      </c>
      <c r="J40" s="278">
        <f>H40*$C$5+$C$6</f>
      </c>
      <c r="K40" s="1"/>
      <c r="L40" s="223">
        <f>SetPnt_N_0</f>
      </c>
      <c r="M40" s="223">
        <f>C32</f>
      </c>
      <c r="N40" s="96">
        <f>C31</f>
      </c>
      <c r="O40" s="278">
        <f>M40*$C$5+$C$6</f>
      </c>
      <c r="P40" s="1"/>
      <c r="Q40" s="223">
        <f>SetPnt_N_0</f>
      </c>
      <c r="R40" s="223">
        <f>I40</f>
      </c>
      <c r="S40" s="279">
        <f>J40</f>
      </c>
      <c r="T40" s="1"/>
      <c r="U40" s="1"/>
      <c r="V40" s="1"/>
      <c r="W40" s="1"/>
      <c r="X40" s="1"/>
    </row>
    <row x14ac:dyDescent="0.25" r="41" customHeight="1" ht="18.75">
      <c r="A41" s="210"/>
      <c r="B41" s="2">
        <f>C_Tar_min</f>
      </c>
      <c r="C41" s="211">
        <f>D24</f>
      </c>
      <c r="D41" s="96">
        <f>D23</f>
      </c>
      <c r="E41" s="278">
        <f>C41*$C$5+$C$6</f>
      </c>
      <c r="F41" s="1"/>
      <c r="G41" s="224">
        <f>SetPnt_N_1</f>
      </c>
      <c r="H41" s="223">
        <f>D28</f>
      </c>
      <c r="I41" s="223">
        <f>D27</f>
      </c>
      <c r="J41" s="278">
        <f>H41*$C$5+$C$6</f>
      </c>
      <c r="K41" s="1"/>
      <c r="L41" s="224">
        <f>SetPnt_N_1</f>
      </c>
      <c r="M41" s="223">
        <f>D32</f>
      </c>
      <c r="N41" s="96">
        <f>D31</f>
      </c>
      <c r="O41" s="278">
        <f>M41*$C$5+$C$6</f>
      </c>
      <c r="P41" s="1"/>
      <c r="Q41" s="224">
        <f>SetPnt_N_1</f>
      </c>
      <c r="R41" s="223">
        <f>I41</f>
      </c>
      <c r="S41" s="279">
        <f>J41</f>
      </c>
      <c r="T41" s="1"/>
      <c r="U41" s="1"/>
      <c r="V41" s="1"/>
      <c r="W41" s="1"/>
      <c r="X41" s="1"/>
    </row>
    <row x14ac:dyDescent="0.25" r="42" customHeight="1" ht="18.75">
      <c r="A42" s="210"/>
      <c r="B42" s="2">
        <f>B40</f>
      </c>
      <c r="C42" s="211">
        <f>E24</f>
      </c>
      <c r="D42" s="96">
        <f>E23</f>
      </c>
      <c r="E42" s="278">
        <f>C42*$C$5+$C$6</f>
      </c>
      <c r="F42" s="1"/>
      <c r="G42" s="224">
        <f>SetPnt_N_2</f>
      </c>
      <c r="H42" s="223">
        <f>E28</f>
      </c>
      <c r="I42" s="223">
        <f>E27</f>
      </c>
      <c r="J42" s="278">
        <f>H42*$C$5+$C$6</f>
      </c>
      <c r="K42" s="1"/>
      <c r="L42" s="224">
        <f>SetPnt_N_2</f>
      </c>
      <c r="M42" s="223">
        <f>E32</f>
      </c>
      <c r="N42" s="96">
        <f>E31</f>
      </c>
      <c r="O42" s="278">
        <f>M42*$C$5+$C$6</f>
      </c>
      <c r="P42" s="1"/>
      <c r="Q42" s="224">
        <f>SetPnt_N_2</f>
      </c>
      <c r="R42" s="223">
        <f>I42</f>
      </c>
      <c r="S42" s="279">
        <f>J42</f>
      </c>
      <c r="T42" s="1"/>
      <c r="U42" s="1"/>
      <c r="V42" s="1"/>
      <c r="W42" s="1"/>
      <c r="X42" s="1"/>
    </row>
    <row x14ac:dyDescent="0.25" r="43" customHeight="1" ht="18.75">
      <c r="A43" s="210"/>
      <c r="B43" s="2">
        <f>B41</f>
      </c>
      <c r="C43" s="211">
        <f>F24</f>
      </c>
      <c r="D43" s="96">
        <f>F23</f>
      </c>
      <c r="E43" s="278">
        <f>C43*$C$5+$C$6</f>
      </c>
      <c r="F43" s="1"/>
      <c r="G43" s="224">
        <f>SetPnt_N_3</f>
      </c>
      <c r="H43" s="223">
        <f>F28</f>
      </c>
      <c r="I43" s="223">
        <f>F27</f>
      </c>
      <c r="J43" s="278">
        <f>H43*$C$5+$C$6</f>
      </c>
      <c r="K43" s="1"/>
      <c r="L43" s="224">
        <f>SetPnt_N_3</f>
      </c>
      <c r="M43" s="223">
        <f>F32</f>
      </c>
      <c r="N43" s="96">
        <f>F31</f>
      </c>
      <c r="O43" s="278">
        <f>M43*$C$5+$C$6</f>
      </c>
      <c r="P43" s="1"/>
      <c r="Q43" s="224">
        <f>SetPnt_N_3</f>
      </c>
      <c r="R43" s="223">
        <f>I43</f>
      </c>
      <c r="S43" s="279">
        <f>J43</f>
      </c>
      <c r="T43" s="1"/>
      <c r="U43" s="1"/>
      <c r="V43" s="1"/>
      <c r="W43" s="1"/>
      <c r="X43" s="1"/>
    </row>
    <row x14ac:dyDescent="0.25" r="44" customHeight="1" ht="18.75">
      <c r="A44" s="210"/>
      <c r="B44" s="2">
        <f>B42</f>
      </c>
      <c r="C44" s="211">
        <f>G24</f>
      </c>
      <c r="D44" s="96">
        <f>G23</f>
      </c>
      <c r="E44" s="278">
        <f>C44*$C$5+$C$6</f>
      </c>
      <c r="F44" s="1"/>
      <c r="G44" s="224">
        <f>SetPnt_N_4</f>
      </c>
      <c r="H44" s="223">
        <f>G28</f>
      </c>
      <c r="I44" s="223">
        <f>G27</f>
      </c>
      <c r="J44" s="278">
        <f>H44*$C$5+$C$6</f>
      </c>
      <c r="K44" s="1"/>
      <c r="L44" s="224">
        <f>SetPnt_N_4</f>
      </c>
      <c r="M44" s="223">
        <f>G32</f>
      </c>
      <c r="N44" s="96">
        <f>G31</f>
      </c>
      <c r="O44" s="278">
        <f>M44*$C$5+$C$6</f>
      </c>
      <c r="P44" s="1"/>
      <c r="Q44" s="224">
        <f>SetPnt_N_4</f>
      </c>
      <c r="R44" s="223">
        <f>I44</f>
      </c>
      <c r="S44" s="279">
        <f>J44</f>
      </c>
      <c r="T44" s="1"/>
      <c r="U44" s="1"/>
      <c r="V44" s="1"/>
      <c r="W44" s="1"/>
      <c r="X44" s="1"/>
    </row>
    <row x14ac:dyDescent="0.25" r="45" customHeight="1" ht="18.75">
      <c r="A45" s="210"/>
      <c r="B45" s="2">
        <f>B43</f>
      </c>
      <c r="C45" s="211">
        <f>H24</f>
      </c>
      <c r="D45" s="96">
        <f>H23</f>
      </c>
      <c r="E45" s="278">
        <f>C45*$C$5+$C$6</f>
      </c>
      <c r="F45" s="1"/>
      <c r="G45" s="224">
        <f>SetPnt_N_5</f>
      </c>
      <c r="H45" s="223">
        <f>H28</f>
      </c>
      <c r="I45" s="223">
        <f>H27</f>
      </c>
      <c r="J45" s="278">
        <f>H45*$C$5+$C$6</f>
      </c>
      <c r="K45" s="1"/>
      <c r="L45" s="224">
        <f>SetPnt_N_5</f>
      </c>
      <c r="M45" s="223">
        <f>H32</f>
      </c>
      <c r="N45" s="96">
        <f>H31</f>
      </c>
      <c r="O45" s="278">
        <f>M45*$C$5+$C$6</f>
      </c>
      <c r="P45" s="1"/>
      <c r="Q45" s="224">
        <f>SetPnt_N_5</f>
      </c>
      <c r="R45" s="223">
        <f>I45</f>
      </c>
      <c r="S45" s="279">
        <f>J45</f>
      </c>
      <c r="T45" s="1"/>
      <c r="U45" s="1"/>
      <c r="V45" s="1"/>
      <c r="W45" s="1"/>
      <c r="X45" s="1"/>
    </row>
    <row x14ac:dyDescent="0.25" r="46" customHeight="1" ht="18.75">
      <c r="A46" s="210"/>
      <c r="B46" s="2"/>
      <c r="C46" s="211"/>
      <c r="D46" s="96"/>
      <c r="E46" s="1"/>
      <c r="F46" s="1"/>
      <c r="G46" s="223">
        <f>SetPnt_N_0</f>
      </c>
      <c r="H46" s="223">
        <f>I28</f>
      </c>
      <c r="I46" s="223">
        <f>I27</f>
      </c>
      <c r="J46" s="278">
        <f>H46*$C$5+$C$6</f>
      </c>
      <c r="K46" s="1"/>
      <c r="L46" s="223">
        <f>SetPnt_N_0</f>
      </c>
      <c r="M46" s="223">
        <f>I32</f>
      </c>
      <c r="N46" s="96">
        <f>I31</f>
      </c>
      <c r="O46" s="278">
        <f>M46*$C$5+$C$6</f>
      </c>
      <c r="P46" s="1"/>
      <c r="Q46" s="223">
        <f>SetPnt_N_0</f>
      </c>
      <c r="R46" s="223">
        <f>N40</f>
      </c>
      <c r="S46" s="279">
        <f>O40</f>
      </c>
      <c r="T46" s="1"/>
      <c r="U46" s="1"/>
      <c r="V46" s="1"/>
      <c r="W46" s="1"/>
      <c r="X46" s="1"/>
    </row>
    <row x14ac:dyDescent="0.25" r="47" customHeight="1" ht="15">
      <c r="A47" s="210"/>
      <c r="B47" s="2"/>
      <c r="C47" s="211"/>
      <c r="D47" s="96"/>
      <c r="E47" s="1"/>
      <c r="F47" s="1"/>
      <c r="G47" s="1"/>
      <c r="H47" s="1"/>
      <c r="I47" s="1"/>
      <c r="J47" s="1"/>
      <c r="K47" s="1"/>
      <c r="L47" s="1"/>
      <c r="M47" s="1"/>
      <c r="N47" s="96"/>
      <c r="O47" s="1"/>
      <c r="P47" s="1"/>
      <c r="Q47" s="224">
        <f>SetPnt_N_1</f>
      </c>
      <c r="R47" s="223">
        <f>N41</f>
      </c>
      <c r="S47" s="279">
        <f>O41</f>
      </c>
      <c r="T47" s="1"/>
      <c r="U47" s="1"/>
      <c r="V47" s="1"/>
      <c r="W47" s="1"/>
      <c r="X47" s="1"/>
    </row>
    <row x14ac:dyDescent="0.25" r="48" customHeight="1" ht="18">
      <c r="A48" s="210"/>
      <c r="B48" s="2"/>
      <c r="C48" s="211"/>
      <c r="D48" s="96"/>
      <c r="E48" s="1"/>
      <c r="F48" s="1"/>
      <c r="G48" s="212"/>
      <c r="H48" s="280" t="s">
        <v>107</v>
      </c>
      <c r="I48" s="13"/>
      <c r="J48" s="13"/>
      <c r="K48" s="13"/>
      <c r="L48" s="13"/>
      <c r="M48" s="13"/>
      <c r="N48" s="228"/>
      <c r="O48" s="14"/>
      <c r="P48" s="1"/>
      <c r="Q48" s="224">
        <f>SetPnt_N_2</f>
      </c>
      <c r="R48" s="223">
        <f>N42</f>
      </c>
      <c r="S48" s="279">
        <f>O42</f>
      </c>
      <c r="T48" s="1"/>
      <c r="U48" s="1"/>
      <c r="V48" s="1"/>
      <c r="W48" s="1"/>
      <c r="X48" s="1"/>
    </row>
    <row x14ac:dyDescent="0.25" r="49" customHeight="1" ht="18.75">
      <c r="A49" s="210"/>
      <c r="B49" s="2"/>
      <c r="C49" s="211"/>
      <c r="D49" s="96"/>
      <c r="E49" s="1"/>
      <c r="F49" s="1"/>
      <c r="G49" s="16"/>
      <c r="H49" s="1" t="s">
        <v>108</v>
      </c>
      <c r="I49" s="1"/>
      <c r="J49" s="1"/>
      <c r="K49" s="1"/>
      <c r="L49" s="1"/>
      <c r="M49" s="1"/>
      <c r="N49" s="96"/>
      <c r="O49" s="17"/>
      <c r="P49" s="1"/>
      <c r="Q49" s="224">
        <f>SetPnt_N_3</f>
      </c>
      <c r="R49" s="223">
        <f>N43</f>
      </c>
      <c r="S49" s="279">
        <f>O43</f>
      </c>
      <c r="T49" s="1"/>
      <c r="U49" s="1"/>
      <c r="V49" s="1"/>
      <c r="W49" s="1"/>
      <c r="X49" s="1"/>
    </row>
    <row x14ac:dyDescent="0.25" r="50" customHeight="1" ht="18">
      <c r="A50" s="210"/>
      <c r="B50" s="2"/>
      <c r="C50" s="211"/>
      <c r="D50" s="96"/>
      <c r="E50" s="1"/>
      <c r="F50" s="1"/>
      <c r="G50" s="281" t="s">
        <v>103</v>
      </c>
      <c r="H50" s="270"/>
      <c r="I50" s="270"/>
      <c r="J50" s="270"/>
      <c r="K50" s="282"/>
      <c r="L50" s="283" t="s">
        <v>104</v>
      </c>
      <c r="M50" s="270"/>
      <c r="N50" s="269"/>
      <c r="O50" s="284"/>
      <c r="P50" s="1"/>
      <c r="Q50" s="224">
        <f>SetPnt_N_4</f>
      </c>
      <c r="R50" s="223">
        <f>N44</f>
      </c>
      <c r="S50" s="279">
        <f>O44</f>
      </c>
      <c r="T50" s="1"/>
      <c r="U50" s="1"/>
      <c r="V50" s="1"/>
      <c r="W50" s="1"/>
      <c r="X50" s="1"/>
    </row>
    <row x14ac:dyDescent="0.25" r="51" customHeight="1" ht="16.2">
      <c r="A51" s="210"/>
      <c r="B51" s="2"/>
      <c r="C51" s="211"/>
      <c r="D51" s="96"/>
      <c r="E51" s="1"/>
      <c r="F51" s="1"/>
      <c r="G51" s="285" t="s">
        <v>109</v>
      </c>
      <c r="H51" s="286" t="s">
        <v>47</v>
      </c>
      <c r="I51" s="111" t="s">
        <v>48</v>
      </c>
      <c r="J51" s="287" t="s">
        <v>110</v>
      </c>
      <c r="K51" s="1"/>
      <c r="L51" s="285" t="s">
        <v>111</v>
      </c>
      <c r="M51" s="286" t="s">
        <v>47</v>
      </c>
      <c r="N51" s="167" t="s">
        <v>48</v>
      </c>
      <c r="O51" s="287" t="s">
        <v>110</v>
      </c>
      <c r="P51" s="1"/>
      <c r="Q51" s="224">
        <f>SetPnt_N_5</f>
      </c>
      <c r="R51" s="223">
        <f>N45</f>
      </c>
      <c r="S51" s="279">
        <f>O45</f>
      </c>
      <c r="T51" s="1"/>
      <c r="U51" s="1"/>
      <c r="V51" s="1"/>
      <c r="W51" s="1"/>
      <c r="X51" s="1"/>
    </row>
    <row x14ac:dyDescent="0.25" r="52" customHeight="1" ht="18.75">
      <c r="A52" s="210"/>
      <c r="B52" s="2"/>
      <c r="C52" s="211"/>
      <c r="D52" s="96"/>
      <c r="E52" s="1"/>
      <c r="F52" s="1"/>
      <c r="G52" s="288" t="s">
        <v>112</v>
      </c>
      <c r="H52" s="289">
        <f>SLOPE(I40:I45,J40:J45)</f>
      </c>
      <c r="I52" s="290">
        <f>INTERCEPT(I40:I45,J40:J45)</f>
      </c>
      <c r="J52" s="291">
        <f>(H$55-H52)/H$55</f>
      </c>
      <c r="K52" s="1"/>
      <c r="L52" s="288" t="s">
        <v>112</v>
      </c>
      <c r="M52" s="289">
        <f>SLOPE(N40:N45,O40:O45)</f>
      </c>
      <c r="N52" s="290">
        <f>INTERCEPT(N40:N45,O40:O45)</f>
      </c>
      <c r="O52" s="291">
        <f>(M$55-M52)/M$55</f>
      </c>
      <c r="P52" s="1"/>
      <c r="Q52" s="1"/>
      <c r="R52" s="1"/>
      <c r="S52" s="1"/>
      <c r="T52" s="1"/>
      <c r="U52" s="1"/>
      <c r="V52" s="1"/>
      <c r="W52" s="1"/>
      <c r="X52" s="1"/>
    </row>
    <row x14ac:dyDescent="0.25" r="53" customHeight="1" ht="18.75">
      <c r="A53" s="210"/>
      <c r="B53" s="2"/>
      <c r="C53" s="211"/>
      <c r="D53" s="96"/>
      <c r="E53" s="1"/>
      <c r="F53" s="1"/>
      <c r="G53" s="292" t="s">
        <v>113</v>
      </c>
      <c r="H53" s="289">
        <f>SLOPE(I41:I45,J41:J45)</f>
      </c>
      <c r="I53" s="290">
        <f>INTERCEPT(I41:I45,J41:J45)</f>
      </c>
      <c r="J53" s="293">
        <f>(H$55-H53)/H$55</f>
      </c>
      <c r="K53" s="1"/>
      <c r="L53" s="292" t="s">
        <v>113</v>
      </c>
      <c r="M53" s="289">
        <f>SLOPE(N41:N45,O41:O45)</f>
      </c>
      <c r="N53" s="290">
        <f>INTERCEPT(N41:N45,O41:O45)</f>
      </c>
      <c r="O53" s="293">
        <f>(M$55-M53)/M$55</f>
      </c>
      <c r="P53" s="1"/>
      <c r="Q53" s="1"/>
      <c r="R53" s="1"/>
      <c r="S53" s="1"/>
      <c r="T53" s="1"/>
      <c r="U53" s="1"/>
      <c r="V53" s="1"/>
      <c r="W53" s="1"/>
      <c r="X53" s="1"/>
    </row>
    <row x14ac:dyDescent="0.25" r="54" customHeight="1" ht="18.75">
      <c r="A54" s="210"/>
      <c r="B54" s="2"/>
      <c r="C54" s="211"/>
      <c r="D54" s="96"/>
      <c r="E54" s="1"/>
      <c r="F54" s="1"/>
      <c r="G54" s="288" t="s">
        <v>114</v>
      </c>
      <c r="H54" s="289">
        <f>SLOPE(I42:I45,J42:J45)</f>
      </c>
      <c r="I54" s="290">
        <f>INTERCEPT(I42:I45,J42:J45)</f>
      </c>
      <c r="J54" s="291">
        <f>(H$55-H54)/H$55</f>
      </c>
      <c r="K54" s="1"/>
      <c r="L54" s="288" t="s">
        <v>114</v>
      </c>
      <c r="M54" s="289">
        <f>SLOPE(N42:N45,O42:O45)</f>
      </c>
      <c r="N54" s="290">
        <f>INTERCEPT(N42:N45,O42:O45)</f>
      </c>
      <c r="O54" s="291">
        <f>(M$55-M54)/M$55</f>
      </c>
      <c r="P54" s="1"/>
      <c r="Q54" s="1"/>
      <c r="R54" s="1"/>
      <c r="S54" s="1"/>
      <c r="T54" s="1"/>
      <c r="U54" s="1"/>
      <c r="V54" s="1"/>
      <c r="W54" s="1"/>
      <c r="X54" s="1"/>
    </row>
    <row x14ac:dyDescent="0.25" r="55" customHeight="1" ht="18.6">
      <c r="A55" s="266" t="s">
        <v>115</v>
      </c>
      <c r="B55" s="2"/>
      <c r="C55" s="211"/>
      <c r="D55" s="96"/>
      <c r="E55" s="1"/>
      <c r="F55" s="1"/>
      <c r="G55" s="294" t="s">
        <v>116</v>
      </c>
      <c r="H55" s="295">
        <f>SLOPE(I43:I45,J43:J45)</f>
      </c>
      <c r="I55" s="120">
        <f>INTERCEPT(I43:I45,J43:J45)</f>
      </c>
      <c r="J55" s="296" t="s">
        <v>117</v>
      </c>
      <c r="K55" s="21"/>
      <c r="L55" s="294" t="s">
        <v>116</v>
      </c>
      <c r="M55" s="295">
        <f>SLOPE(N43:N45,O43:O45)</f>
      </c>
      <c r="N55" s="120">
        <f>INTERCEPT(N43:N45,O43:O45)</f>
      </c>
      <c r="O55" s="296" t="s">
        <v>117</v>
      </c>
      <c r="P55" s="1"/>
      <c r="Q55" s="1"/>
      <c r="R55" s="1"/>
      <c r="S55" s="1"/>
      <c r="T55" s="1"/>
      <c r="U55" s="1"/>
      <c r="V55" s="1"/>
      <c r="W55" s="1"/>
      <c r="X55" s="1"/>
    </row>
    <row x14ac:dyDescent="0.25" r="56" customHeight="1" ht="18">
      <c r="A56" s="266"/>
      <c r="B56" s="2"/>
      <c r="C56" s="211"/>
      <c r="D56" s="96"/>
      <c r="E56" s="1"/>
      <c r="F56" s="1"/>
      <c r="G56" s="1"/>
      <c r="H56" s="1"/>
      <c r="I56" s="1"/>
      <c r="J56" s="1"/>
      <c r="K56" s="1"/>
      <c r="L56" s="1"/>
      <c r="M56" s="1"/>
      <c r="N56" s="96"/>
      <c r="O56" s="1"/>
      <c r="P56" s="1"/>
      <c r="Q56" s="1"/>
      <c r="R56" s="1"/>
      <c r="S56" s="1"/>
      <c r="T56" s="1"/>
      <c r="U56" s="1"/>
      <c r="V56" s="1"/>
      <c r="W56" s="1"/>
      <c r="X56" s="1"/>
    </row>
    <row x14ac:dyDescent="0.25" r="57" customHeight="1" ht="15">
      <c r="A57" s="210"/>
      <c r="B57" s="2" t="s">
        <v>118</v>
      </c>
      <c r="C57" s="211"/>
      <c r="D57" s="96"/>
      <c r="E57" s="1"/>
      <c r="F57" s="1"/>
      <c r="G57" s="1"/>
      <c r="H57" s="1"/>
      <c r="I57" s="1"/>
      <c r="J57" s="1"/>
      <c r="K57" s="1"/>
      <c r="L57" s="1"/>
      <c r="M57" s="1"/>
      <c r="N57" s="96"/>
      <c r="O57" s="1"/>
      <c r="P57" s="1"/>
      <c r="Q57" s="1"/>
      <c r="R57" s="1"/>
      <c r="S57" s="1"/>
      <c r="T57" s="1"/>
      <c r="U57" s="1"/>
      <c r="V57" s="1"/>
      <c r="W57" s="1"/>
      <c r="X57" s="1"/>
    </row>
    <row x14ac:dyDescent="0.25" r="58" customHeight="1" ht="18">
      <c r="A58" s="210" t="s">
        <v>52</v>
      </c>
      <c r="B58" s="297" t="s">
        <v>68</v>
      </c>
      <c r="C58" s="298" t="s">
        <v>47</v>
      </c>
      <c r="D58" s="167" t="s">
        <v>48</v>
      </c>
      <c r="E58" s="299"/>
      <c r="F58" s="1"/>
      <c r="G58" s="1"/>
      <c r="H58" s="1"/>
      <c r="I58" s="1"/>
      <c r="J58" s="1"/>
      <c r="K58" s="1"/>
      <c r="L58" s="1"/>
      <c r="M58" s="1"/>
      <c r="N58" s="96"/>
      <c r="O58" s="1"/>
      <c r="P58" s="1"/>
      <c r="Q58" s="1"/>
      <c r="R58" s="1"/>
      <c r="S58" s="1"/>
      <c r="T58" s="1"/>
      <c r="U58" s="1"/>
      <c r="V58" s="1"/>
      <c r="W58" s="1"/>
      <c r="X58" s="1"/>
    </row>
    <row x14ac:dyDescent="0.25" r="59" customHeight="1" ht="15">
      <c r="A59" s="210" t="s">
        <v>55</v>
      </c>
      <c r="B59" s="300">
        <f>CONCATENATE($B$4,"/V")</f>
      </c>
      <c r="C59" s="119">
        <f>SLOPE(R40:R51,S40:S51)</f>
      </c>
      <c r="D59" s="120">
        <f>INTERCEPT(R40:R51,S40:S51)</f>
      </c>
      <c r="E59" s="301">
        <f>CORREL(AB5:AB55,AA5:AA55)</f>
      </c>
      <c r="F59" s="1"/>
      <c r="G59" s="1"/>
      <c r="H59" s="1"/>
      <c r="I59" s="1"/>
      <c r="J59" s="1"/>
      <c r="K59" s="1"/>
      <c r="L59" s="1"/>
      <c r="M59" s="1"/>
      <c r="N59" s="96"/>
      <c r="O59" s="1"/>
      <c r="P59" s="1"/>
      <c r="Q59" s="1"/>
      <c r="R59" s="1"/>
      <c r="S59" s="1"/>
      <c r="T59" s="1"/>
      <c r="U59" s="1"/>
      <c r="V59" s="1"/>
      <c r="W59" s="1"/>
      <c r="X59" s="1"/>
    </row>
    <row x14ac:dyDescent="0.25" r="60" customHeight="1" ht="15">
      <c r="A60" s="210"/>
      <c r="B60" s="302">
        <f>CONCATENATE("V/",$B$4)</f>
      </c>
      <c r="C60" s="124">
        <f>SLOPE(S40:S51,R40:R51)</f>
      </c>
      <c r="D60" s="125">
        <f>INTERCEPT(S40:S51,R40:R51)</f>
      </c>
      <c r="E60" s="1"/>
      <c r="F60" s="1"/>
      <c r="G60" s="1"/>
      <c r="H60" s="1"/>
      <c r="I60" s="1"/>
      <c r="J60" s="1"/>
      <c r="K60" s="1"/>
      <c r="L60" s="1"/>
      <c r="M60" s="1"/>
      <c r="N60" s="96"/>
      <c r="O60" s="1"/>
      <c r="P60" s="1"/>
      <c r="Q60" s="1"/>
      <c r="R60" s="1"/>
      <c r="S60" s="1"/>
      <c r="T60" s="1"/>
      <c r="U60" s="1"/>
      <c r="V60" s="1"/>
      <c r="W60" s="1"/>
      <c r="X60" s="1"/>
    </row>
    <row x14ac:dyDescent="0.25" r="61" customHeight="1" ht="15">
      <c r="A61" s="210"/>
      <c r="B61" s="303"/>
      <c r="C61" s="211"/>
      <c r="D61" s="96"/>
      <c r="E61" s="1"/>
      <c r="F61" s="1"/>
      <c r="G61" s="1"/>
      <c r="H61" s="1"/>
      <c r="I61" s="1"/>
      <c r="J61" s="1"/>
      <c r="K61" s="1"/>
      <c r="L61" s="1"/>
      <c r="M61" s="1"/>
      <c r="N61" s="96"/>
      <c r="O61" s="1"/>
      <c r="P61" s="1"/>
      <c r="Q61" s="1"/>
      <c r="R61" s="1"/>
      <c r="S61" s="1"/>
      <c r="T61" s="1"/>
      <c r="U61" s="1"/>
      <c r="V61" s="1"/>
      <c r="W61" s="1"/>
      <c r="X61" s="1"/>
    </row>
    <row x14ac:dyDescent="0.25" r="62" customHeight="1" ht="18">
      <c r="A62" s="210" t="s">
        <v>61</v>
      </c>
      <c r="B62" s="297" t="s">
        <v>68</v>
      </c>
      <c r="C62" s="298" t="s">
        <v>58</v>
      </c>
      <c r="D62" s="304" t="s">
        <v>59</v>
      </c>
      <c r="E62" s="111" t="s">
        <v>60</v>
      </c>
      <c r="F62" s="1"/>
      <c r="G62" s="1"/>
      <c r="H62" s="1"/>
      <c r="I62" s="1"/>
      <c r="J62" s="1"/>
      <c r="K62" s="1"/>
      <c r="L62" s="1"/>
      <c r="M62" s="1"/>
      <c r="N62" s="96"/>
      <c r="O62" s="1"/>
      <c r="P62" s="1"/>
      <c r="Q62" s="1"/>
      <c r="R62" s="1"/>
      <c r="S62" s="1"/>
      <c r="T62" s="1"/>
      <c r="U62" s="1"/>
      <c r="V62" s="1"/>
      <c r="W62" s="1"/>
      <c r="X62" s="1"/>
    </row>
    <row x14ac:dyDescent="0.25" r="63" customHeight="1" ht="15">
      <c r="A63" s="210" t="s">
        <v>63</v>
      </c>
      <c r="B63" s="300">
        <f>CONCATENATE($B$4,"/V")</f>
      </c>
      <c r="C63" s="131">
        <f>INDEX(LINEST(R40:R51,(S40:S51)^{1,2}),1)</f>
      </c>
      <c r="D63" s="131">
        <f>INDEX(LINEST(R40:R51,(S40:S51)^{1,2}),1,2)</f>
      </c>
      <c r="E63" s="132">
        <f>INDEX(LINEST(R40:R51,(S40:S51)^{1,2}),1,3)</f>
      </c>
      <c r="F63" s="1"/>
      <c r="G63" s="1"/>
      <c r="H63" s="1"/>
      <c r="I63" s="1"/>
      <c r="J63" s="1"/>
      <c r="K63" s="1"/>
      <c r="L63" s="1"/>
      <c r="M63" s="1"/>
      <c r="N63" s="96"/>
      <c r="O63" s="1"/>
      <c r="P63" s="1"/>
      <c r="Q63" s="1"/>
      <c r="R63" s="1"/>
      <c r="S63" s="1"/>
      <c r="T63" s="1"/>
      <c r="U63" s="1"/>
      <c r="V63" s="1"/>
      <c r="W63" s="1"/>
      <c r="X63" s="1"/>
    </row>
    <row x14ac:dyDescent="0.25" r="64" customHeight="1" ht="15">
      <c r="A64" s="210"/>
      <c r="B64" s="302">
        <f>CONCATENATE("V/",$B$4)</f>
      </c>
      <c r="C64" s="201">
        <f>INDEX(LINEST(S40:S51,(R40:R51)^{1,2}),1)</f>
      </c>
      <c r="D64" s="201">
        <f>INDEX(LINEST(S40:S51,(R40:R51)^{1,2}),1,2)</f>
      </c>
      <c r="E64" s="202">
        <f>INDEX(LINEST(S40:S51,(R40:R51)^{1,2}),1,3)</f>
      </c>
      <c r="F64" s="1"/>
      <c r="G64" s="1"/>
      <c r="H64" s="1"/>
      <c r="I64" s="1"/>
      <c r="J64" s="1"/>
      <c r="K64" s="1"/>
      <c r="L64" s="1"/>
      <c r="M64" s="1"/>
      <c r="N64" s="96"/>
      <c r="O64" s="1"/>
      <c r="P64" s="1"/>
      <c r="Q64" s="1"/>
      <c r="R64" s="1"/>
      <c r="S64" s="1"/>
      <c r="T64" s="1"/>
      <c r="U64" s="1"/>
      <c r="V64" s="1"/>
      <c r="W64" s="1"/>
      <c r="X64" s="1"/>
    </row>
    <row x14ac:dyDescent="0.25" r="65" customHeight="1" ht="18.75">
      <c r="A65" s="210"/>
      <c r="B65" s="2"/>
      <c r="C65" s="211"/>
      <c r="D65" s="96"/>
      <c r="E65" s="1"/>
      <c r="F65" s="1"/>
      <c r="G65" s="1"/>
      <c r="H65" s="1"/>
      <c r="I65" s="1"/>
      <c r="J65" s="1"/>
      <c r="K65" s="1"/>
      <c r="L65" s="1"/>
      <c r="M65" s="1"/>
      <c r="N65" s="96"/>
      <c r="O65" s="1"/>
      <c r="P65" s="1"/>
      <c r="Q65" s="1"/>
      <c r="R65" s="1"/>
      <c r="S65" s="1"/>
      <c r="T65" s="1"/>
      <c r="U65" s="1"/>
      <c r="V65" s="1"/>
      <c r="W65" s="1"/>
      <c r="X65" s="1"/>
    </row>
    <row x14ac:dyDescent="0.25" r="66" customHeight="1" ht="25.8">
      <c r="A66" s="206" t="s">
        <v>119</v>
      </c>
      <c r="B66" s="207"/>
      <c r="C66" s="207"/>
      <c r="D66" s="208"/>
      <c r="E66" s="209"/>
      <c r="F66" s="209"/>
      <c r="G66" s="209"/>
      <c r="H66" s="209"/>
      <c r="I66" s="209"/>
      <c r="J66" s="209"/>
      <c r="K66" s="209"/>
      <c r="L66" s="209"/>
      <c r="M66" s="209"/>
      <c r="N66" s="208"/>
      <c r="O66" s="209"/>
      <c r="P66" s="209"/>
      <c r="Q66" s="209"/>
      <c r="R66" s="209"/>
      <c r="S66" s="209"/>
      <c r="T66" s="209"/>
      <c r="U66" s="209"/>
      <c r="V66" s="209"/>
      <c r="W66" s="209"/>
      <c r="X66" s="209"/>
    </row>
    <row x14ac:dyDescent="0.25" r="67" customHeight="1" ht="18.75">
      <c r="A67" s="210"/>
      <c r="B67" s="2"/>
      <c r="C67" s="211"/>
      <c r="D67" s="96"/>
      <c r="E67" s="1"/>
      <c r="F67" s="1"/>
      <c r="G67" s="1"/>
      <c r="H67" s="1"/>
      <c r="I67" s="1"/>
      <c r="J67" s="1"/>
      <c r="K67" s="1"/>
      <c r="L67" s="1"/>
      <c r="M67" s="1"/>
      <c r="N67" s="96"/>
      <c r="O67" s="1"/>
      <c r="P67" s="1"/>
      <c r="Q67" s="1"/>
      <c r="R67" s="1"/>
      <c r="S67" s="1"/>
      <c r="T67" s="1"/>
      <c r="U67" s="1"/>
      <c r="V67" s="1"/>
      <c r="W67" s="1"/>
      <c r="X67" s="1"/>
    </row>
    <row x14ac:dyDescent="0.25" r="68" customHeight="1" ht="15">
      <c r="A68" s="210"/>
      <c r="B68" s="2"/>
      <c r="C68" s="211"/>
      <c r="D68" s="96"/>
      <c r="E68" s="1"/>
      <c r="F68" s="1" t="s">
        <v>120</v>
      </c>
      <c r="G68" s="1"/>
      <c r="H68" s="1"/>
      <c r="I68" s="1"/>
      <c r="J68" s="1"/>
      <c r="K68" s="1"/>
      <c r="L68" s="1"/>
      <c r="M68" s="1"/>
      <c r="N68" s="96"/>
      <c r="O68" s="1"/>
      <c r="P68" s="1"/>
      <c r="Q68" s="1"/>
      <c r="R68" s="1"/>
      <c r="S68" s="1"/>
      <c r="T68" s="1"/>
      <c r="U68" s="1"/>
      <c r="V68" s="1"/>
      <c r="W68" s="1"/>
      <c r="X68" s="1"/>
    </row>
    <row x14ac:dyDescent="0.25" r="69" customHeight="1" ht="18">
      <c r="A69" s="210"/>
      <c r="B69" s="2"/>
      <c r="C69" s="211"/>
      <c r="D69" s="96"/>
      <c r="E69" s="1"/>
      <c r="F69" s="109" t="s">
        <v>121</v>
      </c>
      <c r="G69" s="110" t="s">
        <v>47</v>
      </c>
      <c r="H69" s="111" t="s">
        <v>48</v>
      </c>
      <c r="I69" s="1"/>
      <c r="J69" s="1"/>
      <c r="K69" s="1"/>
      <c r="L69" s="1"/>
      <c r="M69" s="1"/>
      <c r="N69" s="96"/>
      <c r="O69" s="1"/>
      <c r="P69" s="1"/>
      <c r="Q69" s="1"/>
      <c r="R69" s="1"/>
      <c r="S69" s="1"/>
      <c r="T69" s="1"/>
      <c r="U69" s="1"/>
      <c r="V69" s="1"/>
      <c r="W69" s="1"/>
      <c r="X69" s="1"/>
    </row>
    <row x14ac:dyDescent="0.25" r="70" customHeight="1" ht="15">
      <c r="A70" s="210"/>
      <c r="B70" s="2"/>
      <c r="C70" s="211"/>
      <c r="D70" s="96"/>
      <c r="E70" s="1"/>
      <c r="F70" s="118" t="s">
        <v>53</v>
      </c>
      <c r="G70" s="119">
        <f>LINEST(E72:E73,F72:F73)</f>
      </c>
      <c r="H70" s="120">
        <f>INTERCEPT(E72:E73,F72:F73)</f>
      </c>
      <c r="I70" s="1"/>
      <c r="J70" s="1"/>
      <c r="K70" s="1"/>
      <c r="L70" s="1"/>
      <c r="M70" s="1"/>
      <c r="N70" s="96"/>
      <c r="O70" s="1"/>
      <c r="P70" s="1"/>
      <c r="Q70" s="1"/>
      <c r="R70" s="1"/>
      <c r="S70" s="1"/>
      <c r="T70" s="1"/>
      <c r="U70" s="1"/>
      <c r="V70" s="1"/>
      <c r="W70" s="1"/>
      <c r="X70" s="1"/>
    </row>
    <row x14ac:dyDescent="0.25" r="71" customHeight="1" ht="18.75">
      <c r="A71" s="210" t="s">
        <v>122</v>
      </c>
      <c r="B71" s="2"/>
      <c r="C71" s="211"/>
      <c r="D71" s="96"/>
      <c r="E71" s="1"/>
      <c r="F71" s="305" t="s">
        <v>56</v>
      </c>
      <c r="G71" s="306">
        <f>LINEST(F72:F73,E72:E73)</f>
      </c>
      <c r="H71" s="307">
        <f>INTERCEPT(F72:F73,E72:E73)</f>
      </c>
      <c r="I71" s="1"/>
      <c r="J71" s="1"/>
      <c r="K71" s="1"/>
      <c r="L71" s="1"/>
      <c r="M71" s="1"/>
      <c r="N71" s="96"/>
      <c r="O71" s="1"/>
      <c r="P71" s="1"/>
      <c r="Q71" s="1"/>
      <c r="R71" s="1"/>
      <c r="S71" s="1"/>
      <c r="T71" s="1"/>
      <c r="U71" s="1"/>
      <c r="V71" s="1"/>
      <c r="W71" s="1"/>
      <c r="X71" s="1"/>
    </row>
    <row x14ac:dyDescent="0.25" r="72" customHeight="1" ht="18.75">
      <c r="A72" s="308">
        <f>D11</f>
      </c>
      <c r="B72" s="309">
        <f>SetPnt_N_0</f>
      </c>
      <c r="C72" s="279">
        <f>B72*$G$71+$H$71</f>
      </c>
      <c r="D72" s="279">
        <f>B72*$C$60+$D$60</f>
      </c>
      <c r="E72" s="310">
        <f>D40</f>
      </c>
      <c r="F72" s="310">
        <f>E40</f>
      </c>
      <c r="G72" s="279">
        <f>E72*$G$94+$H$94</f>
      </c>
      <c r="H72" s="279">
        <f>F72-G72</f>
      </c>
      <c r="I72" s="311">
        <f>C72+H72</f>
      </c>
      <c r="J72" s="279">
        <f>H72/4</f>
      </c>
      <c r="K72" s="312"/>
      <c r="L72" s="279">
        <f>E72*$C$60+$D$60</f>
      </c>
      <c r="M72" s="279">
        <f>F72-L72</f>
      </c>
      <c r="N72" s="311">
        <f>C72+M72</f>
      </c>
      <c r="O72" s="313">
        <f>M72/4</f>
      </c>
      <c r="P72" s="1"/>
      <c r="Q72" s="1"/>
      <c r="R72" s="1"/>
      <c r="S72" s="1"/>
      <c r="T72" s="1"/>
      <c r="U72" s="1"/>
      <c r="V72" s="1"/>
      <c r="W72" s="1"/>
      <c r="X72" s="1"/>
    </row>
    <row x14ac:dyDescent="0.25" r="73" customHeight="1" ht="18.75">
      <c r="A73" s="308">
        <f>D16</f>
      </c>
      <c r="B73" s="314">
        <f>SetPnt_N_5</f>
      </c>
      <c r="C73" s="279">
        <f>B73*$G$71+$H$71</f>
      </c>
      <c r="D73" s="279">
        <f>B73*$C$60+$D$60</f>
      </c>
      <c r="E73" s="310">
        <f>D41</f>
      </c>
      <c r="F73" s="310">
        <f>E41</f>
      </c>
      <c r="G73" s="279">
        <f>E73*$G$71+$H$71</f>
      </c>
      <c r="H73" s="279">
        <f>F73-G73</f>
      </c>
      <c r="I73" s="311">
        <f>C73+H73</f>
      </c>
      <c r="J73" s="279">
        <f>H73/4</f>
      </c>
      <c r="K73" s="312"/>
      <c r="L73" s="279">
        <f>E73*$C$60+$D$60</f>
      </c>
      <c r="M73" s="279">
        <f>F73-L73</f>
      </c>
      <c r="N73" s="311">
        <f>C73+M73</f>
      </c>
      <c r="O73" s="313">
        <f>M73/4</f>
      </c>
      <c r="P73" s="1"/>
      <c r="Q73" s="1"/>
      <c r="R73" s="1"/>
      <c r="S73" s="1"/>
      <c r="T73" s="1"/>
      <c r="U73" s="1"/>
      <c r="V73" s="1"/>
      <c r="W73" s="1"/>
      <c r="X73" s="1"/>
    </row>
    <row x14ac:dyDescent="0.25" r="74" customHeight="1" ht="18.75">
      <c r="A74" s="210"/>
      <c r="B74" s="2"/>
      <c r="C74" s="211"/>
      <c r="D74" s="96"/>
      <c r="E74" s="1"/>
      <c r="F74" s="1"/>
      <c r="G74" s="1"/>
      <c r="H74" s="1"/>
      <c r="I74" s="1"/>
      <c r="J74" s="1"/>
      <c r="K74" s="1"/>
      <c r="L74" s="1"/>
      <c r="M74" s="1"/>
      <c r="N74" s="96"/>
      <c r="O74" s="1"/>
      <c r="P74" s="1"/>
      <c r="Q74" s="1"/>
      <c r="R74" s="1"/>
      <c r="S74" s="1"/>
      <c r="T74" s="1"/>
      <c r="U74" s="1"/>
      <c r="V74" s="1"/>
      <c r="W74" s="1"/>
      <c r="X74" s="1"/>
    </row>
    <row x14ac:dyDescent="0.25" r="75" customHeight="1" ht="15">
      <c r="A75" s="210"/>
      <c r="B75" s="2"/>
      <c r="C75" s="211"/>
      <c r="D75" s="96"/>
      <c r="E75" s="1"/>
      <c r="F75" s="1" t="s">
        <v>123</v>
      </c>
      <c r="G75" s="1"/>
      <c r="H75" s="1"/>
      <c r="I75" s="1"/>
      <c r="J75" s="1"/>
      <c r="K75" s="1"/>
      <c r="L75" s="1"/>
      <c r="M75" s="1"/>
      <c r="N75" s="96"/>
      <c r="O75" s="1"/>
      <c r="P75" s="1"/>
      <c r="Q75" s="1"/>
      <c r="R75" s="1"/>
      <c r="S75" s="1"/>
      <c r="T75" s="1"/>
      <c r="U75" s="1"/>
      <c r="V75" s="1"/>
      <c r="W75" s="1"/>
      <c r="X75" s="1"/>
    </row>
    <row x14ac:dyDescent="0.25" r="76" customHeight="1" ht="18">
      <c r="A76" s="210"/>
      <c r="B76" s="2"/>
      <c r="C76" s="211"/>
      <c r="D76" s="96"/>
      <c r="E76" s="1"/>
      <c r="F76" s="109" t="s">
        <v>121</v>
      </c>
      <c r="G76" s="110" t="s">
        <v>47</v>
      </c>
      <c r="H76" s="111" t="s">
        <v>48</v>
      </c>
      <c r="I76" s="1"/>
      <c r="J76" s="1"/>
      <c r="K76" s="1"/>
      <c r="L76" s="1"/>
      <c r="M76" s="1"/>
      <c r="N76" s="96"/>
      <c r="O76" s="1"/>
      <c r="P76" s="1"/>
      <c r="Q76" s="1"/>
      <c r="R76" s="1"/>
      <c r="S76" s="1"/>
      <c r="T76" s="1"/>
      <c r="U76" s="1"/>
      <c r="V76" s="1"/>
      <c r="W76" s="1"/>
      <c r="X76" s="1"/>
    </row>
    <row x14ac:dyDescent="0.25" r="77" customHeight="1" ht="15">
      <c r="A77" s="210"/>
      <c r="B77" s="2"/>
      <c r="C77" s="211"/>
      <c r="D77" s="96"/>
      <c r="E77" s="1"/>
      <c r="F77" s="118" t="s">
        <v>53</v>
      </c>
      <c r="G77" s="119">
        <f>LINEST(E79:E80,F79:F80)</f>
      </c>
      <c r="H77" s="120">
        <f>INTERCEPT(E79:E80,F79:F80)</f>
      </c>
      <c r="I77" s="1"/>
      <c r="J77" s="1"/>
      <c r="K77" s="1"/>
      <c r="L77" s="1"/>
      <c r="M77" s="1"/>
      <c r="N77" s="96"/>
      <c r="O77" s="1"/>
      <c r="P77" s="1"/>
      <c r="Q77" s="1"/>
      <c r="R77" s="1"/>
      <c r="S77" s="1"/>
      <c r="T77" s="1"/>
      <c r="U77" s="1"/>
      <c r="V77" s="1"/>
      <c r="W77" s="1"/>
      <c r="X77" s="1"/>
    </row>
    <row x14ac:dyDescent="0.25" r="78" customHeight="1" ht="18.75">
      <c r="A78" s="210" t="s">
        <v>124</v>
      </c>
      <c r="B78" s="2"/>
      <c r="C78" s="211"/>
      <c r="D78" s="96"/>
      <c r="E78" s="1"/>
      <c r="F78" s="305" t="s">
        <v>56</v>
      </c>
      <c r="G78" s="306">
        <f>LINEST(F79:F80,E79:E80)</f>
      </c>
      <c r="H78" s="307">
        <f>INTERCEPT(F79:F80,E79:E80)</f>
      </c>
      <c r="I78" s="1"/>
      <c r="J78" s="1"/>
      <c r="K78" s="1"/>
      <c r="L78" s="1"/>
      <c r="M78" s="1"/>
      <c r="N78" s="96"/>
      <c r="O78" s="1"/>
      <c r="P78" s="1"/>
      <c r="Q78" s="1"/>
      <c r="R78" s="1"/>
      <c r="S78" s="1"/>
      <c r="T78" s="1"/>
      <c r="U78" s="1"/>
      <c r="V78" s="1"/>
      <c r="W78" s="1"/>
      <c r="X78" s="1"/>
    </row>
    <row x14ac:dyDescent="0.25" r="79" customHeight="1" ht="18.75">
      <c r="A79" s="308">
        <f>D11</f>
      </c>
      <c r="B79" s="309">
        <f>SetPnt_N_0</f>
      </c>
      <c r="C79" s="279">
        <f>B79*$G$78+$H$78</f>
      </c>
      <c r="D79" s="279">
        <f>B79*$C$60+$D$60</f>
      </c>
      <c r="E79" s="310">
        <f>D42</f>
      </c>
      <c r="F79" s="310">
        <f>E42</f>
      </c>
      <c r="G79" s="279">
        <f>E79*$G$94+$H$94</f>
      </c>
      <c r="H79" s="279">
        <f>F79-G79</f>
      </c>
      <c r="I79" s="311">
        <f>C79+H79</f>
      </c>
      <c r="J79" s="279">
        <f>H79/4</f>
      </c>
      <c r="K79" s="312"/>
      <c r="L79" s="279">
        <f>E79*$C$60+$D$60</f>
      </c>
      <c r="M79" s="279">
        <f>F79-L79</f>
      </c>
      <c r="N79" s="311">
        <f>C79+M79</f>
      </c>
      <c r="O79" s="313">
        <f>M79/4</f>
      </c>
      <c r="P79" s="1"/>
      <c r="Q79" s="1"/>
      <c r="R79" s="1"/>
      <c r="S79" s="1"/>
      <c r="T79" s="1"/>
      <c r="U79" s="1"/>
      <c r="V79" s="1"/>
      <c r="W79" s="1"/>
      <c r="X79" s="1"/>
    </row>
    <row x14ac:dyDescent="0.25" r="80" customHeight="1" ht="18.75">
      <c r="A80" s="308">
        <f>D16</f>
      </c>
      <c r="B80" s="314">
        <f>SetPnt_N_5</f>
      </c>
      <c r="C80" s="279">
        <f>B80*$G$78+$H$78</f>
      </c>
      <c r="D80" s="279">
        <f>B80*$C$60+$D$60</f>
      </c>
      <c r="E80" s="310">
        <f>D43</f>
      </c>
      <c r="F80" s="310">
        <f>E43</f>
      </c>
      <c r="G80" s="279">
        <f>E80*$G$78+$H$78</f>
      </c>
      <c r="H80" s="279">
        <f>F80-G80</f>
      </c>
      <c r="I80" s="311">
        <f>C80+H80</f>
      </c>
      <c r="J80" s="279">
        <f>H80/4</f>
      </c>
      <c r="K80" s="312"/>
      <c r="L80" s="279">
        <f>E80*$C$60+$D$60</f>
      </c>
      <c r="M80" s="279">
        <f>F80-L80</f>
      </c>
      <c r="N80" s="311">
        <f>C80+M80</f>
      </c>
      <c r="O80" s="313">
        <f>M80/4</f>
      </c>
      <c r="P80" s="1"/>
      <c r="Q80" s="1"/>
      <c r="R80" s="1"/>
      <c r="S80" s="1"/>
      <c r="T80" s="1"/>
      <c r="U80" s="1"/>
      <c r="V80" s="1"/>
      <c r="W80" s="1"/>
      <c r="X80" s="1"/>
    </row>
    <row x14ac:dyDescent="0.25" r="81" customHeight="1" ht="18.75">
      <c r="A81" s="210"/>
      <c r="B81" s="2"/>
      <c r="C81" s="211"/>
      <c r="D81" s="96"/>
      <c r="E81" s="1"/>
      <c r="F81" s="1"/>
      <c r="G81" s="1"/>
      <c r="H81" s="1"/>
      <c r="I81" s="1"/>
      <c r="J81" s="1"/>
      <c r="K81" s="1"/>
      <c r="L81" s="1"/>
      <c r="M81" s="1"/>
      <c r="N81" s="96"/>
      <c r="O81" s="1"/>
      <c r="P81" s="1"/>
      <c r="Q81" s="1"/>
      <c r="R81" s="1"/>
      <c r="S81" s="1"/>
      <c r="T81" s="1"/>
      <c r="U81" s="1"/>
      <c r="V81" s="1"/>
      <c r="W81" s="1"/>
      <c r="X81" s="1"/>
    </row>
    <row x14ac:dyDescent="0.25" r="82" customHeight="1" ht="15">
      <c r="A82" s="210"/>
      <c r="B82" s="2"/>
      <c r="C82" s="211"/>
      <c r="D82" s="96"/>
      <c r="E82" s="1"/>
      <c r="F82" s="1" t="s">
        <v>125</v>
      </c>
      <c r="G82" s="1"/>
      <c r="H82" s="1"/>
      <c r="I82" s="1"/>
      <c r="J82" s="1"/>
      <c r="K82" s="1"/>
      <c r="L82" s="1"/>
      <c r="M82" s="1"/>
      <c r="N82" s="96"/>
      <c r="O82" s="1"/>
      <c r="P82" s="1"/>
      <c r="Q82" s="1"/>
      <c r="R82" s="1"/>
      <c r="S82" s="1"/>
      <c r="T82" s="1"/>
      <c r="U82" s="1"/>
      <c r="V82" s="1"/>
      <c r="W82" s="1"/>
      <c r="X82" s="1"/>
    </row>
    <row x14ac:dyDescent="0.25" r="83" customHeight="1" ht="18">
      <c r="A83" s="210"/>
      <c r="B83" s="2"/>
      <c r="C83" s="211"/>
      <c r="D83" s="96"/>
      <c r="E83" s="1"/>
      <c r="F83" s="109" t="s">
        <v>121</v>
      </c>
      <c r="G83" s="110" t="s">
        <v>47</v>
      </c>
      <c r="H83" s="111" t="s">
        <v>48</v>
      </c>
      <c r="I83" s="1"/>
      <c r="J83" s="1"/>
      <c r="K83" s="1"/>
      <c r="L83" s="1"/>
      <c r="M83" s="1"/>
      <c r="N83" s="96"/>
      <c r="O83" s="1"/>
      <c r="P83" s="1"/>
      <c r="Q83" s="1"/>
      <c r="R83" s="1"/>
      <c r="S83" s="1"/>
      <c r="T83" s="1"/>
      <c r="U83" s="1"/>
      <c r="V83" s="1"/>
      <c r="W83" s="1"/>
      <c r="X83" s="1"/>
    </row>
    <row x14ac:dyDescent="0.25" r="84" customHeight="1" ht="15">
      <c r="A84" s="210"/>
      <c r="B84" s="2"/>
      <c r="C84" s="211"/>
      <c r="D84" s="96"/>
      <c r="E84" s="1"/>
      <c r="F84" s="118" t="s">
        <v>53</v>
      </c>
      <c r="G84" s="119">
        <f>LINEST(E86:E87,F86:F87)</f>
      </c>
      <c r="H84" s="120">
        <f>INTERCEPT(E86:E87,F86:F87)</f>
      </c>
      <c r="I84" s="1"/>
      <c r="J84" s="1"/>
      <c r="K84" s="1"/>
      <c r="L84" s="1"/>
      <c r="M84" s="1"/>
      <c r="N84" s="96"/>
      <c r="O84" s="1"/>
      <c r="P84" s="1"/>
      <c r="Q84" s="1"/>
      <c r="R84" s="1"/>
      <c r="S84" s="1"/>
      <c r="T84" s="1"/>
      <c r="U84" s="1"/>
      <c r="V84" s="1"/>
      <c r="W84" s="1"/>
      <c r="X84" s="1"/>
    </row>
    <row x14ac:dyDescent="0.25" r="85" customHeight="1" ht="18.75">
      <c r="A85" s="210" t="s">
        <v>126</v>
      </c>
      <c r="B85" s="2"/>
      <c r="C85" s="211"/>
      <c r="D85" s="96"/>
      <c r="E85" s="1"/>
      <c r="F85" s="305" t="s">
        <v>56</v>
      </c>
      <c r="G85" s="306">
        <f>LINEST(F86:F87,E86:E87)</f>
      </c>
      <c r="H85" s="307">
        <f>INTERCEPT(F86:F87,E86:E87)</f>
      </c>
      <c r="I85" s="1"/>
      <c r="J85" s="1"/>
      <c r="K85" s="1"/>
      <c r="L85" s="1"/>
      <c r="M85" s="1"/>
      <c r="N85" s="96"/>
      <c r="O85" s="1"/>
      <c r="P85" s="1"/>
      <c r="Q85" s="1"/>
      <c r="R85" s="1"/>
      <c r="S85" s="1"/>
      <c r="T85" s="1"/>
      <c r="U85" s="1"/>
      <c r="V85" s="1"/>
      <c r="W85" s="1"/>
      <c r="X85" s="1"/>
    </row>
    <row x14ac:dyDescent="0.25" r="86" customHeight="1" ht="18.75">
      <c r="A86" s="308">
        <f>D11</f>
      </c>
      <c r="B86" s="309">
        <f>SetPnt_N_0</f>
      </c>
      <c r="C86" s="279">
        <f>B86*$G$85+$H$85</f>
      </c>
      <c r="D86" s="279">
        <f>B86*$C$60+$D$60</f>
      </c>
      <c r="E86" s="310">
        <f>D44</f>
      </c>
      <c r="F86" s="310">
        <f>E44</f>
      </c>
      <c r="G86" s="279">
        <f>E86*$G$94+$H$94</f>
      </c>
      <c r="H86" s="279">
        <f>F86-G86</f>
      </c>
      <c r="I86" s="311">
        <f>C86+H86</f>
      </c>
      <c r="J86" s="279">
        <f>H86/4</f>
      </c>
      <c r="K86" s="312"/>
      <c r="L86" s="279">
        <f>E86*$C$60+$D$60</f>
      </c>
      <c r="M86" s="279">
        <f>F86-L86</f>
      </c>
      <c r="N86" s="311">
        <f>C86+M86</f>
      </c>
      <c r="O86" s="313">
        <f>M86/4</f>
      </c>
      <c r="P86" s="1"/>
      <c r="Q86" s="1"/>
      <c r="R86" s="1"/>
      <c r="S86" s="1"/>
      <c r="T86" s="1"/>
      <c r="U86" s="1"/>
      <c r="V86" s="1"/>
      <c r="W86" s="1"/>
      <c r="X86" s="1"/>
    </row>
    <row x14ac:dyDescent="0.25" r="87" customHeight="1" ht="18.75">
      <c r="A87" s="308">
        <f>D16</f>
      </c>
      <c r="B87" s="314">
        <f>SetPnt_N_5</f>
      </c>
      <c r="C87" s="279">
        <f>B87*$G$85+$H$85</f>
      </c>
      <c r="D87" s="279">
        <f>B87*$C$60+$D$60</f>
      </c>
      <c r="E87" s="310">
        <f>D45</f>
      </c>
      <c r="F87" s="310">
        <f>E45</f>
      </c>
      <c r="G87" s="279">
        <f>E87*$G$85+$H$85</f>
      </c>
      <c r="H87" s="279">
        <f>F87-G87</f>
      </c>
      <c r="I87" s="311">
        <f>C87+H87</f>
      </c>
      <c r="J87" s="279">
        <f>H87/4</f>
      </c>
      <c r="K87" s="312"/>
      <c r="L87" s="279">
        <f>E87*$C$60+$D$60</f>
      </c>
      <c r="M87" s="279">
        <f>F87-L87</f>
      </c>
      <c r="N87" s="311">
        <f>C87+M87</f>
      </c>
      <c r="O87" s="313">
        <f>M87/4</f>
      </c>
      <c r="P87" s="1"/>
      <c r="Q87" s="1"/>
      <c r="R87" s="1"/>
      <c r="S87" s="1"/>
      <c r="T87" s="1"/>
      <c r="U87" s="1"/>
      <c r="V87" s="1"/>
      <c r="W87" s="1"/>
      <c r="X87" s="1"/>
    </row>
    <row x14ac:dyDescent="0.25" r="88" customHeight="1" ht="18.75">
      <c r="A88" s="210"/>
      <c r="B88" s="2"/>
      <c r="C88" s="211"/>
      <c r="D88" s="96"/>
      <c r="E88" s="1"/>
      <c r="F88" s="1"/>
      <c r="G88" s="1"/>
      <c r="H88" s="1"/>
      <c r="I88" s="1"/>
      <c r="J88" s="1"/>
      <c r="K88" s="1"/>
      <c r="L88" s="1"/>
      <c r="M88" s="1"/>
      <c r="N88" s="96"/>
      <c r="O88" s="1"/>
      <c r="P88" s="1"/>
      <c r="Q88" s="1"/>
      <c r="R88" s="1"/>
      <c r="S88" s="1"/>
      <c r="T88" s="1"/>
      <c r="U88" s="1"/>
      <c r="V88" s="1"/>
      <c r="W88" s="1"/>
      <c r="X88" s="1"/>
    </row>
    <row x14ac:dyDescent="0.25" r="89" customHeight="1" ht="18.75">
      <c r="A89" s="210"/>
      <c r="B89" s="2"/>
      <c r="C89" s="211"/>
      <c r="D89" s="96"/>
      <c r="E89" s="1"/>
      <c r="F89" s="1"/>
      <c r="G89" s="1"/>
      <c r="H89" s="1"/>
      <c r="I89" s="1"/>
      <c r="J89" s="1"/>
      <c r="K89" s="1"/>
      <c r="L89" s="1"/>
      <c r="M89" s="1"/>
      <c r="N89" s="96"/>
      <c r="O89" s="1"/>
      <c r="P89" s="1"/>
      <c r="Q89" s="1"/>
      <c r="R89" s="1"/>
      <c r="S89" s="1"/>
      <c r="T89" s="1"/>
      <c r="U89" s="1"/>
      <c r="V89" s="1"/>
      <c r="W89" s="1"/>
      <c r="X89" s="1"/>
    </row>
    <row x14ac:dyDescent="0.25" r="90" customHeight="1" ht="18.75">
      <c r="A90" s="210"/>
      <c r="B90" s="2"/>
      <c r="C90" s="211"/>
      <c r="D90" s="96"/>
      <c r="E90" s="1"/>
      <c r="F90" s="1"/>
      <c r="G90" s="1"/>
      <c r="H90" s="1"/>
      <c r="I90" s="1"/>
      <c r="J90" s="1"/>
      <c r="K90" s="1"/>
      <c r="L90" s="1"/>
      <c r="M90" s="1"/>
      <c r="N90" s="96"/>
      <c r="O90" s="1"/>
      <c r="P90" s="1"/>
      <c r="Q90" s="1"/>
      <c r="R90" s="1"/>
      <c r="S90" s="1"/>
      <c r="T90" s="1"/>
      <c r="U90" s="1"/>
      <c r="V90" s="1"/>
      <c r="W90" s="1"/>
      <c r="X90" s="1"/>
    </row>
    <row x14ac:dyDescent="0.25" r="91" customHeight="1" ht="15">
      <c r="A91" s="210"/>
      <c r="B91" s="2"/>
      <c r="C91" s="211"/>
      <c r="D91" s="96"/>
      <c r="E91" s="1"/>
      <c r="F91" s="1" t="s">
        <v>127</v>
      </c>
      <c r="G91" s="1"/>
      <c r="H91" s="1"/>
      <c r="I91" s="1"/>
      <c r="J91" s="1"/>
      <c r="K91" s="1"/>
      <c r="L91" s="1"/>
      <c r="M91" s="1"/>
      <c r="N91" s="96"/>
      <c r="O91" s="1"/>
      <c r="P91" s="1"/>
      <c r="Q91" s="1"/>
      <c r="R91" s="1"/>
      <c r="S91" s="1"/>
      <c r="T91" s="1"/>
      <c r="U91" s="1"/>
      <c r="V91" s="1"/>
      <c r="W91" s="1"/>
      <c r="X91" s="1"/>
    </row>
    <row x14ac:dyDescent="0.25" r="92" customHeight="1" ht="18">
      <c r="A92" s="210"/>
      <c r="B92" s="2"/>
      <c r="C92" s="211"/>
      <c r="D92" s="96"/>
      <c r="E92" s="1"/>
      <c r="F92" s="109" t="s">
        <v>109</v>
      </c>
      <c r="G92" s="110" t="s">
        <v>47</v>
      </c>
      <c r="H92" s="111" t="s">
        <v>48</v>
      </c>
      <c r="I92" s="1"/>
      <c r="J92" s="1"/>
      <c r="K92" s="1"/>
      <c r="L92" s="1"/>
      <c r="M92" s="1"/>
      <c r="N92" s="96"/>
      <c r="O92" s="1"/>
      <c r="P92" s="1"/>
      <c r="Q92" s="1"/>
      <c r="R92" s="1"/>
      <c r="S92" s="1"/>
      <c r="T92" s="1"/>
      <c r="U92" s="1"/>
      <c r="V92" s="1"/>
      <c r="W92" s="1"/>
      <c r="X92" s="1"/>
    </row>
    <row x14ac:dyDescent="0.25" r="93" customHeight="1" ht="15">
      <c r="A93" s="210"/>
      <c r="B93" s="2"/>
      <c r="C93" s="211"/>
      <c r="D93" s="96"/>
      <c r="E93" s="1"/>
      <c r="F93" s="118" t="s">
        <v>53</v>
      </c>
      <c r="G93" s="119">
        <f>LINEST(E96:E101,F96:F101)</f>
      </c>
      <c r="H93" s="120">
        <f>INTERCEPT(E96:E101,F96:F101)</f>
      </c>
      <c r="I93" s="1"/>
      <c r="J93" s="1"/>
      <c r="K93" s="1"/>
      <c r="L93" s="1"/>
      <c r="M93" s="1"/>
      <c r="N93" s="96"/>
      <c r="O93" s="1"/>
      <c r="P93" s="1"/>
      <c r="Q93" s="1"/>
      <c r="R93" s="1"/>
      <c r="S93" s="1"/>
      <c r="T93" s="1"/>
      <c r="U93" s="1"/>
      <c r="V93" s="1"/>
      <c r="W93" s="1"/>
      <c r="X93" s="1"/>
    </row>
    <row x14ac:dyDescent="0.25" r="94" customHeight="1" ht="15">
      <c r="A94" s="210"/>
      <c r="B94" s="2"/>
      <c r="C94" s="211"/>
      <c r="D94" s="96"/>
      <c r="E94" s="1"/>
      <c r="F94" s="305" t="s">
        <v>56</v>
      </c>
      <c r="G94" s="306">
        <f>LINEST(F96:F101,E96:E101)</f>
      </c>
      <c r="H94" s="307">
        <f>INTERCEPT(F96:F101,E96:E101)</f>
      </c>
      <c r="I94" s="1"/>
      <c r="J94" s="1"/>
      <c r="K94" s="1"/>
      <c r="L94" s="1"/>
      <c r="M94" s="1"/>
      <c r="N94" s="96"/>
      <c r="O94" s="1"/>
      <c r="P94" s="1"/>
      <c r="Q94" s="1"/>
      <c r="R94" s="1"/>
      <c r="S94" s="1"/>
      <c r="T94" s="1"/>
      <c r="U94" s="1"/>
      <c r="V94" s="1"/>
      <c r="W94" s="1"/>
      <c r="X94" s="1"/>
    </row>
    <row x14ac:dyDescent="0.25" r="95" customHeight="1" ht="38.4">
      <c r="A95" s="315" t="s">
        <v>92</v>
      </c>
      <c r="B95" s="316" t="s">
        <v>128</v>
      </c>
      <c r="C95" s="317" t="s">
        <v>129</v>
      </c>
      <c r="D95" s="318" t="s">
        <v>130</v>
      </c>
      <c r="E95" s="319" t="s">
        <v>131</v>
      </c>
      <c r="F95" s="319" t="s">
        <v>132</v>
      </c>
      <c r="G95" s="320" t="s">
        <v>133</v>
      </c>
      <c r="H95" s="320" t="s">
        <v>134</v>
      </c>
      <c r="I95" s="321" t="s">
        <v>135</v>
      </c>
      <c r="J95" s="320" t="s">
        <v>136</v>
      </c>
      <c r="K95" s="322"/>
      <c r="L95" s="320" t="s">
        <v>137</v>
      </c>
      <c r="M95" s="320" t="s">
        <v>138</v>
      </c>
      <c r="N95" s="323" t="s">
        <v>139</v>
      </c>
      <c r="O95" s="324" t="s">
        <v>136</v>
      </c>
      <c r="P95" s="1"/>
      <c r="Q95" s="1"/>
      <c r="R95" s="1"/>
      <c r="S95" s="1"/>
      <c r="T95" s="1"/>
      <c r="U95" s="1"/>
      <c r="V95" s="1"/>
      <c r="W95" s="1"/>
      <c r="X95" s="1"/>
    </row>
    <row x14ac:dyDescent="0.25" r="96" customHeight="1" ht="15">
      <c r="A96" s="308">
        <f>D11</f>
      </c>
      <c r="B96" s="309">
        <f>SetPnt_N_0</f>
      </c>
      <c r="C96" s="279">
        <f>B96*$G$94+$H$94</f>
      </c>
      <c r="D96" s="279">
        <f>B96*$C$60+$D$60</f>
      </c>
      <c r="E96" s="310">
        <f>I40</f>
      </c>
      <c r="F96" s="310">
        <f>J40</f>
      </c>
      <c r="G96" s="279">
        <f>E96*$G$94+$H$94</f>
      </c>
      <c r="H96" s="279">
        <f>F96-G96</f>
      </c>
      <c r="I96" s="311">
        <f>C96+H96</f>
      </c>
      <c r="J96" s="279">
        <f>H96/4</f>
      </c>
      <c r="K96" s="312"/>
      <c r="L96" s="279">
        <f>E96*$C$60+$D$60</f>
      </c>
      <c r="M96" s="279">
        <f>F96-L96</f>
      </c>
      <c r="N96" s="311">
        <f>C96+M96</f>
      </c>
      <c r="O96" s="325">
        <f>M96/4</f>
      </c>
      <c r="P96" s="1"/>
      <c r="Q96" s="1"/>
      <c r="R96" s="1"/>
      <c r="S96" s="1"/>
      <c r="T96" s="1"/>
      <c r="U96" s="1"/>
      <c r="V96" s="1"/>
      <c r="W96" s="1"/>
      <c r="X96" s="1"/>
    </row>
    <row x14ac:dyDescent="0.25" r="97" customHeight="1" ht="18.75">
      <c r="A97" s="308">
        <f>D12</f>
      </c>
      <c r="B97" s="314">
        <f>SetPnt_N_1</f>
      </c>
      <c r="C97" s="279">
        <f>B97*$G$94+$H$94</f>
      </c>
      <c r="D97" s="279">
        <f>B97*$C$60+$D$60</f>
      </c>
      <c r="E97" s="310">
        <f>I41</f>
      </c>
      <c r="F97" s="310">
        <f>J41</f>
      </c>
      <c r="G97" s="279">
        <f>E97*$G$94+$H$94</f>
      </c>
      <c r="H97" s="279">
        <f>F97-G97</f>
      </c>
      <c r="I97" s="311">
        <f>C97+H97</f>
      </c>
      <c r="J97" s="279">
        <f>H97/4</f>
      </c>
      <c r="K97" s="312"/>
      <c r="L97" s="279">
        <f>E97*$C$60+$D$60</f>
      </c>
      <c r="M97" s="279">
        <f>F97-L97</f>
      </c>
      <c r="N97" s="311">
        <f>C97+M97</f>
      </c>
      <c r="O97" s="325">
        <f>M97/4</f>
      </c>
      <c r="P97" s="1"/>
      <c r="Q97" s="1"/>
      <c r="R97" s="1"/>
      <c r="S97" s="1"/>
      <c r="T97" s="1"/>
      <c r="U97" s="1"/>
      <c r="V97" s="1"/>
      <c r="W97" s="1"/>
      <c r="X97" s="1"/>
    </row>
    <row x14ac:dyDescent="0.25" r="98" customHeight="1" ht="18.75">
      <c r="A98" s="308">
        <f>D13</f>
      </c>
      <c r="B98" s="314">
        <f>SetPnt_N_2</f>
      </c>
      <c r="C98" s="279">
        <f>B98*$G$94+$H$94</f>
      </c>
      <c r="D98" s="279">
        <f>B98*$C$60+$D$60</f>
      </c>
      <c r="E98" s="310">
        <f>I42</f>
      </c>
      <c r="F98" s="310">
        <f>J42</f>
      </c>
      <c r="G98" s="279">
        <f>E98*$G$94+$H$94</f>
      </c>
      <c r="H98" s="279">
        <f>F98-G98</f>
      </c>
      <c r="I98" s="311">
        <f>C98+H98</f>
      </c>
      <c r="J98" s="279">
        <f>H98/4</f>
      </c>
      <c r="K98" s="312"/>
      <c r="L98" s="279">
        <f>E98*$C$60+$D$60</f>
      </c>
      <c r="M98" s="279">
        <f>F98-L98</f>
      </c>
      <c r="N98" s="311">
        <f>C98+M98</f>
      </c>
      <c r="O98" s="325">
        <f>M98/4</f>
      </c>
      <c r="P98" s="1"/>
      <c r="Q98" s="1"/>
      <c r="R98" s="1"/>
      <c r="S98" s="1"/>
      <c r="T98" s="1"/>
      <c r="U98" s="1"/>
      <c r="V98" s="1"/>
      <c r="W98" s="1"/>
      <c r="X98" s="1"/>
    </row>
    <row x14ac:dyDescent="0.25" r="99" customHeight="1" ht="18.75">
      <c r="A99" s="308">
        <f>D14</f>
      </c>
      <c r="B99" s="314">
        <f>SetPnt_N_3</f>
      </c>
      <c r="C99" s="279">
        <f>B99*$G$94+$H$94</f>
      </c>
      <c r="D99" s="279">
        <f>B99*$C$60+$D$60</f>
      </c>
      <c r="E99" s="310">
        <f>I43</f>
      </c>
      <c r="F99" s="310">
        <f>J43</f>
      </c>
      <c r="G99" s="279">
        <f>E99*$G$94+$H$94</f>
      </c>
      <c r="H99" s="279">
        <f>F99-G99</f>
      </c>
      <c r="I99" s="311">
        <f>C99+H99</f>
      </c>
      <c r="J99" s="279">
        <f>H99/4</f>
      </c>
      <c r="K99" s="312"/>
      <c r="L99" s="279">
        <f>E99*$C$60+$D$60</f>
      </c>
      <c r="M99" s="279">
        <f>F99-L99</f>
      </c>
      <c r="N99" s="311">
        <f>C99+M99</f>
      </c>
      <c r="O99" s="325">
        <f>M99/4</f>
      </c>
      <c r="P99" s="1"/>
      <c r="Q99" s="1"/>
      <c r="R99" s="1"/>
      <c r="S99" s="1"/>
      <c r="T99" s="1"/>
      <c r="U99" s="1"/>
      <c r="V99" s="1"/>
      <c r="W99" s="1"/>
      <c r="X99" s="1"/>
    </row>
    <row x14ac:dyDescent="0.25" r="100" customHeight="1" ht="18.75">
      <c r="A100" s="308">
        <f>D15</f>
      </c>
      <c r="B100" s="314">
        <f>SetPnt_N_4</f>
      </c>
      <c r="C100" s="279">
        <f>B100*$G$94+$H$94</f>
      </c>
      <c r="D100" s="279">
        <f>B100*$C$60+$D$60</f>
      </c>
      <c r="E100" s="310">
        <f>I44</f>
      </c>
      <c r="F100" s="310">
        <f>J44</f>
      </c>
      <c r="G100" s="279">
        <f>E100*$G$94+$H$94</f>
      </c>
      <c r="H100" s="279">
        <f>F100-G100</f>
      </c>
      <c r="I100" s="311">
        <f>C100+H100</f>
      </c>
      <c r="J100" s="279">
        <f>H100/4</f>
      </c>
      <c r="K100" s="312"/>
      <c r="L100" s="279">
        <f>E100*$C$60+$D$60</f>
      </c>
      <c r="M100" s="279">
        <f>F100-L100</f>
      </c>
      <c r="N100" s="311">
        <f>C100+M100</f>
      </c>
      <c r="O100" s="325">
        <f>M100/4</f>
      </c>
      <c r="P100" s="1"/>
      <c r="Q100" s="1"/>
      <c r="R100" s="1"/>
      <c r="S100" s="1"/>
      <c r="T100" s="1"/>
      <c r="U100" s="1"/>
      <c r="V100" s="1"/>
      <c r="W100" s="1"/>
      <c r="X100" s="1"/>
    </row>
    <row x14ac:dyDescent="0.25" r="101" customHeight="1" ht="15">
      <c r="A101" s="326">
        <f>D16</f>
      </c>
      <c r="B101" s="327">
        <f>SetPnt_N_5</f>
      </c>
      <c r="C101" s="328">
        <f>B101*$G$94+$H$94</f>
      </c>
      <c r="D101" s="328">
        <f>B101*$C$60+$D$60</f>
      </c>
      <c r="E101" s="329">
        <f>I45</f>
      </c>
      <c r="F101" s="329">
        <f>J45</f>
      </c>
      <c r="G101" s="328">
        <f>E101*$G$94+$H$94</f>
      </c>
      <c r="H101" s="328">
        <f>F101-G101</f>
      </c>
      <c r="I101" s="330">
        <f>C101+H101</f>
      </c>
      <c r="J101" s="328">
        <f>H101/4</f>
      </c>
      <c r="K101" s="331"/>
      <c r="L101" s="328">
        <f>E101*$C$60+$D$60</f>
      </c>
      <c r="M101" s="328">
        <f>F101-L101</f>
      </c>
      <c r="N101" s="330">
        <f>C101+M101</f>
      </c>
      <c r="O101" s="332">
        <f>M101/4</f>
      </c>
      <c r="P101" s="1"/>
      <c r="Q101" s="1"/>
      <c r="R101" s="1"/>
      <c r="S101" s="1"/>
      <c r="T101" s="1"/>
      <c r="U101" s="1"/>
      <c r="V101" s="1"/>
      <c r="W101" s="1"/>
      <c r="X101" s="1"/>
    </row>
    <row x14ac:dyDescent="0.25" r="102" customHeight="1" ht="15">
      <c r="A102" s="210"/>
      <c r="B102" s="2"/>
      <c r="C102" s="211"/>
      <c r="D102" s="96"/>
      <c r="E102" s="1"/>
      <c r="F102" s="1" t="s">
        <v>140</v>
      </c>
      <c r="G102" s="1"/>
      <c r="H102" s="1"/>
      <c r="I102" s="1"/>
      <c r="J102" s="1"/>
      <c r="K102" s="1"/>
      <c r="L102" s="1"/>
      <c r="M102" s="1"/>
      <c r="N102" s="96"/>
      <c r="O102" s="1"/>
      <c r="P102" s="1"/>
      <c r="Q102" s="1"/>
      <c r="R102" s="1"/>
      <c r="S102" s="1"/>
      <c r="T102" s="1"/>
      <c r="U102" s="1"/>
      <c r="V102" s="1"/>
      <c r="W102" s="1"/>
      <c r="X102" s="1"/>
    </row>
    <row x14ac:dyDescent="0.25" r="103" customHeight="1" ht="18">
      <c r="A103" s="210"/>
      <c r="B103" s="2"/>
      <c r="C103" s="211"/>
      <c r="D103" s="96"/>
      <c r="E103" s="1"/>
      <c r="F103" s="109" t="s">
        <v>111</v>
      </c>
      <c r="G103" s="110" t="s">
        <v>47</v>
      </c>
      <c r="H103" s="111" t="s">
        <v>48</v>
      </c>
      <c r="I103" s="1"/>
      <c r="J103" s="1"/>
      <c r="K103" s="1"/>
      <c r="L103" s="1"/>
      <c r="M103" s="1"/>
      <c r="N103" s="96"/>
      <c r="O103" s="1"/>
      <c r="P103" s="1"/>
      <c r="Q103" s="1"/>
      <c r="R103" s="1"/>
      <c r="S103" s="1"/>
      <c r="T103" s="1"/>
      <c r="U103" s="1"/>
      <c r="V103" s="1"/>
      <c r="W103" s="1"/>
      <c r="X103" s="1"/>
    </row>
    <row x14ac:dyDescent="0.25" r="104" customHeight="1" ht="15">
      <c r="A104" s="210"/>
      <c r="B104" s="2"/>
      <c r="C104" s="211"/>
      <c r="D104" s="96"/>
      <c r="E104" s="1"/>
      <c r="F104" s="118" t="s">
        <v>53</v>
      </c>
      <c r="G104" s="119">
        <f>LINEST(E107:E112,F107:F112)</f>
      </c>
      <c r="H104" s="120">
        <f>INTERCEPT(E107:E112,F107:F112)</f>
      </c>
      <c r="I104" s="1"/>
      <c r="J104" s="1"/>
      <c r="K104" s="1"/>
      <c r="L104" s="1"/>
      <c r="M104" s="1"/>
      <c r="N104" s="96"/>
      <c r="O104" s="1"/>
      <c r="P104" s="1"/>
      <c r="Q104" s="1"/>
      <c r="R104" s="1"/>
      <c r="S104" s="1"/>
      <c r="T104" s="1"/>
      <c r="U104" s="1"/>
      <c r="V104" s="1"/>
      <c r="W104" s="1"/>
      <c r="X104" s="1"/>
    </row>
    <row x14ac:dyDescent="0.25" r="105" customHeight="1" ht="15">
      <c r="A105" s="210"/>
      <c r="B105" s="2"/>
      <c r="C105" s="211"/>
      <c r="D105" s="96"/>
      <c r="E105" s="1"/>
      <c r="F105" s="123" t="s">
        <v>56</v>
      </c>
      <c r="G105" s="333">
        <f>LINEST(F107:F112,E107:E112)</f>
      </c>
      <c r="H105" s="334">
        <f>INTERCEPT(F107:F112,E107:E112)</f>
      </c>
      <c r="I105" s="1"/>
      <c r="J105" s="1"/>
      <c r="K105" s="1"/>
      <c r="L105" s="1"/>
      <c r="M105" s="1"/>
      <c r="N105" s="96"/>
      <c r="O105" s="1"/>
      <c r="P105" s="1"/>
      <c r="Q105" s="1"/>
      <c r="R105" s="1"/>
      <c r="S105" s="1"/>
      <c r="T105" s="1"/>
      <c r="U105" s="1"/>
      <c r="V105" s="1"/>
      <c r="W105" s="1"/>
      <c r="X105" s="1"/>
    </row>
    <row x14ac:dyDescent="0.25" r="106" customHeight="1" ht="31.8">
      <c r="A106" s="315" t="s">
        <v>141</v>
      </c>
      <c r="B106" s="316" t="s">
        <v>142</v>
      </c>
      <c r="C106" s="317" t="s">
        <v>143</v>
      </c>
      <c r="D106" s="318" t="s">
        <v>144</v>
      </c>
      <c r="E106" s="319" t="s">
        <v>131</v>
      </c>
      <c r="F106" s="319" t="s">
        <v>132</v>
      </c>
      <c r="G106" s="320" t="s">
        <v>145</v>
      </c>
      <c r="H106" s="320" t="s">
        <v>146</v>
      </c>
      <c r="I106" s="321" t="s">
        <v>135</v>
      </c>
      <c r="J106" s="320" t="s">
        <v>147</v>
      </c>
      <c r="K106" s="322"/>
      <c r="L106" s="320" t="s">
        <v>148</v>
      </c>
      <c r="M106" s="320" t="s">
        <v>149</v>
      </c>
      <c r="N106" s="323" t="s">
        <v>150</v>
      </c>
      <c r="O106" s="324" t="s">
        <v>147</v>
      </c>
      <c r="P106" s="1"/>
      <c r="Q106" s="1"/>
      <c r="R106" s="1"/>
      <c r="S106" s="1"/>
      <c r="T106" s="1"/>
      <c r="U106" s="1"/>
      <c r="V106" s="1"/>
      <c r="W106" s="1"/>
      <c r="X106" s="1"/>
    </row>
    <row x14ac:dyDescent="0.25" r="107" customHeight="1" ht="15">
      <c r="A107" s="308">
        <f>D11</f>
      </c>
      <c r="B107" s="309">
        <f>SetPnt_N_0</f>
      </c>
      <c r="C107" s="279">
        <f>B107*$G$105+$H$105</f>
      </c>
      <c r="D107" s="279">
        <f>B107*$C$60+$D$60</f>
      </c>
      <c r="E107" s="310">
        <f>N40</f>
      </c>
      <c r="F107" s="310">
        <f>O40</f>
      </c>
      <c r="G107" s="279">
        <f>E107*$G$105+$H$105</f>
      </c>
      <c r="H107" s="279">
        <f>F107-G107</f>
      </c>
      <c r="I107" s="311">
        <f>C107+H107</f>
      </c>
      <c r="J107" s="279">
        <f>H107/4</f>
      </c>
      <c r="K107" s="312"/>
      <c r="L107" s="279">
        <f>E107*$C$60+$D$60</f>
      </c>
      <c r="M107" s="279">
        <f>F107-L107</f>
      </c>
      <c r="N107" s="311">
        <f>C107+M107</f>
      </c>
      <c r="O107" s="325">
        <f>M107/4</f>
      </c>
      <c r="P107" s="1"/>
      <c r="Q107" s="1"/>
      <c r="R107" s="1"/>
      <c r="S107" s="1"/>
      <c r="T107" s="1"/>
      <c r="U107" s="1"/>
      <c r="V107" s="1"/>
      <c r="W107" s="1"/>
      <c r="X107" s="1"/>
    </row>
    <row x14ac:dyDescent="0.25" r="108" customHeight="1" ht="18.75">
      <c r="A108" s="308">
        <f>D12</f>
      </c>
      <c r="B108" s="314">
        <f>SetPnt_N_1</f>
      </c>
      <c r="C108" s="279">
        <f>B108*$G$105+$H$105</f>
      </c>
      <c r="D108" s="279">
        <f>B108*$C$60+$D$60</f>
      </c>
      <c r="E108" s="310">
        <f>N41</f>
      </c>
      <c r="F108" s="310">
        <f>O41</f>
      </c>
      <c r="G108" s="279">
        <f>E108*$G$105+$H$105</f>
      </c>
      <c r="H108" s="279">
        <f>F108-G108</f>
      </c>
      <c r="I108" s="311">
        <f>C108+H108</f>
      </c>
      <c r="J108" s="279">
        <f>H108/4</f>
      </c>
      <c r="K108" s="312"/>
      <c r="L108" s="279">
        <f>E108*$C$60+$D$60</f>
      </c>
      <c r="M108" s="279">
        <f>F108-L108</f>
      </c>
      <c r="N108" s="311">
        <f>C108+M108</f>
      </c>
      <c r="O108" s="325">
        <f>M108/4</f>
      </c>
      <c r="P108" s="1"/>
      <c r="Q108" s="1"/>
      <c r="R108" s="1"/>
      <c r="S108" s="1"/>
      <c r="T108" s="1"/>
      <c r="U108" s="1"/>
      <c r="V108" s="1"/>
      <c r="W108" s="1"/>
      <c r="X108" s="1"/>
    </row>
    <row x14ac:dyDescent="0.25" r="109" customHeight="1" ht="18.75">
      <c r="A109" s="308">
        <f>D13</f>
      </c>
      <c r="B109" s="314">
        <f>SetPnt_N_2</f>
      </c>
      <c r="C109" s="279">
        <f>B109*$G$105+$H$105</f>
      </c>
      <c r="D109" s="279">
        <f>B109*$C$60+$D$60</f>
      </c>
      <c r="E109" s="310">
        <f>N42</f>
      </c>
      <c r="F109" s="310">
        <f>O42</f>
      </c>
      <c r="G109" s="279">
        <f>E109*$G$105+$H$105</f>
      </c>
      <c r="H109" s="279">
        <f>F109-G109</f>
      </c>
      <c r="I109" s="311">
        <f>C109+H109</f>
      </c>
      <c r="J109" s="279">
        <f>H109/4</f>
      </c>
      <c r="K109" s="312"/>
      <c r="L109" s="279">
        <f>E109*$C$60+$D$60</f>
      </c>
      <c r="M109" s="279">
        <f>F109-L109</f>
      </c>
      <c r="N109" s="311">
        <f>C109+M109</f>
      </c>
      <c r="O109" s="325">
        <f>M109/4</f>
      </c>
      <c r="P109" s="1"/>
      <c r="Q109" s="1"/>
      <c r="R109" s="1"/>
      <c r="S109" s="1"/>
      <c r="T109" s="1"/>
      <c r="U109" s="1"/>
      <c r="V109" s="1"/>
      <c r="W109" s="1"/>
      <c r="X109" s="1"/>
    </row>
    <row x14ac:dyDescent="0.25" r="110" customHeight="1" ht="18.75">
      <c r="A110" s="308">
        <f>D14</f>
      </c>
      <c r="B110" s="314">
        <f>SetPnt_N_3</f>
      </c>
      <c r="C110" s="279">
        <f>B110*$G$105+$H$105</f>
      </c>
      <c r="D110" s="279">
        <f>B110*$C$60+$D$60</f>
      </c>
      <c r="E110" s="310">
        <f>N43</f>
      </c>
      <c r="F110" s="310">
        <f>O43</f>
      </c>
      <c r="G110" s="279">
        <f>E110*$G$105+$H$105</f>
      </c>
      <c r="H110" s="279">
        <f>F110-G110</f>
      </c>
      <c r="I110" s="311">
        <f>C110+H110</f>
      </c>
      <c r="J110" s="279">
        <f>H110/4</f>
      </c>
      <c r="K110" s="312"/>
      <c r="L110" s="279">
        <f>E110*$C$60+$D$60</f>
      </c>
      <c r="M110" s="279">
        <f>F110-L110</f>
      </c>
      <c r="N110" s="311">
        <f>C110+M110</f>
      </c>
      <c r="O110" s="325">
        <f>M110/4</f>
      </c>
      <c r="P110" s="1"/>
      <c r="Q110" s="1"/>
      <c r="R110" s="1"/>
      <c r="S110" s="1"/>
      <c r="T110" s="1"/>
      <c r="U110" s="1"/>
      <c r="V110" s="1"/>
      <c r="W110" s="1"/>
      <c r="X110" s="1"/>
    </row>
    <row x14ac:dyDescent="0.25" r="111" customHeight="1" ht="18.75">
      <c r="A111" s="308">
        <f>D15</f>
      </c>
      <c r="B111" s="314">
        <f>SetPnt_N_4</f>
      </c>
      <c r="C111" s="279">
        <f>B111*$G$105+$H$105</f>
      </c>
      <c r="D111" s="279">
        <f>B111*$C$60+$D$60</f>
      </c>
      <c r="E111" s="310">
        <f>N44</f>
      </c>
      <c r="F111" s="310">
        <f>O44</f>
      </c>
      <c r="G111" s="279">
        <f>E111*$G$105+$H$105</f>
      </c>
      <c r="H111" s="279">
        <f>F111-G111</f>
      </c>
      <c r="I111" s="311">
        <f>C111+H111</f>
      </c>
      <c r="J111" s="279">
        <f>H111/4</f>
      </c>
      <c r="K111" s="312"/>
      <c r="L111" s="279">
        <f>E111*$C$60+$D$60</f>
      </c>
      <c r="M111" s="279">
        <f>F111-L111</f>
      </c>
      <c r="N111" s="311">
        <f>C111+M111</f>
      </c>
      <c r="O111" s="325">
        <f>M111/4</f>
      </c>
      <c r="P111" s="1"/>
      <c r="Q111" s="1"/>
      <c r="R111" s="1"/>
      <c r="S111" s="1"/>
      <c r="T111" s="1"/>
      <c r="U111" s="1"/>
      <c r="V111" s="1"/>
      <c r="W111" s="1"/>
      <c r="X111" s="1"/>
    </row>
    <row x14ac:dyDescent="0.25" r="112" customHeight="1" ht="15">
      <c r="A112" s="326">
        <f>D16</f>
      </c>
      <c r="B112" s="327">
        <f>SetPnt_N_5</f>
      </c>
      <c r="C112" s="328">
        <f>B112*$G$105+$H$105</f>
      </c>
      <c r="D112" s="328">
        <f>B112*$C$60+$D$60</f>
      </c>
      <c r="E112" s="329">
        <f>N45</f>
      </c>
      <c r="F112" s="329">
        <f>O45</f>
      </c>
      <c r="G112" s="328">
        <f>E112*$G$105+$H$105</f>
      </c>
      <c r="H112" s="328">
        <f>F112-G112</f>
      </c>
      <c r="I112" s="330">
        <f>C112+H112</f>
      </c>
      <c r="J112" s="328">
        <f>H112/4</f>
      </c>
      <c r="K112" s="331"/>
      <c r="L112" s="328">
        <f>E112*$C$60+$D$60</f>
      </c>
      <c r="M112" s="328">
        <f>F112-L112</f>
      </c>
      <c r="N112" s="330">
        <f>C112+M112</f>
      </c>
      <c r="O112" s="332">
        <f>M112/4</f>
      </c>
      <c r="P112" s="1"/>
      <c r="Q112" s="1"/>
      <c r="R112" s="1"/>
      <c r="S112" s="1"/>
      <c r="T112" s="1"/>
      <c r="U112" s="1"/>
      <c r="V112" s="1"/>
      <c r="W112" s="1"/>
      <c r="X112" s="1"/>
    </row>
    <row x14ac:dyDescent="0.25" r="113" customHeight="1" ht="18.75">
      <c r="A113" s="210"/>
      <c r="B113" s="2"/>
      <c r="C113" s="211"/>
      <c r="D113" s="96"/>
      <c r="E113" s="1"/>
      <c r="F113" s="1"/>
      <c r="G113" s="1"/>
      <c r="H113" s="1"/>
      <c r="I113" s="1"/>
      <c r="J113" s="1"/>
      <c r="K113" s="1"/>
      <c r="L113" s="1"/>
      <c r="M113" s="1"/>
      <c r="N113" s="96"/>
      <c r="O113" s="1"/>
      <c r="P113" s="1"/>
      <c r="Q113" s="1"/>
      <c r="R113" s="1"/>
      <c r="S113" s="1"/>
      <c r="T113" s="1"/>
      <c r="U113" s="1"/>
      <c r="V113" s="1"/>
      <c r="W113" s="1"/>
      <c r="X113" s="1"/>
    </row>
    <row x14ac:dyDescent="0.25" r="114" customHeight="1" ht="25.8">
      <c r="A114" s="206" t="s">
        <v>151</v>
      </c>
      <c r="B114" s="207"/>
      <c r="C114" s="207"/>
      <c r="D114" s="208"/>
      <c r="E114" s="209"/>
      <c r="F114" s="209"/>
      <c r="G114" s="209"/>
      <c r="H114" s="209"/>
      <c r="I114" s="209"/>
      <c r="J114" s="209"/>
      <c r="K114" s="209"/>
      <c r="L114" s="209"/>
      <c r="M114" s="209"/>
      <c r="N114" s="208"/>
      <c r="O114" s="209"/>
      <c r="P114" s="209"/>
      <c r="Q114" s="209"/>
      <c r="R114" s="209"/>
      <c r="S114" s="209"/>
      <c r="T114" s="209"/>
      <c r="U114" s="209"/>
      <c r="V114" s="209"/>
      <c r="W114" s="209"/>
      <c r="X114" s="209"/>
    </row>
    <row x14ac:dyDescent="0.25" r="115" customHeight="1" ht="15">
      <c r="A115" s="210"/>
      <c r="B115" s="2"/>
      <c r="C115" s="211"/>
      <c r="D115" s="96"/>
      <c r="E115" s="1"/>
      <c r="F115" s="1"/>
      <c r="G115" s="1"/>
      <c r="H115" s="1"/>
      <c r="I115" s="1"/>
      <c r="J115" s="1"/>
      <c r="K115" s="1"/>
      <c r="L115" s="1"/>
      <c r="M115" s="1"/>
      <c r="N115" s="96"/>
      <c r="O115" s="1"/>
      <c r="P115" s="1"/>
      <c r="Q115" s="1"/>
      <c r="R115" s="1"/>
      <c r="S115" s="1"/>
      <c r="T115" s="1"/>
      <c r="U115" s="1"/>
      <c r="V115" s="1"/>
      <c r="W115" s="1"/>
      <c r="X115" s="1"/>
    </row>
    <row x14ac:dyDescent="0.25" r="116" customHeight="1" ht="18">
      <c r="A116" s="335" t="s">
        <v>152</v>
      </c>
      <c r="B116" s="336" t="s">
        <v>58</v>
      </c>
      <c r="C116" s="336" t="s">
        <v>59</v>
      </c>
      <c r="D116" s="337" t="s">
        <v>60</v>
      </c>
      <c r="E116" s="219"/>
      <c r="F116" s="335" t="s">
        <v>152</v>
      </c>
      <c r="G116" s="338" t="s">
        <v>47</v>
      </c>
      <c r="H116" s="339" t="s">
        <v>48</v>
      </c>
      <c r="I116" s="1"/>
      <c r="J116" s="1"/>
      <c r="K116" s="1"/>
      <c r="L116" s="1"/>
      <c r="M116" s="340"/>
      <c r="N116" s="340"/>
      <c r="O116" s="340"/>
      <c r="P116" s="1"/>
      <c r="Q116" s="1"/>
      <c r="R116" s="1"/>
      <c r="S116" s="1"/>
      <c r="T116" s="1"/>
      <c r="U116" s="1"/>
      <c r="V116" s="1"/>
      <c r="W116" s="1"/>
      <c r="X116" s="1"/>
    </row>
    <row x14ac:dyDescent="0.25" r="117" customHeight="1" ht="18.75">
      <c r="A117" s="341">
        <f>CONCATENATE("Cert [",EUnits,"/V]")</f>
      </c>
      <c r="B117" s="342">
        <f>INDEX(LINEST(T123:T134,(S123:S134)^{1,2}),1)</f>
      </c>
      <c r="C117" s="342">
        <f>INDEX(LINEST(T123:T134,(S123:S134)^{1,2}),1,2)</f>
      </c>
      <c r="D117" s="343">
        <f>INDEX(LINEST(T123:T134,(S123:S134)^{1,2}),1,3)</f>
      </c>
      <c r="E117" s="1"/>
      <c r="F117" s="344">
        <f>CONCATENATE("Cert [",EUnits,"/V]")</f>
      </c>
      <c r="G117" s="345">
        <f>LINEST(T123:T134,S123:S134)</f>
      </c>
      <c r="H117" s="346">
        <f>INTERCEPT(T123:T134,S123:S134)</f>
      </c>
      <c r="I117" s="1"/>
      <c r="J117" s="1"/>
      <c r="K117" s="1"/>
      <c r="L117" s="1"/>
      <c r="M117" s="1"/>
      <c r="N117" s="96"/>
      <c r="O117" s="340"/>
      <c r="P117" s="1"/>
      <c r="Q117" s="1"/>
      <c r="R117" s="1"/>
      <c r="S117" s="1"/>
      <c r="T117" s="1"/>
      <c r="U117" s="1"/>
      <c r="V117" s="1"/>
      <c r="W117" s="1"/>
      <c r="X117" s="1"/>
    </row>
    <row x14ac:dyDescent="0.25" r="118" customHeight="1" ht="18.75">
      <c r="A118" s="156">
        <f>CONCATENATE("Cert [V/",EUnits,"]")</f>
      </c>
      <c r="B118" s="347">
        <f>INDEX(LINEST(S123:S134,(T123:T134)^{1,2}),1)</f>
      </c>
      <c r="C118" s="347">
        <f>INDEX(LINEST(S123:S134,(T123:T134)^{1,2}),1,2)</f>
      </c>
      <c r="D118" s="348">
        <f>INDEX(LINEST(S123:S134,(T123:T134)^{1,2}),1,3)</f>
      </c>
      <c r="E118" s="1"/>
      <c r="F118" s="156">
        <f>CONCATENATE("Cert [V/",EUnits,"]")</f>
      </c>
      <c r="G118" s="349">
        <f>LINEST(S123:S134,T123:T134)</f>
      </c>
      <c r="H118" s="350">
        <f>INTERCEPT(S123:S134,T123:T134)</f>
      </c>
      <c r="I118" s="1"/>
      <c r="J118" s="1"/>
      <c r="K118" s="1"/>
      <c r="L118" s="1"/>
      <c r="M118" s="1"/>
      <c r="N118" s="96"/>
      <c r="O118" s="340"/>
      <c r="P118" s="1"/>
      <c r="Q118" s="1"/>
      <c r="R118" s="1"/>
      <c r="S118" s="1"/>
      <c r="T118" s="1"/>
      <c r="U118" s="1"/>
      <c r="V118" s="1"/>
      <c r="W118" s="1"/>
      <c r="X118" s="1"/>
    </row>
    <row x14ac:dyDescent="0.25" r="119" customHeight="1" ht="18.75">
      <c r="A119" s="210"/>
      <c r="B119" s="2"/>
      <c r="C119" s="211"/>
      <c r="D119" s="96"/>
      <c r="E119" s="1"/>
      <c r="F119" s="1"/>
      <c r="G119" s="1"/>
      <c r="H119" s="1"/>
      <c r="I119" s="1"/>
      <c r="J119" s="1"/>
      <c r="K119" s="1"/>
      <c r="L119" s="1"/>
      <c r="M119" s="1"/>
      <c r="N119" s="96"/>
      <c r="O119" s="1"/>
      <c r="P119" s="1"/>
      <c r="Q119" s="1"/>
      <c r="R119" s="1"/>
      <c r="S119" s="1"/>
      <c r="T119" s="1"/>
      <c r="U119" s="1"/>
      <c r="V119" s="1"/>
      <c r="W119" s="1"/>
      <c r="X119" s="1"/>
    </row>
    <row x14ac:dyDescent="0.25" r="120" customHeight="1" ht="18">
      <c r="A120" s="266" t="s">
        <v>153</v>
      </c>
      <c r="B120" s="351"/>
      <c r="C120" s="351"/>
      <c r="D120" s="352"/>
      <c r="E120" s="1"/>
      <c r="F120" s="1"/>
      <c r="G120" s="1"/>
      <c r="H120" s="1"/>
      <c r="I120" s="1"/>
      <c r="J120" s="1"/>
      <c r="K120" s="1"/>
      <c r="L120" s="1"/>
      <c r="M120" s="1"/>
      <c r="N120" s="96"/>
      <c r="O120" s="1"/>
      <c r="P120" s="340"/>
      <c r="Q120" s="1"/>
      <c r="R120" s="1"/>
      <c r="S120" s="1"/>
      <c r="T120" s="1"/>
      <c r="U120" s="1"/>
      <c r="V120" s="1"/>
      <c r="W120" s="1"/>
      <c r="X120" s="1"/>
    </row>
    <row x14ac:dyDescent="0.25" r="121" customHeight="1" ht="16.2">
      <c r="A121" s="353" t="s">
        <v>154</v>
      </c>
      <c r="B121" s="354" t="s">
        <v>155</v>
      </c>
      <c r="C121" s="355" t="s">
        <v>155</v>
      </c>
      <c r="D121" s="356" t="s">
        <v>155</v>
      </c>
      <c r="E121" s="357" t="s">
        <v>156</v>
      </c>
      <c r="F121" s="358" t="s">
        <v>157</v>
      </c>
      <c r="G121" s="359" t="s">
        <v>158</v>
      </c>
      <c r="H121" s="360" t="s">
        <v>159</v>
      </c>
      <c r="I121" s="361" t="s">
        <v>160</v>
      </c>
      <c r="J121" s="362"/>
      <c r="K121" s="363" t="s">
        <v>161</v>
      </c>
      <c r="L121" s="363" t="s">
        <v>162</v>
      </c>
      <c r="M121" s="363" t="s">
        <v>163</v>
      </c>
      <c r="N121" s="364" t="s">
        <v>164</v>
      </c>
      <c r="O121" s="363" t="s">
        <v>165</v>
      </c>
      <c r="P121" s="363" t="s">
        <v>166</v>
      </c>
      <c r="Q121" s="1"/>
      <c r="R121" s="272" t="s">
        <v>105</v>
      </c>
      <c r="S121" s="270"/>
      <c r="T121" s="270"/>
      <c r="U121" s="1"/>
      <c r="V121" s="1"/>
      <c r="W121" s="1"/>
      <c r="X121" s="1"/>
    </row>
    <row x14ac:dyDescent="0.25" r="122" customHeight="1" ht="28.8">
      <c r="A122" s="365"/>
      <c r="B122" s="366" t="s">
        <v>34</v>
      </c>
      <c r="C122" s="367" t="s">
        <v>34</v>
      </c>
      <c r="D122" s="368" t="s">
        <v>34</v>
      </c>
      <c r="E122" s="369" t="s">
        <v>35</v>
      </c>
      <c r="F122" s="370" t="s">
        <v>167</v>
      </c>
      <c r="G122" s="371" t="s">
        <v>35</v>
      </c>
      <c r="H122" s="16"/>
      <c r="I122" s="1"/>
      <c r="J122" s="362"/>
      <c r="K122" s="1"/>
      <c r="L122" s="1"/>
      <c r="M122" s="1"/>
      <c r="N122" s="96"/>
      <c r="O122" s="1"/>
      <c r="P122" s="1"/>
      <c r="Q122" s="1"/>
      <c r="R122" s="372"/>
      <c r="S122" s="373" t="s">
        <v>106</v>
      </c>
      <c r="T122" s="373" t="s">
        <v>168</v>
      </c>
      <c r="U122" s="1"/>
      <c r="V122" s="1"/>
      <c r="W122" s="1"/>
      <c r="X122" s="1"/>
    </row>
    <row x14ac:dyDescent="0.25" r="123" customHeight="1" ht="15.6">
      <c r="A123" s="374" t="s">
        <v>169</v>
      </c>
      <c r="B123" s="375" t="s">
        <v>170</v>
      </c>
      <c r="C123" s="376" t="s">
        <v>170</v>
      </c>
      <c r="D123" s="377" t="s">
        <v>170</v>
      </c>
      <c r="E123" s="378" t="s">
        <v>170</v>
      </c>
      <c r="F123" s="379" t="s">
        <v>170</v>
      </c>
      <c r="G123" s="380" t="s">
        <v>170</v>
      </c>
      <c r="H123" s="16"/>
      <c r="I123" s="1"/>
      <c r="J123" s="362"/>
      <c r="K123" s="1"/>
      <c r="L123" s="1"/>
      <c r="M123" s="1"/>
      <c r="N123" s="96"/>
      <c r="O123" s="1"/>
      <c r="P123" s="1"/>
      <c r="Q123" s="1"/>
      <c r="R123" s="381" t="s">
        <v>171</v>
      </c>
      <c r="S123" s="382">
        <f>E124</f>
      </c>
      <c r="T123" s="383">
        <f>SetPnt_N_0</f>
      </c>
      <c r="U123" s="1"/>
      <c r="V123" s="1"/>
      <c r="W123" s="1"/>
      <c r="X123" s="1"/>
    </row>
    <row x14ac:dyDescent="0.25" r="124" customHeight="1" ht="15.6">
      <c r="A124" s="384">
        <f>SetPnt_N_0</f>
      </c>
      <c r="B124" s="385">
        <f>$I$72</f>
      </c>
      <c r="C124" s="385">
        <f>I79</f>
      </c>
      <c r="D124" s="385">
        <f>I86</f>
      </c>
      <c r="E124" s="385">
        <f>I96</f>
      </c>
      <c r="F124" s="386" t="s">
        <v>172</v>
      </c>
      <c r="G124" s="385">
        <f>I107</f>
      </c>
      <c r="H124" s="387">
        <f>$B$118*A124^2 + $C$118*A124+$D$118</f>
      </c>
      <c r="I124" s="387">
        <f>A124*$G$118+$H$118</f>
      </c>
      <c r="J124" s="387"/>
      <c r="K124" s="387">
        <f>AVERAGE(E124:G124)</f>
      </c>
      <c r="L124" s="387">
        <f>ABS(E124-G124)</f>
      </c>
      <c r="M124" s="387">
        <f>SQRT((E124-K124)^2+(G124-K124)^2)</f>
      </c>
      <c r="N124" s="387">
        <f>(ABS(E124-F124) )</f>
      </c>
      <c r="O124" s="387">
        <f>I124-K124</f>
      </c>
      <c r="P124" s="387">
        <f>H124-K124</f>
      </c>
      <c r="Q124" s="1"/>
      <c r="R124" s="381"/>
      <c r="S124" s="382">
        <f>E125</f>
      </c>
      <c r="T124" s="388">
        <f>SetPnt_N_1</f>
      </c>
      <c r="U124" s="1"/>
      <c r="V124" s="1"/>
      <c r="W124" s="1"/>
      <c r="X124" s="1"/>
    </row>
    <row x14ac:dyDescent="0.25" r="125" customHeight="1" ht="15.6">
      <c r="A125" s="389">
        <f>SetPnt_N_1</f>
      </c>
      <c r="B125" s="390" t="s">
        <v>117</v>
      </c>
      <c r="C125" s="390" t="s">
        <v>117</v>
      </c>
      <c r="D125" s="391" t="s">
        <v>117</v>
      </c>
      <c r="E125" s="385">
        <f>I97</f>
      </c>
      <c r="F125" s="386" t="s">
        <v>172</v>
      </c>
      <c r="G125" s="385">
        <f>I108</f>
      </c>
      <c r="H125" s="387">
        <f>$B$118*A125^2 + $C$118*A125+$D$118</f>
      </c>
      <c r="I125" s="387">
        <f>A125*$G$118+$H$118</f>
      </c>
      <c r="J125" s="387"/>
      <c r="K125" s="387">
        <f>AVERAGE(E125:G125)</f>
      </c>
      <c r="L125" s="387">
        <f>ABS(E125-G125)</f>
      </c>
      <c r="M125" s="387">
        <f>SQRT((E125-K125)^2+(G125-K125)^2)</f>
      </c>
      <c r="N125" s="387">
        <f>(ABS(E125-F125) )</f>
      </c>
      <c r="O125" s="387">
        <f>H125-K125</f>
      </c>
      <c r="P125" s="387">
        <f>H125-K125</f>
      </c>
      <c r="Q125" s="1"/>
      <c r="R125" s="381"/>
      <c r="S125" s="382">
        <f>E126</f>
      </c>
      <c r="T125" s="388">
        <f>SetPnt_N_2</f>
      </c>
      <c r="U125" s="1"/>
      <c r="V125" s="1"/>
      <c r="W125" s="1"/>
      <c r="X125" s="1"/>
    </row>
    <row x14ac:dyDescent="0.25" r="126" customHeight="1" ht="15.6">
      <c r="A126" s="389">
        <f>SetPnt_N_2</f>
      </c>
      <c r="B126" s="390" t="s">
        <v>117</v>
      </c>
      <c r="C126" s="390" t="s">
        <v>117</v>
      </c>
      <c r="D126" s="391" t="s">
        <v>117</v>
      </c>
      <c r="E126" s="385">
        <f>I98</f>
      </c>
      <c r="F126" s="386" t="s">
        <v>172</v>
      </c>
      <c r="G126" s="385">
        <f>I109</f>
      </c>
      <c r="H126" s="387">
        <f>$B$118*A126^2 + $C$118*A126+$D$118</f>
      </c>
      <c r="I126" s="387">
        <f>A126*$G$118+$H$118</f>
      </c>
      <c r="J126" s="387"/>
      <c r="K126" s="387">
        <f>AVERAGE(E126:G126)</f>
      </c>
      <c r="L126" s="387">
        <f>ABS(E126-G126)</f>
      </c>
      <c r="M126" s="387">
        <f>SQRT((E126-K126)^2+(G126-K126)^2)</f>
      </c>
      <c r="N126" s="387">
        <f>(ABS(E126-F126) )</f>
      </c>
      <c r="O126" s="387">
        <f>H126-K126</f>
      </c>
      <c r="P126" s="387">
        <f>H126-K126</f>
      </c>
      <c r="Q126" s="1"/>
      <c r="R126" s="381"/>
      <c r="S126" s="382">
        <f>E127</f>
      </c>
      <c r="T126" s="388">
        <f>SetPnt_N_3</f>
      </c>
      <c r="U126" s="1"/>
      <c r="V126" s="1"/>
      <c r="W126" s="1"/>
      <c r="X126" s="1"/>
    </row>
    <row x14ac:dyDescent="0.25" r="127" customHeight="1" ht="15.6">
      <c r="A127" s="389">
        <f>SetPnt_N_3</f>
      </c>
      <c r="B127" s="390" t="s">
        <v>117</v>
      </c>
      <c r="C127" s="390" t="s">
        <v>117</v>
      </c>
      <c r="D127" s="391" t="s">
        <v>117</v>
      </c>
      <c r="E127" s="385">
        <f>I99</f>
      </c>
      <c r="F127" s="386" t="s">
        <v>172</v>
      </c>
      <c r="G127" s="385">
        <f>I110</f>
      </c>
      <c r="H127" s="387">
        <f>$B$118*A127^2 + $C$118*A127+$D$118</f>
      </c>
      <c r="I127" s="387">
        <f>A127*$G$118+$H$118</f>
      </c>
      <c r="J127" s="387"/>
      <c r="K127" s="387">
        <f>AVERAGE(E127:G127)</f>
      </c>
      <c r="L127" s="387">
        <f>ABS(E127-G127)</f>
      </c>
      <c r="M127" s="387">
        <f>SQRT((E127-K127)^2+(G127-K127)^2)</f>
      </c>
      <c r="N127" s="387">
        <f>(ABS(E127-F127) )</f>
      </c>
      <c r="O127" s="387">
        <f>H127-K127</f>
      </c>
      <c r="P127" s="387">
        <f>H127-K127</f>
      </c>
      <c r="Q127" s="1"/>
      <c r="R127" s="381"/>
      <c r="S127" s="382">
        <f>E128</f>
      </c>
      <c r="T127" s="388">
        <f>SetPnt_N_4</f>
      </c>
      <c r="U127" s="1"/>
      <c r="V127" s="1"/>
      <c r="W127" s="1"/>
      <c r="X127" s="1"/>
    </row>
    <row x14ac:dyDescent="0.25" r="128" customHeight="1" ht="15.6">
      <c r="A128" s="389">
        <f>SetPnt_N_4</f>
      </c>
      <c r="B128" s="390" t="s">
        <v>117</v>
      </c>
      <c r="C128" s="390" t="s">
        <v>117</v>
      </c>
      <c r="D128" s="391" t="s">
        <v>117</v>
      </c>
      <c r="E128" s="385">
        <f>I100</f>
      </c>
      <c r="F128" s="386" t="s">
        <v>172</v>
      </c>
      <c r="G128" s="385">
        <f>I111</f>
      </c>
      <c r="H128" s="387">
        <f>$B$118*A128^2 + $C$118*A128+$D$118</f>
      </c>
      <c r="I128" s="387">
        <f>A128*$G$118+$H$118</f>
      </c>
      <c r="J128" s="387"/>
      <c r="K128" s="387">
        <f>AVERAGE(E128:G128)</f>
      </c>
      <c r="L128" s="387">
        <f>ABS(E128-G128)</f>
      </c>
      <c r="M128" s="387">
        <f>SQRT((E128-K128)^2+(G128-K128)^2)</f>
      </c>
      <c r="N128" s="387">
        <f>(ABS(E128-F128) )</f>
      </c>
      <c r="O128" s="387">
        <f>H128-K128</f>
      </c>
      <c r="P128" s="387">
        <f>H128-K128</f>
      </c>
      <c r="Q128" s="1"/>
      <c r="R128" s="392"/>
      <c r="S128" s="393">
        <f>E129</f>
      </c>
      <c r="T128" s="388">
        <f>SetPnt_N_5</f>
      </c>
      <c r="U128" s="1"/>
      <c r="V128" s="1"/>
      <c r="W128" s="1"/>
      <c r="X128" s="1"/>
    </row>
    <row x14ac:dyDescent="0.25" r="129" customHeight="1" ht="15.6">
      <c r="A129" s="389">
        <f>SetPnt_N_5</f>
      </c>
      <c r="B129" s="385">
        <f>I73</f>
      </c>
      <c r="C129" s="385">
        <f>I80</f>
      </c>
      <c r="D129" s="385">
        <f>I87</f>
      </c>
      <c r="E129" s="385">
        <f>I101</f>
      </c>
      <c r="F129" s="386" t="s">
        <v>172</v>
      </c>
      <c r="G129" s="385">
        <f>I112</f>
      </c>
      <c r="H129" s="387">
        <f>$B$118*A129^2 + $C$118*A129+$D$118</f>
      </c>
      <c r="I129" s="387">
        <f>A129*$G$118+$H$118</f>
      </c>
      <c r="J129" s="387"/>
      <c r="K129" s="387">
        <f>AVERAGE(E129:G129)</f>
      </c>
      <c r="L129" s="387">
        <f>ABS(E129-G129)</f>
      </c>
      <c r="M129" s="387">
        <f>SQRT((E129-K129)^2+(G129-K129)^2)</f>
      </c>
      <c r="N129" s="387">
        <f>(ABS(E129-F129) )</f>
      </c>
      <c r="O129" s="387">
        <f>H129-K129</f>
      </c>
      <c r="P129" s="387">
        <f>H129-K129</f>
      </c>
      <c r="Q129" s="1"/>
      <c r="R129" s="381" t="s">
        <v>141</v>
      </c>
      <c r="S129" s="382">
        <f>G124</f>
      </c>
      <c r="T129" s="383">
        <f>SetPnt_N_0</f>
      </c>
      <c r="U129" s="1"/>
      <c r="V129" s="1"/>
      <c r="W129" s="1"/>
      <c r="X129" s="1"/>
    </row>
    <row x14ac:dyDescent="0.25" r="130" customHeight="1" ht="18.75">
      <c r="A130" s="210"/>
      <c r="B130" s="2"/>
      <c r="C130" s="211"/>
      <c r="D130" s="96"/>
      <c r="E130" s="1"/>
      <c r="F130" s="1"/>
      <c r="G130" s="1"/>
      <c r="H130" s="1"/>
      <c r="I130" s="1"/>
      <c r="J130" s="1"/>
      <c r="K130" s="1"/>
      <c r="L130" s="1"/>
      <c r="M130" s="1"/>
      <c r="N130" s="96"/>
      <c r="O130" s="1"/>
      <c r="P130" s="312"/>
      <c r="Q130" s="1"/>
      <c r="R130" s="299"/>
      <c r="S130" s="382">
        <f>G125</f>
      </c>
      <c r="T130" s="388">
        <f>SetPnt_N_1</f>
      </c>
      <c r="U130" s="1"/>
      <c r="V130" s="1"/>
      <c r="W130" s="1"/>
      <c r="X130" s="1"/>
    </row>
    <row x14ac:dyDescent="0.25" r="131" customHeight="1" ht="18">
      <c r="A131" s="266" t="s">
        <v>173</v>
      </c>
      <c r="B131" s="2"/>
      <c r="C131" s="211"/>
      <c r="D131" s="96"/>
      <c r="E131" s="1"/>
      <c r="F131" s="1"/>
      <c r="G131" s="1"/>
      <c r="H131" s="1"/>
      <c r="I131" s="1"/>
      <c r="J131" s="1"/>
      <c r="K131" s="1"/>
      <c r="L131" s="1"/>
      <c r="M131" s="1"/>
      <c r="N131" s="96"/>
      <c r="O131" s="1"/>
      <c r="P131" s="312"/>
      <c r="Q131" s="1"/>
      <c r="R131" s="299"/>
      <c r="S131" s="382">
        <f>G126</f>
      </c>
      <c r="T131" s="388">
        <f>SetPnt_N_2</f>
      </c>
      <c r="U131" s="1"/>
      <c r="V131" s="1"/>
      <c r="W131" s="1"/>
      <c r="X131" s="1"/>
    </row>
    <row x14ac:dyDescent="0.25" r="132" customHeight="1" ht="18.75">
      <c r="A132" s="394" t="s">
        <v>20</v>
      </c>
      <c r="B132" s="395" t="s">
        <v>174</v>
      </c>
      <c r="C132" s="395" t="s">
        <v>175</v>
      </c>
      <c r="D132" s="396" t="s">
        <v>176</v>
      </c>
      <c r="E132" s="397" t="s">
        <v>177</v>
      </c>
      <c r="F132" s="397" t="s">
        <v>178</v>
      </c>
      <c r="G132" s="397" t="s">
        <v>179</v>
      </c>
      <c r="H132" s="397" t="s">
        <v>180</v>
      </c>
      <c r="I132" s="397" t="s">
        <v>178</v>
      </c>
      <c r="J132" s="397" t="s">
        <v>179</v>
      </c>
      <c r="K132" s="16"/>
      <c r="L132" s="1"/>
      <c r="M132" s="340"/>
      <c r="N132" s="396" t="s">
        <v>176</v>
      </c>
      <c r="O132" s="1"/>
      <c r="P132" s="312"/>
      <c r="Q132" s="1"/>
      <c r="R132" s="299"/>
      <c r="S132" s="382">
        <f>G127</f>
      </c>
      <c r="T132" s="388">
        <f>SetPnt_N_3</f>
      </c>
      <c r="U132" s="1"/>
      <c r="V132" s="1"/>
      <c r="W132" s="1"/>
      <c r="X132" s="1"/>
    </row>
    <row x14ac:dyDescent="0.25" r="133" customHeight="1" ht="18.75">
      <c r="A133" s="398">
        <f>SetPnt_N_0</f>
      </c>
      <c r="B133" s="399">
        <f>L124*100 / (SQRT(2)*K124)</f>
      </c>
      <c r="C133" s="399">
        <f>M124*100 / (SQRT(2)*K124)</f>
      </c>
      <c r="D133" s="400">
        <v>0.469</v>
      </c>
      <c r="E133" s="401">
        <f>ABS(O124)*100 / (SQRT(6)*I124)</f>
      </c>
      <c r="F133" s="401">
        <f>SQRT((B133^2 + C133^2+D133^2+E133^2))</f>
      </c>
      <c r="G133" s="402">
        <f>F133*2</f>
      </c>
      <c r="H133" s="403">
        <f>ABS(P124)*100 / (SQRT(6)*H124)</f>
      </c>
      <c r="I133" s="401">
        <f>SQRT((B133^2 + C133^2+H133^2+D133^2))</f>
      </c>
      <c r="J133" s="401">
        <f>I133*2</f>
      </c>
      <c r="K133" s="1"/>
      <c r="L133" s="1"/>
      <c r="M133" s="340"/>
      <c r="N133" s="400">
        <v>0.469</v>
      </c>
      <c r="O133" s="1"/>
      <c r="P133" s="312"/>
      <c r="Q133" s="1"/>
      <c r="R133" s="299"/>
      <c r="S133" s="382">
        <f>G128</f>
      </c>
      <c r="T133" s="388">
        <f>SetPnt_N_4</f>
      </c>
      <c r="U133" s="1"/>
      <c r="V133" s="1"/>
      <c r="W133" s="1"/>
      <c r="X133" s="1"/>
    </row>
    <row x14ac:dyDescent="0.25" r="134" customHeight="1" ht="18.75">
      <c r="A134" s="389">
        <f>SetPnt_N_1</f>
      </c>
      <c r="B134" s="399">
        <f>L125*100 / (SQRT(2)*K125)</f>
      </c>
      <c r="C134" s="399">
        <f>M125*100 / (SQRT(2)*K125)</f>
      </c>
      <c r="D134" s="400">
        <v>0.109</v>
      </c>
      <c r="E134" s="401">
        <f>ABS(O125)*100 / (SQRT(6)*I125)</f>
      </c>
      <c r="F134" s="401">
        <f>SQRT((B134^2 + C134^2+D134^2+E134^2))</f>
      </c>
      <c r="G134" s="402">
        <f>F134*2</f>
      </c>
      <c r="H134" s="403">
        <f>ABS(P125)*100 / (SQRT(6)*H125)</f>
      </c>
      <c r="I134" s="401">
        <f>SQRT((B134^2 + C134^2+H134^2+D134^2))</f>
      </c>
      <c r="J134" s="404">
        <f>I134*2</f>
      </c>
      <c r="K134" s="1"/>
      <c r="L134" s="1"/>
      <c r="M134" s="340"/>
      <c r="N134" s="400">
        <v>0.469</v>
      </c>
      <c r="O134" s="1"/>
      <c r="P134" s="312"/>
      <c r="Q134" s="1"/>
      <c r="R134" s="299"/>
      <c r="S134" s="382">
        <f>G129</f>
      </c>
      <c r="T134" s="388">
        <f>SetPnt_N_5</f>
      </c>
      <c r="U134" s="1"/>
      <c r="V134" s="1"/>
      <c r="W134" s="1"/>
      <c r="X134" s="1"/>
    </row>
    <row x14ac:dyDescent="0.25" r="135" customHeight="1" ht="18.75">
      <c r="A135" s="389">
        <f>SetPnt_N_2</f>
      </c>
      <c r="B135" s="399">
        <f>L126*100 / (SQRT(2)*K126)</f>
      </c>
      <c r="C135" s="399">
        <f>M126*100 / (SQRT(2)*K126)</f>
      </c>
      <c r="D135" s="400">
        <v>0.109</v>
      </c>
      <c r="E135" s="401">
        <f>ABS(O126)*100 / (SQRT(6)*I126)</f>
      </c>
      <c r="F135" s="401">
        <f>SQRT((B135^2 + C135^2+D135^2+E135^2))</f>
      </c>
      <c r="G135" s="402">
        <f>F135*2</f>
      </c>
      <c r="H135" s="403">
        <f>ABS(P126)*100 / (SQRT(6)*H126)</f>
      </c>
      <c r="I135" s="401">
        <f>SQRT((B135^2 + C135^2+H135^2+D135^2))</f>
      </c>
      <c r="J135" s="404">
        <f>I135*2</f>
      </c>
      <c r="K135" s="1"/>
      <c r="L135" s="1"/>
      <c r="M135" s="340"/>
      <c r="N135" s="400">
        <v>0.109</v>
      </c>
      <c r="O135" s="1"/>
      <c r="P135" s="312"/>
      <c r="Q135" s="1"/>
      <c r="R135" s="1"/>
      <c r="S135" s="1"/>
      <c r="T135" s="1"/>
      <c r="U135" s="1"/>
      <c r="V135" s="1"/>
      <c r="W135" s="1"/>
      <c r="X135" s="1"/>
    </row>
    <row x14ac:dyDescent="0.25" r="136" customHeight="1" ht="18.75">
      <c r="A136" s="389">
        <f>SetPnt_N_3</f>
      </c>
      <c r="B136" s="399">
        <f>L127*100 / (SQRT(2)*K127)</f>
      </c>
      <c r="C136" s="399">
        <f>M127*100 / (SQRT(2)*K127)</f>
      </c>
      <c r="D136" s="400">
        <v>0.109</v>
      </c>
      <c r="E136" s="401">
        <f>ABS(O127)*100 / (SQRT(6)*I127)</f>
      </c>
      <c r="F136" s="401">
        <f>SQRT((B136^2 + C136^2+D136^2+E136^2))</f>
      </c>
      <c r="G136" s="402">
        <f>F136*2</f>
      </c>
      <c r="H136" s="403">
        <f>ABS(P127)*100 / (SQRT(6)*H127)</f>
      </c>
      <c r="I136" s="401">
        <f>SQRT((B136^2 + C136^2+H136^2+D136^2))</f>
      </c>
      <c r="J136" s="404">
        <f>I136*2</f>
      </c>
      <c r="K136" s="1"/>
      <c r="L136" s="1"/>
      <c r="M136" s="340"/>
      <c r="N136" s="400">
        <v>0.109</v>
      </c>
      <c r="O136" s="1"/>
      <c r="P136" s="312"/>
      <c r="Q136" s="1"/>
      <c r="R136" s="1"/>
      <c r="S136" s="1"/>
      <c r="T136" s="1"/>
      <c r="U136" s="1"/>
      <c r="V136" s="1"/>
      <c r="W136" s="1"/>
      <c r="X136" s="1"/>
    </row>
    <row x14ac:dyDescent="0.25" r="137" customHeight="1" ht="18.75">
      <c r="A137" s="389">
        <f>SetPnt_N_4</f>
      </c>
      <c r="B137" s="399">
        <f>L128*100 / (SQRT(2)*K128)</f>
      </c>
      <c r="C137" s="399">
        <f>M128*100 / (SQRT(2)*K128)</f>
      </c>
      <c r="D137" s="400">
        <v>0.108</v>
      </c>
      <c r="E137" s="401">
        <f>ABS(O128)*100 / (SQRT(6)*I128)</f>
      </c>
      <c r="F137" s="401">
        <f>SQRT((B137^2 + C137^2+D137^2+E137^2))</f>
      </c>
      <c r="G137" s="402">
        <f>F137*2</f>
      </c>
      <c r="H137" s="403">
        <f>ABS(P128)*100 / (SQRT(6)*H128)</f>
      </c>
      <c r="I137" s="401">
        <f>SQRT((B137^2 + C137^2+H137^2+D137^2))</f>
      </c>
      <c r="J137" s="404">
        <f>I137*2</f>
      </c>
      <c r="K137" s="1"/>
      <c r="L137" s="1"/>
      <c r="M137" s="340"/>
      <c r="N137" s="400">
        <v>0.108</v>
      </c>
      <c r="O137" s="1"/>
      <c r="P137" s="312"/>
      <c r="Q137" s="1"/>
      <c r="R137" s="1"/>
      <c r="S137" s="1"/>
      <c r="T137" s="1"/>
      <c r="U137" s="1"/>
      <c r="V137" s="1"/>
      <c r="W137" s="1"/>
      <c r="X137" s="1"/>
    </row>
    <row x14ac:dyDescent="0.25" r="138" customHeight="1" ht="18.75">
      <c r="A138" s="389">
        <f>SetPnt_N_5</f>
      </c>
      <c r="B138" s="399">
        <f>L129*100 / (SQRT(2)*K129)</f>
      </c>
      <c r="C138" s="399">
        <f>M129*100 / (SQRT(2)*K129)</f>
      </c>
      <c r="D138" s="400">
        <v>0.098</v>
      </c>
      <c r="E138" s="401">
        <f>ABS(O129)*100 / (SQRT(6)*I129)</f>
      </c>
      <c r="F138" s="401">
        <f>SQRT((B138^2 + C138^2+D138^2+E138^2))</f>
      </c>
      <c r="G138" s="402">
        <f>F138*2</f>
      </c>
      <c r="H138" s="403">
        <f>ABS(P129)*100 / (SQRT(6)*H129)</f>
      </c>
      <c r="I138" s="401">
        <f>SQRT((B138^2 + C138^2+H138^2+D138^2))</f>
      </c>
      <c r="J138" s="404">
        <f>I138*2</f>
      </c>
      <c r="K138" s="1"/>
      <c r="L138" s="1"/>
      <c r="M138" s="340"/>
      <c r="N138" s="400">
        <v>0.098</v>
      </c>
      <c r="O138" s="1"/>
      <c r="P138" s="1"/>
      <c r="Q138" s="1"/>
      <c r="R138" s="1"/>
      <c r="S138" s="1"/>
      <c r="T138" s="1"/>
      <c r="U138" s="1"/>
      <c r="V138" s="1"/>
      <c r="W138" s="1"/>
      <c r="X138" s="1"/>
    </row>
    <row x14ac:dyDescent="0.25" r="139" customHeight="1" ht="18.75">
      <c r="A139" s="210"/>
      <c r="B139" s="2"/>
      <c r="C139" s="211"/>
      <c r="D139" s="96"/>
      <c r="E139" s="1"/>
      <c r="F139" s="1"/>
      <c r="G139" s="1"/>
      <c r="H139" s="1"/>
      <c r="I139" s="1"/>
      <c r="J139" s="1"/>
      <c r="K139" s="1"/>
      <c r="L139" s="1"/>
      <c r="M139" s="1"/>
      <c r="N139" s="96"/>
      <c r="O139" s="1"/>
      <c r="P139" s="1"/>
      <c r="Q139" s="1"/>
      <c r="R139" s="1"/>
      <c r="S139" s="1"/>
      <c r="T139" s="1"/>
      <c r="U139" s="1"/>
      <c r="V139" s="1"/>
      <c r="W139" s="1"/>
      <c r="X139" s="1"/>
    </row>
    <row x14ac:dyDescent="0.25" r="140" customHeight="1" ht="25.8">
      <c r="A140" s="206" t="s">
        <v>181</v>
      </c>
      <c r="B140" s="207"/>
      <c r="C140" s="207"/>
      <c r="D140" s="208"/>
      <c r="E140" s="209"/>
      <c r="F140" s="209"/>
      <c r="G140" s="209"/>
      <c r="H140" s="209"/>
      <c r="I140" s="209"/>
      <c r="J140" s="209"/>
      <c r="K140" s="209"/>
      <c r="L140" s="209"/>
      <c r="M140" s="209"/>
      <c r="N140" s="208"/>
      <c r="O140" s="209"/>
      <c r="P140" s="209"/>
      <c r="Q140" s="209"/>
      <c r="R140" s="209"/>
      <c r="S140" s="209"/>
      <c r="T140" s="209"/>
      <c r="U140" s="209"/>
      <c r="V140" s="209"/>
      <c r="W140" s="209"/>
      <c r="X140" s="209"/>
    </row>
    <row x14ac:dyDescent="0.25" r="141" customHeight="1" ht="18.75">
      <c r="A141" s="210"/>
      <c r="B141" s="2"/>
      <c r="C141" s="211"/>
      <c r="D141" s="96"/>
      <c r="E141" s="1"/>
      <c r="F141" s="1"/>
      <c r="G141" s="1"/>
      <c r="H141" s="1"/>
      <c r="I141" s="1"/>
      <c r="J141" s="1"/>
      <c r="K141" s="1"/>
      <c r="L141" s="1"/>
      <c r="M141" s="1"/>
      <c r="N141" s="96"/>
      <c r="O141" s="1"/>
      <c r="P141" s="1"/>
      <c r="Q141" s="1"/>
      <c r="R141" s="1"/>
      <c r="S141" s="1"/>
      <c r="T141" s="1"/>
      <c r="U141" s="1"/>
      <c r="V141" s="1"/>
      <c r="W141" s="1"/>
      <c r="X141" s="1"/>
    </row>
    <row x14ac:dyDescent="0.25" r="142" customHeight="1" ht="15.75">
      <c r="A142" s="210"/>
      <c r="B142" s="405" t="s">
        <v>182</v>
      </c>
      <c r="C142" s="406"/>
      <c r="D142" s="406"/>
      <c r="E142" s="406"/>
      <c r="F142" s="406"/>
      <c r="G142" s="1"/>
      <c r="H142" s="1"/>
      <c r="I142" s="1"/>
      <c r="J142" s="1"/>
      <c r="K142" s="1"/>
      <c r="L142" s="1"/>
      <c r="M142" s="1"/>
      <c r="N142" s="96"/>
      <c r="O142" s="1"/>
      <c r="P142" s="1"/>
      <c r="Q142" s="1"/>
      <c r="R142" s="1"/>
      <c r="S142" s="1"/>
      <c r="T142" s="1"/>
      <c r="U142" s="1"/>
      <c r="V142" s="1"/>
      <c r="W142" s="1"/>
      <c r="X142" s="1"/>
    </row>
    <row x14ac:dyDescent="0.25" r="143" customHeight="1" ht="14.25">
      <c r="A143" s="210"/>
      <c r="B143" s="407" t="s">
        <v>25</v>
      </c>
      <c r="C143" s="408"/>
      <c r="D143" s="409"/>
      <c r="E143" s="1"/>
      <c r="F143" s="1"/>
      <c r="G143" s="1"/>
      <c r="H143" s="1"/>
      <c r="I143" s="1"/>
      <c r="J143" s="1"/>
      <c r="K143" s="1"/>
      <c r="L143" s="1"/>
      <c r="M143" s="1"/>
      <c r="N143" s="96"/>
      <c r="O143" s="1"/>
      <c r="P143" s="1"/>
      <c r="Q143" s="1"/>
      <c r="R143" s="1"/>
      <c r="S143" s="1"/>
      <c r="T143" s="1"/>
      <c r="U143" s="1"/>
      <c r="V143" s="1"/>
      <c r="W143" s="1"/>
      <c r="X143" s="1"/>
    </row>
    <row x14ac:dyDescent="0.25" r="144" customHeight="1" ht="14.25">
      <c r="A144" s="210"/>
      <c r="B144" s="410"/>
      <c r="C144" s="44" t="s">
        <v>26</v>
      </c>
      <c r="D144" s="411" t="s">
        <v>27</v>
      </c>
      <c r="E144" s="1"/>
      <c r="F144" s="1"/>
      <c r="G144" s="1"/>
      <c r="H144" s="1"/>
      <c r="I144" s="1"/>
      <c r="J144" s="1"/>
      <c r="K144" s="1"/>
      <c r="L144" s="1"/>
      <c r="M144" s="1"/>
      <c r="N144" s="96"/>
      <c r="O144" s="1"/>
      <c r="P144" s="1"/>
      <c r="Q144" s="1"/>
      <c r="R144" s="1"/>
      <c r="S144" s="1"/>
      <c r="T144" s="1"/>
      <c r="U144" s="1"/>
      <c r="V144" s="1"/>
      <c r="W144" s="1"/>
      <c r="X144" s="1"/>
    </row>
    <row x14ac:dyDescent="0.25" r="145" customHeight="1" ht="18.75">
      <c r="A145" s="210"/>
      <c r="B145" s="412" t="s">
        <v>28</v>
      </c>
      <c r="C145" s="49">
        <v>0</v>
      </c>
      <c r="D145" s="50">
        <f>$C$59/1000</f>
      </c>
      <c r="E145" s="1"/>
      <c r="F145" s="1"/>
      <c r="G145" s="1"/>
      <c r="H145" s="1"/>
      <c r="I145" s="1"/>
      <c r="J145" s="1"/>
      <c r="K145" s="1"/>
      <c r="L145" s="1"/>
      <c r="M145" s="1"/>
      <c r="N145" s="96"/>
      <c r="O145" s="1"/>
      <c r="P145" s="1"/>
      <c r="Q145" s="1"/>
      <c r="R145" s="1"/>
      <c r="S145" s="1"/>
      <c r="T145" s="1"/>
      <c r="U145" s="1"/>
      <c r="V145" s="1"/>
      <c r="W145" s="1"/>
      <c r="X145" s="1"/>
    </row>
    <row x14ac:dyDescent="0.25" r="146" customHeight="1" ht="15">
      <c r="A146" s="210"/>
      <c r="B146" s="413" t="s">
        <v>29</v>
      </c>
      <c r="C146" s="52">
        <f>$B$117/1000</f>
      </c>
      <c r="D146" s="53">
        <f>$C$117/1000</f>
      </c>
      <c r="E146" s="1"/>
      <c r="F146" s="1"/>
      <c r="G146" s="1"/>
      <c r="H146" s="1"/>
      <c r="I146" s="1"/>
      <c r="J146" s="1"/>
      <c r="K146" s="1"/>
      <c r="L146" s="1"/>
      <c r="M146" s="1"/>
      <c r="N146" s="96"/>
      <c r="O146" s="1"/>
      <c r="P146" s="1"/>
      <c r="Q146" s="1"/>
      <c r="R146" s="1"/>
      <c r="S146" s="1"/>
      <c r="T146" s="1"/>
      <c r="U146" s="1"/>
      <c r="V146" s="1"/>
      <c r="W146" s="1"/>
      <c r="X146" s="1"/>
    </row>
    <row x14ac:dyDescent="0.25" r="147" customHeight="1" ht="18.75">
      <c r="A147" s="210"/>
      <c r="B147" s="414"/>
      <c r="C147" s="415"/>
      <c r="D147" s="415"/>
      <c r="E147" s="1"/>
      <c r="F147" s="1"/>
      <c r="G147" s="1"/>
      <c r="H147" s="1"/>
      <c r="I147" s="1"/>
      <c r="J147" s="1"/>
      <c r="K147" s="1"/>
      <c r="L147" s="1"/>
      <c r="M147" s="1"/>
      <c r="N147" s="96"/>
      <c r="O147" s="1"/>
      <c r="P147" s="1"/>
      <c r="Q147" s="1"/>
      <c r="R147" s="1"/>
      <c r="S147" s="1"/>
      <c r="T147" s="1"/>
      <c r="U147" s="1"/>
      <c r="V147" s="1"/>
      <c r="W147" s="1"/>
      <c r="X147" s="1"/>
    </row>
    <row x14ac:dyDescent="0.25" r="148" customHeight="1" ht="15.75">
      <c r="A148" s="210"/>
      <c r="B148" s="416" t="s">
        <v>183</v>
      </c>
      <c r="C148" s="417"/>
      <c r="D148" s="418"/>
      <c r="E148" s="419"/>
      <c r="F148" s="419"/>
      <c r="G148" s="1"/>
      <c r="H148" s="1"/>
      <c r="I148" s="1"/>
      <c r="J148" s="1"/>
      <c r="K148" s="1"/>
      <c r="L148" s="1"/>
      <c r="M148" s="1"/>
      <c r="N148" s="96"/>
      <c r="O148" s="1"/>
      <c r="P148" s="1"/>
      <c r="Q148" s="1"/>
      <c r="R148" s="1"/>
      <c r="S148" s="1"/>
      <c r="T148" s="1"/>
      <c r="U148" s="1"/>
      <c r="V148" s="1"/>
      <c r="W148" s="1"/>
      <c r="X148" s="1"/>
    </row>
    <row x14ac:dyDescent="0.25" r="149" customHeight="1" ht="14.25">
      <c r="A149" s="210"/>
      <c r="B149" s="407" t="s">
        <v>30</v>
      </c>
      <c r="C149" s="408"/>
      <c r="D149" s="409"/>
      <c r="E149" s="1"/>
      <c r="F149" s="1"/>
      <c r="G149" s="1"/>
      <c r="H149" s="1"/>
      <c r="I149" s="1"/>
      <c r="J149" s="1"/>
      <c r="K149" s="1"/>
      <c r="L149" s="1"/>
      <c r="M149" s="1"/>
      <c r="N149" s="96"/>
      <c r="O149" s="1"/>
      <c r="P149" s="1"/>
      <c r="Q149" s="1"/>
      <c r="R149" s="1"/>
      <c r="S149" s="1"/>
      <c r="T149" s="1"/>
      <c r="U149" s="1"/>
      <c r="V149" s="1"/>
      <c r="W149" s="1"/>
      <c r="X149" s="1"/>
    </row>
    <row x14ac:dyDescent="0.25" r="150" customHeight="1" ht="14.25">
      <c r="A150" s="210"/>
      <c r="B150" s="410"/>
      <c r="C150" s="44" t="s">
        <v>31</v>
      </c>
      <c r="D150" s="411" t="s">
        <v>32</v>
      </c>
      <c r="E150" s="1"/>
      <c r="F150" s="1"/>
      <c r="G150" s="1"/>
      <c r="H150" s="1"/>
      <c r="I150" s="1"/>
      <c r="J150" s="1"/>
      <c r="K150" s="1"/>
      <c r="L150" s="1"/>
      <c r="M150" s="1"/>
      <c r="N150" s="96"/>
      <c r="O150" s="1"/>
      <c r="P150" s="1"/>
      <c r="Q150" s="1"/>
      <c r="R150" s="1"/>
      <c r="S150" s="1"/>
      <c r="T150" s="1"/>
      <c r="U150" s="1"/>
      <c r="V150" s="1"/>
      <c r="W150" s="1"/>
      <c r="X150" s="1"/>
    </row>
    <row x14ac:dyDescent="0.25" r="151" customHeight="1" ht="18.75">
      <c r="A151" s="210"/>
      <c r="B151" s="412" t="s">
        <v>28</v>
      </c>
      <c r="C151" s="49">
        <v>0</v>
      </c>
      <c r="D151" s="50">
        <f>$G$118*1000</f>
      </c>
      <c r="E151" s="1"/>
      <c r="F151" s="420"/>
      <c r="G151" s="1"/>
      <c r="H151" s="1"/>
      <c r="I151" s="1"/>
      <c r="J151" s="1"/>
      <c r="K151" s="1"/>
      <c r="L151" s="1"/>
      <c r="M151" s="1"/>
      <c r="N151" s="96"/>
      <c r="O151" s="1"/>
      <c r="P151" s="1"/>
      <c r="Q151" s="1"/>
      <c r="R151" s="1"/>
      <c r="S151" s="1"/>
      <c r="T151" s="1"/>
      <c r="U151" s="1"/>
      <c r="V151" s="1"/>
      <c r="W151" s="1"/>
      <c r="X151" s="1"/>
    </row>
    <row x14ac:dyDescent="0.25" r="152" customHeight="1" ht="15">
      <c r="A152" s="210"/>
      <c r="B152" s="413" t="s">
        <v>29</v>
      </c>
      <c r="C152" s="52">
        <f>$B$118*1000</f>
      </c>
      <c r="D152" s="53">
        <f>$C$118*1000</f>
      </c>
      <c r="E152" s="1"/>
      <c r="F152" s="420"/>
      <c r="G152" s="1"/>
      <c r="H152" s="1"/>
      <c r="I152" s="1"/>
      <c r="J152" s="1"/>
      <c r="K152" s="1"/>
      <c r="L152" s="1"/>
      <c r="M152" s="1"/>
      <c r="N152" s="96"/>
      <c r="O152" s="1"/>
      <c r="P152" s="1"/>
      <c r="Q152" s="1"/>
      <c r="R152" s="1"/>
      <c r="S152" s="1"/>
      <c r="T152" s="1"/>
      <c r="U152" s="1"/>
      <c r="V152" s="1"/>
      <c r="W152" s="1"/>
      <c r="X152" s="1"/>
    </row>
    <row x14ac:dyDescent="0.25" r="153" customHeight="1" ht="18.75">
      <c r="A153" s="210"/>
      <c r="B153" s="2"/>
      <c r="C153" s="211"/>
      <c r="D153" s="96"/>
      <c r="E153" s="1"/>
      <c r="F153" s="1"/>
      <c r="G153" s="1"/>
      <c r="H153" s="1"/>
      <c r="I153" s="1"/>
      <c r="J153" s="1"/>
      <c r="K153" s="1"/>
      <c r="L153" s="1"/>
      <c r="M153" s="1"/>
      <c r="N153" s="96"/>
      <c r="O153" s="1"/>
      <c r="P153" s="1"/>
      <c r="Q153" s="1"/>
      <c r="R153" s="1"/>
      <c r="S153" s="1"/>
      <c r="T153" s="1"/>
      <c r="U153" s="1"/>
      <c r="V153" s="1"/>
      <c r="W153" s="1"/>
      <c r="X153" s="1"/>
    </row>
    <row x14ac:dyDescent="0.25" r="154" customHeight="1" ht="15">
      <c r="A154" s="210"/>
      <c r="B154" s="421" t="s">
        <v>184</v>
      </c>
      <c r="C154" s="211"/>
      <c r="D154" s="96"/>
      <c r="E154" s="1"/>
      <c r="F154" s="1"/>
      <c r="G154" s="1"/>
      <c r="H154" s="1"/>
      <c r="I154" s="1"/>
      <c r="J154" s="1"/>
      <c r="K154" s="1"/>
      <c r="L154" s="1"/>
      <c r="M154" s="1"/>
      <c r="N154" s="96"/>
      <c r="O154" s="1"/>
      <c r="P154" s="1"/>
      <c r="Q154" s="1"/>
      <c r="R154" s="1"/>
      <c r="S154" s="1"/>
      <c r="T154" s="1"/>
      <c r="U154" s="1"/>
      <c r="V154" s="1"/>
      <c r="W154" s="1"/>
      <c r="X154" s="1"/>
    </row>
    <row x14ac:dyDescent="0.25" r="155" customHeight="1" ht="14.25">
      <c r="A155" s="210"/>
      <c r="B155" s="422" t="s">
        <v>20</v>
      </c>
      <c r="C155" s="423" t="s">
        <v>34</v>
      </c>
      <c r="D155" s="424" t="s">
        <v>34</v>
      </c>
      <c r="E155" s="425" t="s">
        <v>34</v>
      </c>
      <c r="F155" s="425" t="s">
        <v>35</v>
      </c>
      <c r="G155" s="426" t="s">
        <v>35</v>
      </c>
      <c r="H155" s="60"/>
      <c r="I155" s="427" t="s">
        <v>20</v>
      </c>
      <c r="J155" s="428" t="s">
        <v>21</v>
      </c>
      <c r="K155" s="1"/>
      <c r="L155" s="1"/>
      <c r="M155" s="1"/>
      <c r="N155" s="96"/>
      <c r="O155" s="1"/>
      <c r="P155" s="1"/>
      <c r="Q155" s="1"/>
      <c r="R155" s="1"/>
      <c r="S155" s="1"/>
      <c r="T155" s="1"/>
      <c r="U155" s="1"/>
      <c r="V155" s="1"/>
      <c r="W155" s="1"/>
      <c r="X155" s="1"/>
    </row>
    <row x14ac:dyDescent="0.25" r="156" customHeight="1" ht="18.75">
      <c r="A156" s="210"/>
      <c r="B156" s="429" t="s">
        <v>36</v>
      </c>
      <c r="C156" s="430" t="s">
        <v>37</v>
      </c>
      <c r="D156" s="431" t="s">
        <v>37</v>
      </c>
      <c r="E156" s="432" t="s">
        <v>37</v>
      </c>
      <c r="F156" s="432" t="s">
        <v>37</v>
      </c>
      <c r="G156" s="433" t="s">
        <v>37</v>
      </c>
      <c r="H156" s="67"/>
      <c r="I156" s="68"/>
      <c r="J156" s="69"/>
      <c r="K156" s="1"/>
      <c r="L156" s="1"/>
      <c r="M156" s="1"/>
      <c r="N156" s="96"/>
      <c r="O156" s="1"/>
      <c r="P156" s="1"/>
      <c r="Q156" s="1"/>
      <c r="R156" s="1"/>
      <c r="S156" s="1"/>
      <c r="T156" s="1"/>
      <c r="U156" s="1"/>
      <c r="V156" s="1"/>
      <c r="W156" s="1"/>
      <c r="X156" s="1"/>
    </row>
    <row x14ac:dyDescent="0.25" r="157" customHeight="1" ht="18.75">
      <c r="A157" s="210"/>
      <c r="B157" s="434">
        <f>SetPnt_N_0</f>
      </c>
      <c r="C157" s="71">
        <f>B124*1000</f>
      </c>
      <c r="D157" s="71">
        <f>C124*1000</f>
      </c>
      <c r="E157" s="71">
        <f>D124*1000</f>
      </c>
      <c r="F157" s="71">
        <f>E124*1000</f>
      </c>
      <c r="G157" s="72">
        <f>G124*1000</f>
      </c>
      <c r="H157" s="25"/>
      <c r="I157" s="73">
        <f>SetPnt_N_1</f>
      </c>
      <c r="J157" s="74">
        <f>J134</f>
      </c>
      <c r="K157" s="1"/>
      <c r="L157" s="1"/>
      <c r="M157" s="1"/>
      <c r="N157" s="96"/>
      <c r="O157" s="1"/>
      <c r="P157" s="1"/>
      <c r="Q157" s="1"/>
      <c r="R157" s="1"/>
      <c r="S157" s="1"/>
      <c r="T157" s="1"/>
      <c r="U157" s="1"/>
      <c r="V157" s="1"/>
      <c r="W157" s="1"/>
      <c r="X157" s="1"/>
    </row>
    <row x14ac:dyDescent="0.25" r="158" customHeight="1" ht="18.75">
      <c r="A158" s="210"/>
      <c r="B158" s="73">
        <f>SetPnt_N_1</f>
      </c>
      <c r="C158" s="75">
        <f>B125</f>
      </c>
      <c r="D158" s="75">
        <f>C125</f>
      </c>
      <c r="E158" s="75">
        <f>D125</f>
      </c>
      <c r="F158" s="75">
        <f>E125*1000</f>
      </c>
      <c r="G158" s="76">
        <f>G125*1000</f>
      </c>
      <c r="H158" s="25"/>
      <c r="I158" s="73">
        <f>SetPnt_N_2</f>
      </c>
      <c r="J158" s="74">
        <f>J135</f>
      </c>
      <c r="K158" s="1"/>
      <c r="L158" s="1"/>
      <c r="M158" s="1"/>
      <c r="N158" s="96"/>
      <c r="O158" s="1"/>
      <c r="P158" s="1"/>
      <c r="Q158" s="1"/>
      <c r="R158" s="1"/>
      <c r="S158" s="1"/>
      <c r="T158" s="1"/>
      <c r="U158" s="1"/>
      <c r="V158" s="1"/>
      <c r="W158" s="1"/>
      <c r="X158" s="1"/>
    </row>
    <row x14ac:dyDescent="0.25" r="159" customHeight="1" ht="18.75">
      <c r="A159" s="210"/>
      <c r="B159" s="73">
        <f>SetPnt_N_2</f>
      </c>
      <c r="C159" s="75">
        <f>B126</f>
      </c>
      <c r="D159" s="75">
        <f>C126</f>
      </c>
      <c r="E159" s="75">
        <f>D126</f>
      </c>
      <c r="F159" s="75">
        <f>E126*1000</f>
      </c>
      <c r="G159" s="76">
        <f>G126*1000</f>
      </c>
      <c r="H159" s="25"/>
      <c r="I159" s="73">
        <f>SetPnt_N_3</f>
      </c>
      <c r="J159" s="74">
        <f>J136</f>
      </c>
      <c r="K159" s="1"/>
      <c r="L159" s="1"/>
      <c r="M159" s="1"/>
      <c r="N159" s="96"/>
      <c r="O159" s="1"/>
      <c r="P159" s="1"/>
      <c r="Q159" s="1"/>
      <c r="R159" s="1"/>
      <c r="S159" s="1"/>
      <c r="T159" s="1"/>
      <c r="U159" s="1"/>
      <c r="V159" s="1"/>
      <c r="W159" s="1"/>
      <c r="X159" s="1"/>
    </row>
    <row x14ac:dyDescent="0.25" r="160" customHeight="1" ht="18.75">
      <c r="A160" s="210"/>
      <c r="B160" s="73">
        <f>SetPnt_N_3</f>
      </c>
      <c r="C160" s="75">
        <f>B127</f>
      </c>
      <c r="D160" s="75">
        <f>C127</f>
      </c>
      <c r="E160" s="75">
        <f>D127</f>
      </c>
      <c r="F160" s="75">
        <f>E127*1000</f>
      </c>
      <c r="G160" s="76">
        <f>G127*1000</f>
      </c>
      <c r="H160" s="25"/>
      <c r="I160" s="73">
        <f>SetPnt_N_4</f>
      </c>
      <c r="J160" s="74">
        <f>J137</f>
      </c>
      <c r="K160" s="1"/>
      <c r="L160" s="1"/>
      <c r="M160" s="1"/>
      <c r="N160" s="96"/>
      <c r="O160" s="1"/>
      <c r="P160" s="1"/>
      <c r="Q160" s="1"/>
      <c r="R160" s="1"/>
      <c r="S160" s="1"/>
      <c r="T160" s="1"/>
      <c r="U160" s="1"/>
      <c r="V160" s="1"/>
      <c r="W160" s="1"/>
      <c r="X160" s="1"/>
    </row>
    <row x14ac:dyDescent="0.25" r="161" customHeight="1" ht="15">
      <c r="A161" s="210"/>
      <c r="B161" s="73">
        <f>SetPnt_N_4</f>
      </c>
      <c r="C161" s="75">
        <f>B128</f>
      </c>
      <c r="D161" s="75">
        <f>C128</f>
      </c>
      <c r="E161" s="75">
        <f>D128</f>
      </c>
      <c r="F161" s="75">
        <f>E128*1000</f>
      </c>
      <c r="G161" s="76">
        <f>G128*1000</f>
      </c>
      <c r="H161" s="25"/>
      <c r="I161" s="77">
        <f>SetPnt_N_5</f>
      </c>
      <c r="J161" s="78">
        <f>J138</f>
      </c>
      <c r="K161" s="1"/>
      <c r="L161" s="1"/>
      <c r="M161" s="1"/>
      <c r="N161" s="96"/>
      <c r="O161" s="1"/>
      <c r="P161" s="1"/>
      <c r="Q161" s="1"/>
      <c r="R161" s="1"/>
      <c r="S161" s="1"/>
      <c r="T161" s="1"/>
      <c r="U161" s="1"/>
      <c r="V161" s="1"/>
      <c r="W161" s="1"/>
      <c r="X161" s="1"/>
    </row>
    <row x14ac:dyDescent="0.25" r="162" customHeight="1" ht="15">
      <c r="A162" s="210"/>
      <c r="B162" s="77">
        <f>SetPnt_N_5</f>
      </c>
      <c r="C162" s="79">
        <f>B129*1000</f>
      </c>
      <c r="D162" s="79">
        <f>C129*1000</f>
      </c>
      <c r="E162" s="79">
        <f>D129*1000</f>
      </c>
      <c r="F162" s="79">
        <f>E129*1000</f>
      </c>
      <c r="G162" s="80">
        <f>G129*1000</f>
      </c>
      <c r="H162" s="25"/>
      <c r="I162" s="23"/>
      <c r="J162" s="23"/>
      <c r="K162" s="1"/>
      <c r="L162" s="1"/>
      <c r="M162" s="1"/>
      <c r="N162" s="96"/>
      <c r="O162" s="1"/>
      <c r="P162" s="1"/>
      <c r="Q162" s="1"/>
      <c r="R162" s="1"/>
      <c r="S162" s="1"/>
      <c r="T162" s="1"/>
      <c r="U162" s="1"/>
      <c r="V162" s="1"/>
      <c r="W162" s="1"/>
      <c r="X162" s="1"/>
    </row>
    <row x14ac:dyDescent="0.25" r="163" customHeight="1" ht="18.75">
      <c r="A163" s="210"/>
      <c r="B163" s="2"/>
      <c r="C163" s="211"/>
      <c r="D163" s="96"/>
      <c r="E163" s="1"/>
      <c r="F163" s="1"/>
      <c r="G163" s="1"/>
      <c r="H163" s="1"/>
      <c r="I163" s="1"/>
      <c r="J163" s="1"/>
      <c r="K163" s="1"/>
      <c r="L163" s="1"/>
      <c r="M163" s="1"/>
      <c r="N163" s="96"/>
      <c r="O163" s="1"/>
      <c r="P163" s="1"/>
      <c r="Q163" s="1"/>
      <c r="R163" s="1"/>
      <c r="S163" s="1"/>
      <c r="T163" s="1"/>
      <c r="U163" s="1"/>
      <c r="V163" s="1"/>
      <c r="W163" s="1"/>
      <c r="X163" s="1"/>
    </row>
    <row x14ac:dyDescent="0.25" r="164" customHeight="1" ht="18.75">
      <c r="A164" s="210"/>
      <c r="B164" s="2"/>
      <c r="C164" s="211"/>
      <c r="D164" s="96"/>
      <c r="E164" s="1"/>
      <c r="F164" s="1"/>
      <c r="G164" s="1"/>
      <c r="H164" s="1"/>
      <c r="I164" s="1"/>
      <c r="J164" s="1"/>
      <c r="K164" s="1"/>
      <c r="L164" s="1"/>
      <c r="M164" s="1"/>
      <c r="N164" s="96"/>
      <c r="O164" s="1"/>
      <c r="P164" s="1"/>
      <c r="Q164" s="1"/>
      <c r="R164" s="1"/>
      <c r="S164" s="1"/>
      <c r="T164" s="1"/>
      <c r="U164" s="1"/>
      <c r="V164" s="1"/>
      <c r="W164" s="1"/>
      <c r="X164" s="1"/>
    </row>
    <row x14ac:dyDescent="0.25" r="165" customHeight="1" ht="25.8">
      <c r="A165" s="206" t="s">
        <v>185</v>
      </c>
      <c r="B165" s="207"/>
      <c r="C165" s="207"/>
      <c r="D165" s="208"/>
      <c r="E165" s="209"/>
      <c r="F165" s="209"/>
      <c r="G165" s="209"/>
      <c r="H165" s="209"/>
      <c r="I165" s="209"/>
      <c r="J165" s="209"/>
      <c r="K165" s="209"/>
      <c r="L165" s="209"/>
      <c r="M165" s="209"/>
      <c r="N165" s="208"/>
      <c r="O165" s="209"/>
      <c r="P165" s="209"/>
      <c r="Q165" s="209"/>
      <c r="R165" s="209"/>
      <c r="S165" s="209"/>
      <c r="T165" s="209"/>
      <c r="U165" s="209"/>
      <c r="V165" s="209"/>
      <c r="W165" s="209"/>
      <c r="X165" s="209"/>
    </row>
    <row x14ac:dyDescent="0.25" r="166" customHeight="1" ht="15">
      <c r="A166" s="210"/>
      <c r="B166" s="2"/>
      <c r="C166" s="211"/>
      <c r="D166" s="96"/>
      <c r="E166" s="1"/>
      <c r="F166" s="1"/>
      <c r="G166" s="1"/>
      <c r="H166" s="1"/>
      <c r="I166" s="1"/>
      <c r="J166" s="1"/>
      <c r="K166" s="1"/>
      <c r="L166" s="1"/>
      <c r="M166" s="1"/>
      <c r="N166" s="96"/>
      <c r="O166" s="1"/>
      <c r="P166" s="1"/>
      <c r="Q166" s="1"/>
      <c r="R166" s="1"/>
      <c r="S166" s="1"/>
      <c r="T166" s="1"/>
      <c r="U166" s="1"/>
      <c r="V166" s="1"/>
      <c r="W166" s="1"/>
      <c r="X166" s="1"/>
    </row>
    <row x14ac:dyDescent="0.25" r="167" customHeight="1" ht="18.6">
      <c r="A167" s="335" t="s">
        <v>186</v>
      </c>
      <c r="B167" s="336" t="s">
        <v>58</v>
      </c>
      <c r="C167" s="336" t="s">
        <v>59</v>
      </c>
      <c r="D167" s="337" t="s">
        <v>60</v>
      </c>
      <c r="E167" s="219"/>
      <c r="F167" s="335" t="s">
        <v>186</v>
      </c>
      <c r="G167" s="338" t="s">
        <v>47</v>
      </c>
      <c r="H167" s="339" t="s">
        <v>48</v>
      </c>
      <c r="I167" s="1"/>
      <c r="J167" s="1"/>
      <c r="K167" s="1"/>
      <c r="L167" s="1"/>
      <c r="M167" s="340"/>
      <c r="N167" s="340"/>
      <c r="O167" s="340"/>
      <c r="P167" s="1"/>
      <c r="Q167" s="1"/>
      <c r="R167" s="1"/>
      <c r="S167" s="1"/>
      <c r="T167" s="1"/>
      <c r="U167" s="1"/>
      <c r="V167" s="1"/>
      <c r="W167" s="1"/>
      <c r="X167" s="1"/>
    </row>
    <row x14ac:dyDescent="0.25" r="168" customHeight="1" ht="15">
      <c r="A168" s="341">
        <f>CONCATENATE("Cert [",EUnits,"/V]")</f>
      </c>
      <c r="B168" s="342">
        <f>'Check Q1 vs Q3 '!P17</f>
      </c>
      <c r="C168" s="342">
        <f>'Check Q1 vs Q3 '!Q17</f>
      </c>
      <c r="D168" s="342">
        <f>'Check Q1 vs Q3 '!R17</f>
      </c>
      <c r="E168" s="1"/>
      <c r="F168" s="344">
        <f>CONCATENATE("Cert [",EUnits,"/V]")</f>
      </c>
      <c r="G168" s="345">
        <f>'Check Q1 vs Q3 '!P13</f>
      </c>
      <c r="H168" s="346">
        <f>'Check Q1 vs Q3 '!Q13</f>
      </c>
      <c r="I168" s="1"/>
      <c r="J168" s="1"/>
      <c r="K168" s="1"/>
      <c r="L168" s="1"/>
      <c r="M168" s="1"/>
      <c r="N168" s="96"/>
      <c r="O168" s="340"/>
      <c r="P168" s="1"/>
      <c r="Q168" s="1"/>
      <c r="R168" s="1"/>
      <c r="S168" s="1"/>
      <c r="T168" s="1"/>
      <c r="U168" s="1"/>
      <c r="V168" s="1"/>
      <c r="W168" s="1"/>
      <c r="X168" s="1"/>
    </row>
    <row x14ac:dyDescent="0.25" r="169" customHeight="1" ht="15">
      <c r="A169" s="156">
        <f>CONCATENATE("Cert [V/",EUnits,"]")</f>
      </c>
      <c r="B169" s="347">
        <f>'Check Q1 vs Q3 '!P18</f>
      </c>
      <c r="C169" s="347">
        <f>'Check Q1 vs Q3 '!Q18</f>
      </c>
      <c r="D169" s="348">
        <f>'Check Q1 vs Q3 '!R18</f>
      </c>
      <c r="E169" s="1"/>
      <c r="F169" s="156">
        <f>CONCATENATE("Cert [V/",EUnits,"]")</f>
      </c>
      <c r="G169" s="349">
        <f>'Check Q1 vs Q3 '!P14</f>
      </c>
      <c r="H169" s="350">
        <f>'Check Q1 vs Q3 '!Q14</f>
      </c>
      <c r="I169" s="1"/>
      <c r="J169" s="1"/>
      <c r="K169" s="1"/>
      <c r="L169" s="1"/>
      <c r="M169" s="1"/>
      <c r="N169" s="96"/>
      <c r="O169" s="340"/>
      <c r="P169" s="1"/>
      <c r="Q169" s="1"/>
      <c r="R169" s="1"/>
      <c r="S169" s="1"/>
      <c r="T169" s="1"/>
      <c r="U169" s="1"/>
      <c r="V169" s="1"/>
      <c r="W169" s="1"/>
      <c r="X169" s="1"/>
    </row>
    <row x14ac:dyDescent="0.25" r="170" customHeight="1" ht="18.75">
      <c r="A170" s="210"/>
      <c r="B170" s="2"/>
      <c r="C170" s="211"/>
      <c r="D170" s="96"/>
      <c r="E170" s="1"/>
      <c r="F170" s="1"/>
      <c r="G170" s="1"/>
      <c r="H170" s="1"/>
      <c r="I170" s="1"/>
      <c r="J170" s="1"/>
      <c r="K170" s="1"/>
      <c r="L170" s="1"/>
      <c r="M170" s="1"/>
      <c r="N170" s="96"/>
      <c r="O170" s="1"/>
      <c r="P170" s="1"/>
      <c r="Q170" s="1"/>
      <c r="R170" s="1"/>
      <c r="S170" s="1"/>
      <c r="T170" s="1"/>
      <c r="U170" s="1"/>
      <c r="V170" s="1"/>
      <c r="W170" s="1"/>
      <c r="X170" s="1"/>
    </row>
    <row x14ac:dyDescent="0.25" r="171" customHeight="1" ht="18.6">
      <c r="A171" s="266" t="s">
        <v>187</v>
      </c>
      <c r="B171" s="351"/>
      <c r="C171" s="351"/>
      <c r="D171" s="352"/>
      <c r="E171" s="1"/>
      <c r="F171" s="1"/>
      <c r="G171" s="1"/>
      <c r="H171" s="1"/>
      <c r="I171" s="1"/>
      <c r="J171" s="1"/>
      <c r="K171" s="1"/>
      <c r="L171" s="1"/>
      <c r="M171" s="1"/>
      <c r="N171" s="96"/>
      <c r="O171" s="1"/>
      <c r="P171" s="340"/>
      <c r="Q171" s="1"/>
      <c r="R171" s="1"/>
      <c r="S171" s="1"/>
      <c r="T171" s="1"/>
      <c r="U171" s="1"/>
      <c r="V171" s="1"/>
      <c r="W171" s="1"/>
      <c r="X171" s="1"/>
    </row>
    <row x14ac:dyDescent="0.25" r="172" customHeight="1" ht="16.2">
      <c r="A172" s="353" t="s">
        <v>154</v>
      </c>
      <c r="B172" s="354" t="s">
        <v>155</v>
      </c>
      <c r="C172" s="355" t="s">
        <v>155</v>
      </c>
      <c r="D172" s="356" t="s">
        <v>155</v>
      </c>
      <c r="E172" s="357" t="s">
        <v>156</v>
      </c>
      <c r="F172" s="358" t="s">
        <v>157</v>
      </c>
      <c r="G172" s="359" t="s">
        <v>158</v>
      </c>
      <c r="H172" s="360" t="s">
        <v>159</v>
      </c>
      <c r="I172" s="361" t="s">
        <v>160</v>
      </c>
      <c r="J172" s="362"/>
      <c r="K172" s="363" t="s">
        <v>161</v>
      </c>
      <c r="L172" s="363" t="s">
        <v>162</v>
      </c>
      <c r="M172" s="363" t="s">
        <v>163</v>
      </c>
      <c r="N172" s="364" t="s">
        <v>164</v>
      </c>
      <c r="O172" s="363" t="s">
        <v>165</v>
      </c>
      <c r="P172" s="363" t="s">
        <v>166</v>
      </c>
      <c r="Q172" s="1"/>
      <c r="R172" s="272" t="s">
        <v>105</v>
      </c>
      <c r="S172" s="270"/>
      <c r="T172" s="270"/>
      <c r="U172" s="1"/>
      <c r="V172" s="1"/>
      <c r="W172" s="1"/>
      <c r="X172" s="1"/>
    </row>
    <row x14ac:dyDescent="0.25" r="173" customHeight="1" ht="29.399999999999995">
      <c r="A173" s="365"/>
      <c r="B173" s="366" t="s">
        <v>34</v>
      </c>
      <c r="C173" s="367" t="s">
        <v>34</v>
      </c>
      <c r="D173" s="368" t="s">
        <v>34</v>
      </c>
      <c r="E173" s="369" t="s">
        <v>35</v>
      </c>
      <c r="F173" s="370" t="s">
        <v>167</v>
      </c>
      <c r="G173" s="371" t="s">
        <v>35</v>
      </c>
      <c r="H173" s="16"/>
      <c r="I173" s="1"/>
      <c r="J173" s="362"/>
      <c r="K173" s="1"/>
      <c r="L173" s="1"/>
      <c r="M173" s="1"/>
      <c r="N173" s="96"/>
      <c r="O173" s="1"/>
      <c r="P173" s="1"/>
      <c r="Q173" s="1"/>
      <c r="R173" s="372"/>
      <c r="S173" s="373" t="s">
        <v>106</v>
      </c>
      <c r="T173" s="373" t="s">
        <v>168</v>
      </c>
      <c r="U173" s="1"/>
      <c r="V173" s="1"/>
      <c r="W173" s="1"/>
      <c r="X173" s="1"/>
    </row>
    <row x14ac:dyDescent="0.25" r="174" customHeight="1" ht="16.2">
      <c r="A174" s="374" t="s">
        <v>169</v>
      </c>
      <c r="B174" s="375" t="s">
        <v>170</v>
      </c>
      <c r="C174" s="376" t="s">
        <v>170</v>
      </c>
      <c r="D174" s="377" t="s">
        <v>170</v>
      </c>
      <c r="E174" s="378" t="s">
        <v>170</v>
      </c>
      <c r="F174" s="379" t="s">
        <v>170</v>
      </c>
      <c r="G174" s="380" t="s">
        <v>170</v>
      </c>
      <c r="H174" s="16"/>
      <c r="I174" s="1"/>
      <c r="J174" s="362"/>
      <c r="K174" s="1"/>
      <c r="L174" s="1"/>
      <c r="M174" s="1"/>
      <c r="N174" s="96"/>
      <c r="O174" s="1"/>
      <c r="P174" s="1"/>
      <c r="Q174" s="1"/>
      <c r="R174" s="381" t="s">
        <v>171</v>
      </c>
      <c r="S174" s="382">
        <f>E175</f>
      </c>
      <c r="T174" s="383">
        <f>SetPnt_N_0</f>
      </c>
      <c r="U174" s="1"/>
      <c r="V174" s="1"/>
      <c r="W174" s="1"/>
      <c r="X174" s="1"/>
    </row>
    <row x14ac:dyDescent="0.25" r="175" customHeight="1" ht="15.6">
      <c r="A175" s="384">
        <f>A124</f>
      </c>
      <c r="B175" s="385">
        <f>B124</f>
      </c>
      <c r="C175" s="385">
        <f>C124</f>
      </c>
      <c r="D175" s="385">
        <f>D124</f>
      </c>
      <c r="E175" s="385">
        <f>E124</f>
      </c>
      <c r="F175" s="435">
        <f>F124</f>
      </c>
      <c r="G175" s="385">
        <f>G124</f>
      </c>
      <c r="H175" s="387">
        <f>$B$169*A175^2 + $C$169*A175+$D$169</f>
      </c>
      <c r="I175" s="387">
        <f>A175*$G$169+$H$169</f>
      </c>
      <c r="J175" s="387"/>
      <c r="K175" s="387">
        <f>AVERAGE(E175:G175)</f>
      </c>
      <c r="L175" s="387">
        <f>ABS(E175-G175)</f>
      </c>
      <c r="M175" s="387">
        <f>SQRT((E175-K175)^2+(G175-K175)^2)</f>
      </c>
      <c r="N175" s="387">
        <f>(ABS(E175-F175) )</f>
      </c>
      <c r="O175" s="387">
        <f>I175-K175</f>
      </c>
      <c r="P175" s="387">
        <f>H175-K175</f>
      </c>
      <c r="Q175" s="1"/>
      <c r="R175" s="381"/>
      <c r="S175" s="382">
        <f>E176</f>
      </c>
      <c r="T175" s="388">
        <f>SetPnt_N_1</f>
      </c>
      <c r="U175" s="1"/>
      <c r="V175" s="1"/>
      <c r="W175" s="1"/>
      <c r="X175" s="1"/>
    </row>
    <row x14ac:dyDescent="0.25" r="176" customHeight="1" ht="15.6">
      <c r="A176" s="389">
        <f>A125</f>
      </c>
      <c r="B176" s="436">
        <f>B125</f>
      </c>
      <c r="C176" s="436">
        <f>C125</f>
      </c>
      <c r="D176" s="436">
        <f>D125</f>
      </c>
      <c r="E176" s="385">
        <f>E125</f>
      </c>
      <c r="F176" s="435">
        <f>F125</f>
      </c>
      <c r="G176" s="385">
        <f>G125</f>
      </c>
      <c r="H176" s="387">
        <f>$B$169*A176^2 + $C$169*A176+$D$169</f>
      </c>
      <c r="I176" s="387">
        <f>A176*$G$169+$H$169</f>
      </c>
      <c r="J176" s="387"/>
      <c r="K176" s="387">
        <f>AVERAGE(E176:G176)</f>
      </c>
      <c r="L176" s="387">
        <f>ABS(E176-G176)</f>
      </c>
      <c r="M176" s="387">
        <f>SQRT((E176-K176)^2+(G176-K176)^2)</f>
      </c>
      <c r="N176" s="387">
        <f>(ABS(E176-F176) )</f>
      </c>
      <c r="O176" s="387">
        <f>I176-K176</f>
      </c>
      <c r="P176" s="387">
        <f>H176-K176</f>
      </c>
      <c r="Q176" s="1"/>
      <c r="R176" s="381"/>
      <c r="S176" s="382">
        <f>E177</f>
      </c>
      <c r="T176" s="388">
        <f>SetPnt_N_2</f>
      </c>
      <c r="U176" s="1"/>
      <c r="V176" s="1"/>
      <c r="W176" s="1"/>
      <c r="X176" s="1"/>
    </row>
    <row x14ac:dyDescent="0.25" r="177" customHeight="1" ht="15.6">
      <c r="A177" s="389">
        <f>A126</f>
      </c>
      <c r="B177" s="436">
        <f>B126</f>
      </c>
      <c r="C177" s="436">
        <f>C126</f>
      </c>
      <c r="D177" s="436">
        <f>D126</f>
      </c>
      <c r="E177" s="385">
        <f>E126</f>
      </c>
      <c r="F177" s="435">
        <f>F126</f>
      </c>
      <c r="G177" s="385">
        <f>G126</f>
      </c>
      <c r="H177" s="387">
        <f>$B$169*A177^2 + $C$169*A177+$D$169</f>
      </c>
      <c r="I177" s="387">
        <f>A177*$G$169+$H$169</f>
      </c>
      <c r="J177" s="387"/>
      <c r="K177" s="387">
        <f>AVERAGE(E177:G177)</f>
      </c>
      <c r="L177" s="387">
        <f>ABS(E177-G177)</f>
      </c>
      <c r="M177" s="387">
        <f>SQRT((E177-K177)^2+(G177-K177)^2)</f>
      </c>
      <c r="N177" s="387">
        <f>(ABS(E177-F177) )</f>
      </c>
      <c r="O177" s="387">
        <f>I177-K177</f>
      </c>
      <c r="P177" s="387">
        <f>H177-K177</f>
      </c>
      <c r="Q177" s="1"/>
      <c r="R177" s="381"/>
      <c r="S177" s="382">
        <f>E178</f>
      </c>
      <c r="T177" s="388">
        <f>SetPnt_N_3</f>
      </c>
      <c r="U177" s="1"/>
      <c r="V177" s="1"/>
      <c r="W177" s="1"/>
      <c r="X177" s="1"/>
    </row>
    <row x14ac:dyDescent="0.25" r="178" customHeight="1" ht="15.6">
      <c r="A178" s="389">
        <f>A127</f>
      </c>
      <c r="B178" s="436">
        <f>B127</f>
      </c>
      <c r="C178" s="436">
        <f>C127</f>
      </c>
      <c r="D178" s="436">
        <f>D127</f>
      </c>
      <c r="E178" s="385">
        <f>E127</f>
      </c>
      <c r="F178" s="435">
        <f>F127</f>
      </c>
      <c r="G178" s="385">
        <f>G127</f>
      </c>
      <c r="H178" s="387">
        <f>$B$169*A178^2 + $C$169*A178+$D$169</f>
      </c>
      <c r="I178" s="387">
        <f>A178*$G$169+$H$169</f>
      </c>
      <c r="J178" s="387"/>
      <c r="K178" s="387">
        <f>AVERAGE(E178:G178)</f>
      </c>
      <c r="L178" s="387">
        <f>ABS(E178-G178)</f>
      </c>
      <c r="M178" s="387">
        <f>SQRT((E178-K178)^2+(G178-K178)^2)</f>
      </c>
      <c r="N178" s="387">
        <f>(ABS(E178-F178) )</f>
      </c>
      <c r="O178" s="387">
        <f>I178-K178</f>
      </c>
      <c r="P178" s="387">
        <f>H178-K178</f>
      </c>
      <c r="Q178" s="1"/>
      <c r="R178" s="381"/>
      <c r="S178" s="382">
        <f>E179</f>
      </c>
      <c r="T178" s="388">
        <f>SetPnt_N_4</f>
      </c>
      <c r="U178" s="1"/>
      <c r="V178" s="1"/>
      <c r="W178" s="1"/>
      <c r="X178" s="1"/>
    </row>
    <row x14ac:dyDescent="0.25" r="179" customHeight="1" ht="15.6">
      <c r="A179" s="389">
        <f>A128</f>
      </c>
      <c r="B179" s="436">
        <f>B128</f>
      </c>
      <c r="C179" s="436">
        <f>C128</f>
      </c>
      <c r="D179" s="436">
        <f>D128</f>
      </c>
      <c r="E179" s="385">
        <f>E128</f>
      </c>
      <c r="F179" s="435">
        <f>F128</f>
      </c>
      <c r="G179" s="385">
        <f>G128</f>
      </c>
      <c r="H179" s="387">
        <f>$B$169*A179^2 + $C$169*A179+$D$169</f>
      </c>
      <c r="I179" s="387">
        <f>A179*$G$169+$H$169</f>
      </c>
      <c r="J179" s="387"/>
      <c r="K179" s="387">
        <f>AVERAGE(E179:G179)</f>
      </c>
      <c r="L179" s="387">
        <f>ABS(E179-G179)</f>
      </c>
      <c r="M179" s="387">
        <f>SQRT((E179-K179)^2+(G179-K179)^2)</f>
      </c>
      <c r="N179" s="387">
        <f>(ABS(E179-F179) )</f>
      </c>
      <c r="O179" s="387">
        <f>I179-K179</f>
      </c>
      <c r="P179" s="387">
        <f>H179-K179</f>
      </c>
      <c r="Q179" s="1"/>
      <c r="R179" s="392"/>
      <c r="S179" s="393">
        <f>E180</f>
      </c>
      <c r="T179" s="388">
        <f>SetPnt_N_5</f>
      </c>
      <c r="U179" s="1"/>
      <c r="V179" s="1"/>
      <c r="W179" s="1"/>
      <c r="X179" s="1"/>
    </row>
    <row x14ac:dyDescent="0.25" r="180" customHeight="1" ht="15.6">
      <c r="A180" s="389">
        <f>A129</f>
      </c>
      <c r="B180" s="385">
        <f>B129</f>
      </c>
      <c r="C180" s="385">
        <f>C129</f>
      </c>
      <c r="D180" s="385">
        <f>D129</f>
      </c>
      <c r="E180" s="385">
        <f>E129</f>
      </c>
      <c r="F180" s="435">
        <f>F129</f>
      </c>
      <c r="G180" s="385">
        <f>G129</f>
      </c>
      <c r="H180" s="387">
        <f>$B$169*A180^2 + $C$169*A180+$D$169</f>
      </c>
      <c r="I180" s="387">
        <f>A180*$G$169+$H$169</f>
      </c>
      <c r="J180" s="387"/>
      <c r="K180" s="387">
        <f>AVERAGE(E180:G180)</f>
      </c>
      <c r="L180" s="387">
        <f>ABS(E180-G180)</f>
      </c>
      <c r="M180" s="387">
        <f>SQRT((E180-K180)^2+(G180-K180)^2)</f>
      </c>
      <c r="N180" s="387">
        <f>(ABS(E180-F180) )</f>
      </c>
      <c r="O180" s="387">
        <f>I180-K180</f>
      </c>
      <c r="P180" s="387">
        <f>H180-K180</f>
      </c>
      <c r="Q180" s="1"/>
      <c r="R180" s="381" t="s">
        <v>141</v>
      </c>
      <c r="S180" s="382">
        <f>G175</f>
      </c>
      <c r="T180" s="383">
        <f>SetPnt_N_0</f>
      </c>
      <c r="U180" s="1"/>
      <c r="V180" s="1"/>
      <c r="W180" s="1"/>
      <c r="X180" s="1"/>
    </row>
    <row x14ac:dyDescent="0.25" r="181" customHeight="1" ht="18.75">
      <c r="A181" s="210"/>
      <c r="B181" s="2"/>
      <c r="C181" s="211"/>
      <c r="D181" s="96"/>
      <c r="E181" s="1"/>
      <c r="F181" s="1"/>
      <c r="G181" s="1"/>
      <c r="H181" s="1"/>
      <c r="I181" s="1"/>
      <c r="J181" s="1"/>
      <c r="K181" s="1"/>
      <c r="L181" s="1"/>
      <c r="M181" s="1"/>
      <c r="N181" s="96"/>
      <c r="O181" s="1"/>
      <c r="P181" s="312"/>
      <c r="Q181" s="1"/>
      <c r="R181" s="299"/>
      <c r="S181" s="382">
        <f>G176</f>
      </c>
      <c r="T181" s="388">
        <f>SetPnt_N_1</f>
      </c>
      <c r="U181" s="1"/>
      <c r="V181" s="1"/>
      <c r="W181" s="1"/>
      <c r="X181" s="1"/>
    </row>
    <row x14ac:dyDescent="0.25" r="182" customHeight="1" ht="18.6">
      <c r="A182" s="266" t="s">
        <v>188</v>
      </c>
      <c r="B182" s="2"/>
      <c r="C182" s="211"/>
      <c r="D182" s="96"/>
      <c r="E182" s="1"/>
      <c r="F182" s="1"/>
      <c r="G182" s="1"/>
      <c r="H182" s="1"/>
      <c r="I182" s="1"/>
      <c r="J182" s="1"/>
      <c r="K182" s="1"/>
      <c r="L182" s="1"/>
      <c r="M182" s="1"/>
      <c r="N182" s="96"/>
      <c r="O182" s="1"/>
      <c r="P182" s="312"/>
      <c r="Q182" s="1"/>
      <c r="R182" s="299"/>
      <c r="S182" s="382">
        <f>G177</f>
      </c>
      <c r="T182" s="388">
        <f>SetPnt_N_2</f>
      </c>
      <c r="U182" s="1"/>
      <c r="V182" s="1"/>
      <c r="W182" s="1"/>
      <c r="X182" s="1"/>
    </row>
    <row x14ac:dyDescent="0.25" r="183" customHeight="1" ht="15">
      <c r="A183" s="394" t="s">
        <v>20</v>
      </c>
      <c r="B183" s="395" t="s">
        <v>174</v>
      </c>
      <c r="C183" s="395" t="s">
        <v>175</v>
      </c>
      <c r="D183" s="396" t="s">
        <v>176</v>
      </c>
      <c r="E183" s="397" t="s">
        <v>177</v>
      </c>
      <c r="F183" s="397" t="s">
        <v>178</v>
      </c>
      <c r="G183" s="397" t="s">
        <v>179</v>
      </c>
      <c r="H183" s="397" t="s">
        <v>180</v>
      </c>
      <c r="I183" s="397" t="s">
        <v>178</v>
      </c>
      <c r="J183" s="397" t="s">
        <v>179</v>
      </c>
      <c r="K183" s="16"/>
      <c r="L183" s="1"/>
      <c r="M183" s="340"/>
      <c r="N183" s="396" t="s">
        <v>176</v>
      </c>
      <c r="O183" s="1"/>
      <c r="P183" s="312"/>
      <c r="Q183" s="1"/>
      <c r="R183" s="299"/>
      <c r="S183" s="382">
        <f>G178</f>
      </c>
      <c r="T183" s="388">
        <f>SetPnt_N_3</f>
      </c>
      <c r="U183" s="1"/>
      <c r="V183" s="1"/>
      <c r="W183" s="1"/>
      <c r="X183" s="1"/>
    </row>
    <row x14ac:dyDescent="0.25" r="184" customHeight="1" ht="18.75">
      <c r="A184" s="398">
        <f>SetPnt_N_0</f>
      </c>
      <c r="B184" s="399">
        <f>L175*100 / (SQRT(2)*K175)</f>
      </c>
      <c r="C184" s="399">
        <f>M175*100 / (SQRT(2)*K175)</f>
      </c>
      <c r="D184" s="400">
        <v>0.469</v>
      </c>
      <c r="E184" s="401">
        <f>ABS(O175)*100 / (SQRT(6)*I175)</f>
      </c>
      <c r="F184" s="401">
        <f>SQRT((B184^2 + C184^2+D184^2+E184^2))</f>
      </c>
      <c r="G184" s="402">
        <f>F184*2</f>
      </c>
      <c r="H184" s="403">
        <f>ABS(P175)*100 / (SQRT(6)*H175)</f>
      </c>
      <c r="I184" s="401">
        <f>SQRT((B184^2 + C184^2+H184^2+D184^2))</f>
      </c>
      <c r="J184" s="401">
        <f>I184*2</f>
      </c>
      <c r="K184" s="1"/>
      <c r="L184" s="1"/>
      <c r="M184" s="340"/>
      <c r="N184" s="400">
        <v>0.469</v>
      </c>
      <c r="O184" s="1"/>
      <c r="P184" s="312"/>
      <c r="Q184" s="1"/>
      <c r="R184" s="299"/>
      <c r="S184" s="382">
        <f>G179</f>
      </c>
      <c r="T184" s="388">
        <f>SetPnt_N_4</f>
      </c>
      <c r="U184" s="1"/>
      <c r="V184" s="1"/>
      <c r="W184" s="1"/>
      <c r="X184" s="1"/>
    </row>
    <row x14ac:dyDescent="0.25" r="185" customHeight="1" ht="18.75">
      <c r="A185" s="389">
        <f>SetPnt_N_1</f>
      </c>
      <c r="B185" s="399">
        <f>L176*100 / (SQRT(2)*K176)</f>
      </c>
      <c r="C185" s="399">
        <f>M176*100 / (SQRT(2)*K176)</f>
      </c>
      <c r="D185" s="400">
        <v>0.109</v>
      </c>
      <c r="E185" s="401">
        <f>ABS(O176)*100 / (SQRT(6)*I176)</f>
      </c>
      <c r="F185" s="401">
        <f>SQRT((B185^2 + C185^2+D185^2+E185^2))</f>
      </c>
      <c r="G185" s="402">
        <f>F185*2</f>
      </c>
      <c r="H185" s="403">
        <f>ABS(P176)*100 / (SQRT(6)*H176)</f>
      </c>
      <c r="I185" s="401">
        <f>SQRT((B185^2 + C185^2+H185^2+D185^2))</f>
      </c>
      <c r="J185" s="404">
        <f>I185*2</f>
      </c>
      <c r="K185" s="1"/>
      <c r="L185" s="1"/>
      <c r="M185" s="340"/>
      <c r="N185" s="400">
        <v>0.469</v>
      </c>
      <c r="O185" s="1"/>
      <c r="P185" s="312"/>
      <c r="Q185" s="1"/>
      <c r="R185" s="299"/>
      <c r="S185" s="382">
        <f>G180</f>
      </c>
      <c r="T185" s="388">
        <f>SetPnt_N_5</f>
      </c>
      <c r="U185" s="1"/>
      <c r="V185" s="1"/>
      <c r="W185" s="1"/>
      <c r="X185" s="1"/>
    </row>
    <row x14ac:dyDescent="0.25" r="186" customHeight="1" ht="18.75">
      <c r="A186" s="389">
        <f>SetPnt_N_2</f>
      </c>
      <c r="B186" s="399">
        <f>L177*100 / (SQRT(2)*K177)</f>
      </c>
      <c r="C186" s="399">
        <f>M177*100 / (SQRT(2)*K177)</f>
      </c>
      <c r="D186" s="400">
        <v>0.109</v>
      </c>
      <c r="E186" s="401">
        <f>ABS(O177)*100 / (SQRT(6)*I177)</f>
      </c>
      <c r="F186" s="401">
        <f>SQRT((B186^2 + C186^2+D186^2+E186^2))</f>
      </c>
      <c r="G186" s="402">
        <f>F186*2</f>
      </c>
      <c r="H186" s="403">
        <f>ABS(P177)*100 / (SQRT(6)*H177)</f>
      </c>
      <c r="I186" s="401">
        <f>SQRT((B186^2 + C186^2+H186^2+D186^2))</f>
      </c>
      <c r="J186" s="404">
        <f>I186*2</f>
      </c>
      <c r="K186" s="1"/>
      <c r="L186" s="1"/>
      <c r="M186" s="340"/>
      <c r="N186" s="400">
        <v>0.109</v>
      </c>
      <c r="O186" s="1"/>
      <c r="P186" s="312"/>
      <c r="Q186" s="1"/>
      <c r="R186" s="1"/>
      <c r="S186" s="1"/>
      <c r="T186" s="1"/>
      <c r="U186" s="1"/>
      <c r="V186" s="1"/>
      <c r="W186" s="1"/>
      <c r="X186" s="1"/>
    </row>
    <row x14ac:dyDescent="0.25" r="187" customHeight="1" ht="18.75">
      <c r="A187" s="389">
        <f>SetPnt_N_3</f>
      </c>
      <c r="B187" s="399">
        <f>L178*100 / (SQRT(2)*K178)</f>
      </c>
      <c r="C187" s="399">
        <f>M178*100 / (SQRT(2)*K178)</f>
      </c>
      <c r="D187" s="400">
        <v>0.109</v>
      </c>
      <c r="E187" s="401">
        <f>ABS(O178)*100 / (SQRT(6)*I178)</f>
      </c>
      <c r="F187" s="401">
        <f>SQRT((B187^2 + C187^2+D187^2+E187^2))</f>
      </c>
      <c r="G187" s="402">
        <f>F187*2</f>
      </c>
      <c r="H187" s="403">
        <f>ABS(P178)*100 / (SQRT(6)*H178)</f>
      </c>
      <c r="I187" s="401">
        <f>SQRT((B187^2 + C187^2+H187^2+D187^2))</f>
      </c>
      <c r="J187" s="404">
        <f>I187*2</f>
      </c>
      <c r="K187" s="1"/>
      <c r="L187" s="1"/>
      <c r="M187" s="340"/>
      <c r="N187" s="400">
        <v>0.109</v>
      </c>
      <c r="O187" s="1"/>
      <c r="P187" s="312"/>
      <c r="Q187" s="1"/>
      <c r="R187" s="1"/>
      <c r="S187" s="1"/>
      <c r="T187" s="1"/>
      <c r="U187" s="1"/>
      <c r="V187" s="1"/>
      <c r="W187" s="1"/>
      <c r="X187" s="1"/>
    </row>
    <row x14ac:dyDescent="0.25" r="188" customHeight="1" ht="18.75">
      <c r="A188" s="389">
        <f>SetPnt_N_4</f>
      </c>
      <c r="B188" s="399">
        <f>L179*100 / (SQRT(2)*K179)</f>
      </c>
      <c r="C188" s="399">
        <f>M179*100 / (SQRT(2)*K179)</f>
      </c>
      <c r="D188" s="400">
        <v>0.108</v>
      </c>
      <c r="E188" s="401">
        <f>ABS(O179)*100 / (SQRT(6)*I179)</f>
      </c>
      <c r="F188" s="401">
        <f>SQRT((B188^2 + C188^2+D188^2+E188^2))</f>
      </c>
      <c r="G188" s="402">
        <f>F188*2</f>
      </c>
      <c r="H188" s="403">
        <f>ABS(P179)*100 / (SQRT(6)*H179)</f>
      </c>
      <c r="I188" s="401">
        <f>SQRT((B188^2 + C188^2+H188^2+D188^2))</f>
      </c>
      <c r="J188" s="404">
        <f>I188*2</f>
      </c>
      <c r="K188" s="1"/>
      <c r="L188" s="1"/>
      <c r="M188" s="340"/>
      <c r="N188" s="400">
        <v>0.108</v>
      </c>
      <c r="O188" s="1"/>
      <c r="P188" s="312"/>
      <c r="Q188" s="1"/>
      <c r="R188" s="1"/>
      <c r="S188" s="1"/>
      <c r="T188" s="1"/>
      <c r="U188" s="1"/>
      <c r="V188" s="1"/>
      <c r="W188" s="1"/>
      <c r="X188" s="1"/>
    </row>
    <row x14ac:dyDescent="0.25" r="189" customHeight="1" ht="18.75">
      <c r="A189" s="389">
        <f>SetPnt_N_5</f>
      </c>
      <c r="B189" s="399">
        <f>L180*100 / (SQRT(2)*K180)</f>
      </c>
      <c r="C189" s="399">
        <f>M180*100 / (SQRT(2)*K180)</f>
      </c>
      <c r="D189" s="400">
        <v>0.098</v>
      </c>
      <c r="E189" s="401">
        <f>ABS(O180)*100 / (SQRT(6)*I180)</f>
      </c>
      <c r="F189" s="401">
        <f>SQRT((B189^2 + C189^2+D189^2+E189^2))</f>
      </c>
      <c r="G189" s="402">
        <f>F189*2</f>
      </c>
      <c r="H189" s="403">
        <f>ABS(P180)*100 / (SQRT(6)*H180)</f>
      </c>
      <c r="I189" s="401">
        <f>SQRT((B189^2 + C189^2+H189^2+D189^2))</f>
      </c>
      <c r="J189" s="404">
        <f>I189*2</f>
      </c>
      <c r="K189" s="1"/>
      <c r="L189" s="1"/>
      <c r="M189" s="340"/>
      <c r="N189" s="400">
        <v>0.098</v>
      </c>
      <c r="O189" s="1"/>
      <c r="P189" s="1"/>
      <c r="Q189" s="1"/>
      <c r="R189" s="1"/>
      <c r="S189" s="1"/>
      <c r="T189" s="1"/>
      <c r="U189" s="1"/>
      <c r="V189" s="1"/>
      <c r="W189" s="1"/>
      <c r="X189" s="1"/>
    </row>
    <row x14ac:dyDescent="0.25" r="190" customHeight="1" ht="18.75">
      <c r="A190" s="210"/>
      <c r="B190" s="2"/>
      <c r="C190" s="211"/>
      <c r="D190" s="96"/>
      <c r="E190" s="1"/>
      <c r="F190" s="1"/>
      <c r="G190" s="1"/>
      <c r="H190" s="1"/>
      <c r="I190" s="1"/>
      <c r="J190" s="1"/>
      <c r="K190" s="1"/>
      <c r="L190" s="1"/>
      <c r="M190" s="1"/>
      <c r="N190" s="96"/>
      <c r="O190" s="1"/>
      <c r="P190" s="1"/>
      <c r="Q190" s="1"/>
      <c r="R190" s="1"/>
      <c r="S190" s="1"/>
      <c r="T190" s="1"/>
      <c r="U190" s="1"/>
      <c r="V190" s="1"/>
      <c r="W190" s="1"/>
      <c r="X190" s="1"/>
    </row>
    <row x14ac:dyDescent="0.25" r="191" customHeight="1" ht="18.75">
      <c r="A191" s="210"/>
      <c r="B191" s="2"/>
      <c r="C191" s="211"/>
      <c r="D191" s="96"/>
      <c r="E191" s="1"/>
      <c r="F191" s="1"/>
      <c r="G191" s="1"/>
      <c r="H191" s="1"/>
      <c r="I191" s="1"/>
      <c r="J191" s="1"/>
      <c r="K191" s="1"/>
      <c r="L191" s="1"/>
      <c r="M191" s="1"/>
      <c r="N191" s="96"/>
      <c r="O191" s="1"/>
      <c r="P191" s="1"/>
      <c r="Q191" s="1"/>
      <c r="R191" s="1"/>
      <c r="S191" s="1"/>
      <c r="T191" s="1"/>
      <c r="U191" s="1"/>
      <c r="V191" s="1"/>
      <c r="W191" s="1"/>
      <c r="X191" s="1"/>
    </row>
    <row x14ac:dyDescent="0.25" r="192" customHeight="1" ht="16.2">
      <c r="A192" s="210" t="s">
        <v>189</v>
      </c>
      <c r="B192" s="18"/>
      <c r="C192" s="211"/>
      <c r="D192" s="96"/>
      <c r="E192" s="1"/>
      <c r="F192" s="1"/>
      <c r="G192" s="1"/>
      <c r="H192" s="1"/>
      <c r="I192" s="26"/>
      <c r="J192" s="1"/>
      <c r="K192" s="1"/>
      <c r="L192" s="1"/>
      <c r="M192" s="1"/>
      <c r="N192" s="96"/>
      <c r="O192" s="1"/>
      <c r="P192" s="1"/>
      <c r="Q192" s="1"/>
      <c r="R192" s="1"/>
      <c r="S192" s="1"/>
      <c r="T192" s="1"/>
      <c r="U192" s="1"/>
      <c r="V192" s="1"/>
      <c r="W192" s="1"/>
      <c r="X192" s="1"/>
    </row>
    <row x14ac:dyDescent="0.25" r="193" customHeight="1" ht="15">
      <c r="A193" s="11"/>
      <c r="B193" s="18"/>
      <c r="C193" s="211"/>
      <c r="D193" s="96"/>
      <c r="E193" s="1"/>
      <c r="F193" s="1"/>
      <c r="G193" s="1"/>
      <c r="H193" s="1"/>
      <c r="I193" s="26"/>
      <c r="J193" s="1"/>
      <c r="K193" s="1"/>
      <c r="L193" s="1"/>
      <c r="M193" s="1"/>
      <c r="N193" s="96"/>
      <c r="O193" s="1"/>
      <c r="P193" s="1"/>
      <c r="Q193" s="1"/>
      <c r="R193" s="1"/>
      <c r="S193" s="1"/>
      <c r="T193" s="1"/>
      <c r="U193" s="1"/>
      <c r="V193" s="1"/>
      <c r="W193" s="1"/>
      <c r="X193" s="1"/>
    </row>
    <row x14ac:dyDescent="0.25" r="194" customHeight="1" ht="18.75">
      <c r="A194" s="11"/>
      <c r="B194" s="2"/>
      <c r="C194" s="437" t="s">
        <v>20</v>
      </c>
      <c r="D194" s="438"/>
      <c r="E194" s="29">
        <f>A185</f>
      </c>
      <c r="F194" s="29">
        <f>A186</f>
      </c>
      <c r="G194" s="29">
        <f>A187</f>
      </c>
      <c r="H194" s="29">
        <f>A188</f>
      </c>
      <c r="I194" s="30">
        <f>A189</f>
      </c>
      <c r="J194" s="1"/>
      <c r="K194" s="1"/>
      <c r="L194" s="1"/>
      <c r="M194" s="1"/>
      <c r="N194" s="96"/>
      <c r="O194" s="1"/>
      <c r="P194" s="1"/>
      <c r="Q194" s="1"/>
      <c r="R194" s="1"/>
      <c r="S194" s="1"/>
      <c r="T194" s="1"/>
      <c r="U194" s="1"/>
      <c r="V194" s="1"/>
      <c r="W194" s="1"/>
      <c r="X194" s="1"/>
    </row>
    <row x14ac:dyDescent="0.25" r="195" customHeight="1" ht="15">
      <c r="A195" s="11"/>
      <c r="B195" s="2"/>
      <c r="C195" s="439" t="s">
        <v>21</v>
      </c>
      <c r="D195" s="440"/>
      <c r="E195" s="33">
        <f>1/100*J185</f>
      </c>
      <c r="F195" s="33">
        <f>1/100*J186</f>
      </c>
      <c r="G195" s="33">
        <f>1/100*J187</f>
      </c>
      <c r="H195" s="33">
        <f>1/100*J188</f>
      </c>
      <c r="I195" s="34">
        <f>1/100*J189</f>
      </c>
      <c r="J195" s="1"/>
      <c r="K195" s="1"/>
      <c r="L195" s="1"/>
      <c r="M195" s="1"/>
      <c r="N195" s="96"/>
      <c r="O195" s="1"/>
      <c r="P195" s="1"/>
      <c r="Q195" s="1"/>
      <c r="R195" s="1"/>
      <c r="S195" s="1"/>
      <c r="T195" s="1"/>
      <c r="U195" s="1"/>
      <c r="V195" s="1"/>
      <c r="W195" s="1"/>
      <c r="X195" s="1"/>
    </row>
  </sheetData>
  <mergeCells count="32">
    <mergeCell ref="B21:B22"/>
    <mergeCell ref="C21:D21"/>
    <mergeCell ref="E21:F21"/>
    <mergeCell ref="G21:H21"/>
    <mergeCell ref="B38:E38"/>
    <mergeCell ref="G38:J38"/>
    <mergeCell ref="L38:O38"/>
    <mergeCell ref="Q38:S38"/>
    <mergeCell ref="G50:J50"/>
    <mergeCell ref="L50:O50"/>
    <mergeCell ref="H121:H123"/>
    <mergeCell ref="I121:I123"/>
    <mergeCell ref="K121:K123"/>
    <mergeCell ref="L121:L123"/>
    <mergeCell ref="M121:M123"/>
    <mergeCell ref="N121:N123"/>
    <mergeCell ref="O121:O123"/>
    <mergeCell ref="P121:P123"/>
    <mergeCell ref="R121:T121"/>
    <mergeCell ref="I155:I156"/>
    <mergeCell ref="J155:J156"/>
    <mergeCell ref="H172:H174"/>
    <mergeCell ref="I172:I174"/>
    <mergeCell ref="K172:K174"/>
    <mergeCell ref="L172:L174"/>
    <mergeCell ref="M172:M174"/>
    <mergeCell ref="N172:N174"/>
    <mergeCell ref="O172:O174"/>
    <mergeCell ref="P172:P174"/>
    <mergeCell ref="R172:T172"/>
    <mergeCell ref="C194:D194"/>
    <mergeCell ref="C195:D19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38"/>
  <sheetViews>
    <sheetView workbookViewId="0"/>
  </sheetViews>
  <sheetFormatPr defaultRowHeight="15" x14ac:dyDescent="0.25"/>
  <cols>
    <col min="1" max="1" style="203" width="13.576428571428572" customWidth="1" bestFit="1"/>
    <col min="2" max="2" style="92" width="9.005" customWidth="1" bestFit="1"/>
    <col min="3" max="3" style="92" width="13.576428571428572" customWidth="1" bestFit="1"/>
    <col min="4" max="4" style="92" width="12.147857142857141" customWidth="1" bestFit="1"/>
    <col min="5" max="5" style="92" width="12.147857142857141" customWidth="1" bestFit="1"/>
    <col min="6" max="6" style="92" width="10.576428571428572" customWidth="1" bestFit="1"/>
    <col min="7" max="7" style="92" width="13.576428571428572" customWidth="1" bestFit="1"/>
    <col min="8" max="8" style="92" width="13.147857142857141" customWidth="1" bestFit="1"/>
    <col min="9" max="9" style="92" width="13.43357142857143" customWidth="1" bestFit="1"/>
    <col min="10" max="10" style="92" width="13.43357142857143" customWidth="1" bestFit="1"/>
    <col min="11" max="11" style="92" width="13.576428571428572" customWidth="1" bestFit="1"/>
    <col min="12" max="12" style="92" width="13.576428571428572" customWidth="1" bestFit="1"/>
    <col min="13" max="13" style="92" width="13.576428571428572" customWidth="1" bestFit="1"/>
    <col min="14" max="14" style="92" width="11.43357142857143" customWidth="1" bestFit="1"/>
    <col min="15" max="15" style="92" width="13.576428571428572" customWidth="1" bestFit="1"/>
    <col min="16" max="16" style="204" width="9.576428571428572" customWidth="1" bestFit="1"/>
    <col min="17" max="17" style="204" width="12.719285714285713" customWidth="1" bestFit="1"/>
    <col min="18" max="18" style="205" width="11.576428571428572" customWidth="1" bestFit="1"/>
  </cols>
  <sheetData>
    <row x14ac:dyDescent="0.25" r="1" customHeight="1" ht="15">
      <c r="A1" s="94" t="s">
        <v>40</v>
      </c>
      <c r="B1" s="1"/>
      <c r="C1" s="1"/>
      <c r="D1" s="1"/>
      <c r="E1" s="1"/>
      <c r="F1" s="1"/>
      <c r="G1" s="1"/>
      <c r="H1" s="1"/>
      <c r="I1" s="1"/>
      <c r="J1" s="1"/>
      <c r="K1" s="1"/>
      <c r="L1" s="1"/>
      <c r="M1" s="1"/>
      <c r="N1" s="1"/>
      <c r="O1" s="1"/>
      <c r="P1" s="95"/>
      <c r="Q1" s="95"/>
      <c r="R1" s="96"/>
    </row>
    <row x14ac:dyDescent="0.25" r="2" customHeight="1" ht="21.600000000000005">
      <c r="A2" s="94"/>
      <c r="B2" s="1" t="s">
        <v>41</v>
      </c>
      <c r="C2" s="97" t="s">
        <v>42</v>
      </c>
      <c r="D2" s="1" t="s">
        <v>43</v>
      </c>
      <c r="E2" s="1"/>
      <c r="F2" s="98" t="s">
        <v>44</v>
      </c>
      <c r="G2" s="99"/>
      <c r="H2" s="99"/>
      <c r="I2" s="99"/>
      <c r="J2" s="100"/>
      <c r="K2" s="1"/>
      <c r="L2" s="1"/>
      <c r="M2" s="1"/>
      <c r="N2" s="1"/>
      <c r="O2" s="101" t="s">
        <v>45</v>
      </c>
      <c r="P2" s="102"/>
      <c r="Q2" s="102"/>
      <c r="R2" s="103"/>
    </row>
    <row x14ac:dyDescent="0.25" r="3" customHeight="1" ht="18">
      <c r="A3" s="104" t="s">
        <v>46</v>
      </c>
      <c r="B3" s="105">
        <f>'1&amp;#176;Q - Positivo'!Q40</f>
      </c>
      <c r="C3" s="106">
        <f>'1&amp;#176;Q - Positivo'!R40</f>
      </c>
      <c r="D3" s="107">
        <f>'1&amp;#176;Q - Positivo'!S40</f>
      </c>
      <c r="E3" s="1"/>
      <c r="F3" s="108"/>
      <c r="G3" s="109" t="s">
        <v>44</v>
      </c>
      <c r="H3" s="110" t="s">
        <v>47</v>
      </c>
      <c r="I3" s="111" t="s">
        <v>48</v>
      </c>
      <c r="J3" s="112"/>
      <c r="K3" s="1"/>
      <c r="L3" s="1"/>
      <c r="M3" s="1"/>
      <c r="N3" s="1"/>
      <c r="O3" s="113"/>
      <c r="P3" s="114" t="s">
        <v>49</v>
      </c>
      <c r="Q3" s="114" t="s">
        <v>50</v>
      </c>
      <c r="R3" s="115" t="s">
        <v>51</v>
      </c>
    </row>
    <row x14ac:dyDescent="0.25" r="4" customHeight="1" ht="15">
      <c r="A4" s="94"/>
      <c r="B4" s="116">
        <f>'1&amp;#176;Q - Positivo'!Q41</f>
      </c>
      <c r="C4" s="106">
        <f>'1&amp;#176;Q - Positivo'!R41</f>
      </c>
      <c r="D4" s="107">
        <f>'1&amp;#176;Q - Positivo'!S41</f>
      </c>
      <c r="E4" s="1"/>
      <c r="F4" s="117" t="s">
        <v>52</v>
      </c>
      <c r="G4" s="118" t="s">
        <v>53</v>
      </c>
      <c r="H4" s="119">
        <f>SLOPE(C3:C26,D3:D26)</f>
      </c>
      <c r="I4" s="120">
        <f>INTERCEPT(C3:C26,D3:D26)</f>
      </c>
      <c r="J4" s="112"/>
      <c r="K4" s="1"/>
      <c r="L4" s="1"/>
      <c r="M4" s="1"/>
      <c r="N4" s="1"/>
      <c r="O4" s="113" t="s">
        <v>54</v>
      </c>
      <c r="P4" s="121">
        <v>0.5016619</v>
      </c>
      <c r="Q4" s="121">
        <v>1.138111</v>
      </c>
      <c r="R4" s="122">
        <v>0.49718842487348</v>
      </c>
    </row>
    <row x14ac:dyDescent="0.25" r="5" customHeight="1" ht="15">
      <c r="A5" s="94"/>
      <c r="B5" s="116">
        <f>'1&amp;#176;Q - Positivo'!Q42</f>
      </c>
      <c r="C5" s="106">
        <f>'1&amp;#176;Q - Positivo'!R42</f>
      </c>
      <c r="D5" s="107">
        <f>'1&amp;#176;Q - Positivo'!S42</f>
      </c>
      <c r="E5" s="1"/>
      <c r="F5" s="117" t="s">
        <v>55</v>
      </c>
      <c r="G5" s="123" t="s">
        <v>56</v>
      </c>
      <c r="H5" s="124">
        <f>SLOPE(D3:D26,C3:C26)</f>
      </c>
      <c r="I5" s="125">
        <f>INTERCEPT(D3:D26,C3:C26)</f>
      </c>
      <c r="J5" s="112"/>
      <c r="K5" s="1"/>
      <c r="L5" s="1"/>
      <c r="M5" s="1"/>
      <c r="N5" s="1"/>
      <c r="O5" s="113" t="s">
        <v>57</v>
      </c>
      <c r="P5" s="121">
        <v>0.4979638</v>
      </c>
      <c r="Q5" s="121">
        <v>1.123381</v>
      </c>
      <c r="R5" s="122">
        <v>0.501078781297083</v>
      </c>
    </row>
    <row x14ac:dyDescent="0.25" r="6" customHeight="1" ht="15">
      <c r="A6" s="94"/>
      <c r="B6" s="116">
        <f>'1&amp;#176;Q - Positivo'!Q43</f>
      </c>
      <c r="C6" s="106">
        <f>'1&amp;#176;Q - Positivo'!R43</f>
      </c>
      <c r="D6" s="107">
        <f>'1&amp;#176;Q - Positivo'!S43</f>
      </c>
      <c r="E6" s="1"/>
      <c r="F6" s="117"/>
      <c r="G6" s="126"/>
      <c r="H6" s="127"/>
      <c r="I6" s="127"/>
      <c r="J6" s="112"/>
      <c r="K6" s="1"/>
      <c r="L6" s="1"/>
      <c r="M6" s="1"/>
      <c r="N6" s="1"/>
      <c r="O6" s="128"/>
      <c r="P6" s="129">
        <f>2*(P4-P5)/(P4+P5)</f>
      </c>
      <c r="Q6" s="129">
        <f>2*(Q4-Q5)/(Q4+Q5)</f>
      </c>
      <c r="R6" s="130">
        <f>2*(R4-R5)/(R4+R5)</f>
      </c>
    </row>
    <row x14ac:dyDescent="0.25" r="7" customHeight="1" ht="18">
      <c r="A7" s="94"/>
      <c r="B7" s="116">
        <f>'1&amp;#176;Q - Positivo'!Q44</f>
      </c>
      <c r="C7" s="106">
        <f>'1&amp;#176;Q - Positivo'!R44</f>
      </c>
      <c r="D7" s="107">
        <f>'1&amp;#176;Q - Positivo'!S44</f>
      </c>
      <c r="E7" s="1"/>
      <c r="F7" s="117"/>
      <c r="G7" s="109" t="s">
        <v>44</v>
      </c>
      <c r="H7" s="110" t="s">
        <v>58</v>
      </c>
      <c r="I7" s="110" t="s">
        <v>59</v>
      </c>
      <c r="J7" s="111" t="s">
        <v>60</v>
      </c>
      <c r="K7" s="1"/>
      <c r="L7" s="1"/>
      <c r="M7" s="1"/>
      <c r="N7" s="1"/>
      <c r="O7" s="1"/>
      <c r="P7" s="95"/>
      <c r="Q7" s="95"/>
      <c r="R7" s="96"/>
    </row>
    <row x14ac:dyDescent="0.25" r="8" customHeight="1" ht="15">
      <c r="A8" s="94"/>
      <c r="B8" s="116">
        <f>'1&amp;#176;Q - Positivo'!Q45</f>
      </c>
      <c r="C8" s="106">
        <f>'1&amp;#176;Q - Positivo'!R45</f>
      </c>
      <c r="D8" s="107">
        <f>'1&amp;#176;Q - Positivo'!S45</f>
      </c>
      <c r="E8" s="1"/>
      <c r="F8" s="117" t="s">
        <v>61</v>
      </c>
      <c r="G8" s="118" t="s">
        <v>62</v>
      </c>
      <c r="H8" s="131">
        <f>INDEX(LINEST(C3:C26,(D3:D26)^{1,2}),1)</f>
      </c>
      <c r="I8" s="131">
        <f>INDEX(LINEST(C3:C26,(D3:D26)^{1,2}),1,2)</f>
      </c>
      <c r="J8" s="132">
        <f>INDEX(LINEST(C3:C26,(D3:D26)^{1,2}),1,3)</f>
      </c>
      <c r="K8" s="1"/>
      <c r="L8" s="1"/>
      <c r="M8" s="1"/>
      <c r="N8" s="1"/>
      <c r="O8" s="1"/>
      <c r="P8" s="95"/>
      <c r="Q8" s="95"/>
      <c r="R8" s="96"/>
    </row>
    <row x14ac:dyDescent="0.25" r="9" customHeight="1" ht="15">
      <c r="A9" s="94"/>
      <c r="B9" s="105">
        <f>'1&amp;#176;Q - Positivo'!Q46</f>
      </c>
      <c r="C9" s="106">
        <f>'1&amp;#176;Q - Positivo'!R46</f>
      </c>
      <c r="D9" s="107">
        <f>'1&amp;#176;Q - Positivo'!S46</f>
      </c>
      <c r="E9" s="1"/>
      <c r="F9" s="133" t="s">
        <v>63</v>
      </c>
      <c r="G9" s="134" t="s">
        <v>64</v>
      </c>
      <c r="H9" s="135">
        <f>_xlfn.SINGLE(INDEX(LINEST(D3:D26,(C3:C26)^{1,2}),1))</f>
      </c>
      <c r="I9" s="135">
        <f>INDEX(LINEST(D3:D26,(C3:C26)^{1,2}),1,2)</f>
      </c>
      <c r="J9" s="136">
        <f>INDEX(LINEST(D3:D26,(C3:C26)^{1,2}),1,3)</f>
      </c>
      <c r="K9" s="1"/>
      <c r="L9" s="1"/>
      <c r="M9" s="1"/>
      <c r="N9" s="1"/>
      <c r="O9" s="1"/>
      <c r="P9" s="95"/>
      <c r="Q9" s="95"/>
      <c r="R9" s="96"/>
    </row>
    <row x14ac:dyDescent="0.25" r="10" customHeight="1" ht="15">
      <c r="A10" s="94"/>
      <c r="B10" s="116">
        <f>'1&amp;#176;Q - Positivo'!Q47</f>
      </c>
      <c r="C10" s="106">
        <f>'1&amp;#176;Q - Positivo'!R47</f>
      </c>
      <c r="D10" s="107">
        <f>'1&amp;#176;Q - Positivo'!S47</f>
      </c>
      <c r="E10" s="1"/>
      <c r="F10" s="1"/>
      <c r="G10" s="1"/>
      <c r="H10" s="1"/>
      <c r="I10" s="1"/>
      <c r="J10" s="1"/>
      <c r="K10" s="1"/>
      <c r="L10" s="1"/>
      <c r="M10" s="1"/>
      <c r="N10" s="1"/>
      <c r="O10" s="1"/>
      <c r="P10" s="95"/>
      <c r="Q10" s="95"/>
      <c r="R10" s="96"/>
    </row>
    <row x14ac:dyDescent="0.25" r="11" customHeight="1" ht="21.600000000000005">
      <c r="A11" s="94"/>
      <c r="B11" s="116">
        <f>'1&amp;#176;Q - Positivo'!Q48</f>
      </c>
      <c r="C11" s="106">
        <f>'1&amp;#176;Q - Positivo'!R48</f>
      </c>
      <c r="D11" s="107">
        <f>'1&amp;#176;Q - Positivo'!S48</f>
      </c>
      <c r="E11" s="1"/>
      <c r="F11" s="137" t="s">
        <v>65</v>
      </c>
      <c r="G11" s="138"/>
      <c r="H11" s="138"/>
      <c r="I11" s="138"/>
      <c r="J11" s="139"/>
      <c r="K11" s="1"/>
      <c r="L11" s="1"/>
      <c r="M11" s="1"/>
      <c r="N11" s="140" t="s">
        <v>66</v>
      </c>
      <c r="O11" s="13"/>
      <c r="P11" s="141"/>
      <c r="Q11" s="141"/>
      <c r="R11" s="142"/>
    </row>
    <row x14ac:dyDescent="0.25" r="12" customHeight="1" ht="18">
      <c r="A12" s="94"/>
      <c r="B12" s="116">
        <f>'1&amp;#176;Q - Positivo'!Q49</f>
      </c>
      <c r="C12" s="106">
        <f>'1&amp;#176;Q - Positivo'!R49</f>
      </c>
      <c r="D12" s="107">
        <f>'1&amp;#176;Q - Positivo'!S49</f>
      </c>
      <c r="E12" s="1"/>
      <c r="F12" s="143"/>
      <c r="G12" s="144">
        <f>'1&amp;#176;Q - Positivo'!B58</f>
      </c>
      <c r="H12" s="145">
        <f>'1&amp;#176;Q - Positivo'!C58</f>
      </c>
      <c r="I12" s="146">
        <f>'1&amp;#176;Q - Positivo'!D58</f>
      </c>
      <c r="J12" s="147"/>
      <c r="K12" s="1"/>
      <c r="L12" s="1" t="s">
        <v>67</v>
      </c>
      <c r="M12" s="1"/>
      <c r="N12" s="148"/>
      <c r="O12" s="109" t="s">
        <v>68</v>
      </c>
      <c r="P12" s="149" t="s">
        <v>47</v>
      </c>
      <c r="Q12" s="150" t="s">
        <v>48</v>
      </c>
      <c r="R12" s="151"/>
    </row>
    <row x14ac:dyDescent="0.25" r="13" customHeight="1" ht="15">
      <c r="A13" s="94"/>
      <c r="B13" s="116">
        <f>'1&amp;#176;Q - Positivo'!Q50</f>
      </c>
      <c r="C13" s="106">
        <f>'1&amp;#176;Q - Positivo'!R50</f>
      </c>
      <c r="D13" s="107">
        <f>'1&amp;#176;Q - Positivo'!S50</f>
      </c>
      <c r="E13" s="1"/>
      <c r="F13" s="152" t="s">
        <v>52</v>
      </c>
      <c r="G13" s="153">
        <f>'1&amp;#176;Q - Positivo'!B59</f>
      </c>
      <c r="H13" s="119">
        <f>'1&amp;#176;Q - Positivo'!C59</f>
      </c>
      <c r="I13" s="120">
        <f>'1&amp;#176;Q - Positivo'!D59</f>
      </c>
      <c r="J13" s="147"/>
      <c r="K13" s="1"/>
      <c r="L13" s="154">
        <f>(-$H$4+H13)/$H$4</f>
      </c>
      <c r="M13" s="154"/>
      <c r="N13" s="155" t="s">
        <v>52</v>
      </c>
      <c r="O13" s="118" t="s">
        <v>62</v>
      </c>
      <c r="P13" s="119">
        <f>H4</f>
      </c>
      <c r="Q13" s="119">
        <f>I4</f>
      </c>
      <c r="R13" s="151"/>
    </row>
    <row x14ac:dyDescent="0.25" r="14" customHeight="1" ht="15">
      <c r="A14" s="94"/>
      <c r="B14" s="116">
        <f>'1&amp;#176;Q - Positivo'!Q51</f>
      </c>
      <c r="C14" s="106">
        <f>'1&amp;#176;Q - Positivo'!R51</f>
      </c>
      <c r="D14" s="107">
        <f>'1&amp;#176;Q - Positivo'!S51</f>
      </c>
      <c r="E14" s="1"/>
      <c r="F14" s="152" t="s">
        <v>55</v>
      </c>
      <c r="G14" s="156">
        <f>'1&amp;#176;Q - Positivo'!B60</f>
      </c>
      <c r="H14" s="124">
        <f>'1&amp;#176;Q - Positivo'!C60</f>
      </c>
      <c r="I14" s="125">
        <f>'1&amp;#176;Q - Positivo'!D60</f>
      </c>
      <c r="J14" s="147"/>
      <c r="K14" s="1"/>
      <c r="L14" s="1"/>
      <c r="M14" s="1"/>
      <c r="N14" s="155" t="s">
        <v>55</v>
      </c>
      <c r="O14" s="123" t="s">
        <v>64</v>
      </c>
      <c r="P14" s="124">
        <f>H5</f>
      </c>
      <c r="Q14" s="125">
        <f>I5</f>
      </c>
      <c r="R14" s="151"/>
    </row>
    <row x14ac:dyDescent="0.25" r="15" customHeight="1" ht="15">
      <c r="A15" s="157" t="s">
        <v>69</v>
      </c>
      <c r="B15" s="158">
        <f>'3&amp;#176;Q - Negativo'!Q40</f>
      </c>
      <c r="C15" s="159">
        <f>'3&amp;#176;Q - Negativo'!R40</f>
      </c>
      <c r="D15" s="160">
        <f>'3&amp;#176;Q - Negativo'!S40</f>
      </c>
      <c r="E15" s="1"/>
      <c r="F15" s="152"/>
      <c r="G15" s="161"/>
      <c r="H15" s="162"/>
      <c r="I15" s="162"/>
      <c r="J15" s="147"/>
      <c r="K15" s="1"/>
      <c r="L15" s="1"/>
      <c r="M15" s="1"/>
      <c r="N15" s="148"/>
      <c r="O15" s="163"/>
      <c r="P15" s="164"/>
      <c r="Q15" s="164"/>
      <c r="R15" s="151"/>
    </row>
    <row x14ac:dyDescent="0.25" r="16" customHeight="1" ht="18">
      <c r="A16" s="94"/>
      <c r="B16" s="165">
        <f>'3&amp;#176;Q - Negativo'!Q41</f>
      </c>
      <c r="C16" s="159">
        <f>'3&amp;#176;Q - Negativo'!R41</f>
      </c>
      <c r="D16" s="160">
        <f>'3&amp;#176;Q - Negativo'!S41</f>
      </c>
      <c r="E16" s="1"/>
      <c r="F16" s="152"/>
      <c r="G16" s="144">
        <f>'1&amp;#176;Q - Positivo'!B62</f>
      </c>
      <c r="H16" s="145">
        <f>'1&amp;#176;Q - Positivo'!C62</f>
      </c>
      <c r="I16" s="145">
        <f>'1&amp;#176;Q - Positivo'!D62</f>
      </c>
      <c r="J16" s="166">
        <f>'1&amp;#176;Q - Positivo'!E62</f>
      </c>
      <c r="K16" s="1"/>
      <c r="L16" s="1"/>
      <c r="M16" s="1"/>
      <c r="N16" s="155"/>
      <c r="O16" s="109" t="s">
        <v>44</v>
      </c>
      <c r="P16" s="149" t="s">
        <v>58</v>
      </c>
      <c r="Q16" s="149" t="s">
        <v>59</v>
      </c>
      <c r="R16" s="167" t="s">
        <v>60</v>
      </c>
    </row>
    <row x14ac:dyDescent="0.25" r="17" customHeight="1" ht="15">
      <c r="A17" s="94"/>
      <c r="B17" s="165">
        <f>'3&amp;#176;Q - Negativo'!Q42</f>
      </c>
      <c r="C17" s="159">
        <f>'3&amp;#176;Q - Negativo'!R42</f>
      </c>
      <c r="D17" s="160">
        <f>'3&amp;#176;Q - Negativo'!S42</f>
      </c>
      <c r="E17" s="1"/>
      <c r="F17" s="152" t="s">
        <v>61</v>
      </c>
      <c r="G17" s="153">
        <f>'1&amp;#176;Q - Positivo'!B63</f>
      </c>
      <c r="H17" s="131">
        <f>'1&amp;#176;Q - Positivo'!C63</f>
      </c>
      <c r="I17" s="131">
        <f>'1&amp;#176;Q - Positivo'!D63</f>
      </c>
      <c r="J17" s="168">
        <f>'1&amp;#176;Q - Positivo'!E63</f>
      </c>
      <c r="K17" s="1"/>
      <c r="L17" s="1"/>
      <c r="M17" s="1"/>
      <c r="N17" s="155" t="s">
        <v>61</v>
      </c>
      <c r="O17" s="118" t="s">
        <v>62</v>
      </c>
      <c r="P17" s="169">
        <f>H8</f>
      </c>
      <c r="Q17" s="169">
        <f>I8</f>
      </c>
      <c r="R17" s="170">
        <f>J8</f>
      </c>
    </row>
    <row x14ac:dyDescent="0.25" r="18" customHeight="1" ht="15">
      <c r="A18" s="94"/>
      <c r="B18" s="165">
        <f>'3&amp;#176;Q - Negativo'!Q43</f>
      </c>
      <c r="C18" s="159">
        <f>'3&amp;#176;Q - Negativo'!R43</f>
      </c>
      <c r="D18" s="160">
        <f>'3&amp;#176;Q - Negativo'!S43</f>
      </c>
      <c r="E18" s="1"/>
      <c r="F18" s="171" t="s">
        <v>63</v>
      </c>
      <c r="G18" s="172">
        <f>'1&amp;#176;Q - Positivo'!B64</f>
      </c>
      <c r="H18" s="173">
        <f>'1&amp;#176;Q - Positivo'!C64</f>
      </c>
      <c r="I18" s="173">
        <f>'1&amp;#176;Q - Positivo'!D64</f>
      </c>
      <c r="J18" s="174">
        <f>'1&amp;#176;Q - Positivo'!E64</f>
      </c>
      <c r="K18" s="1"/>
      <c r="L18" s="1"/>
      <c r="M18" s="1"/>
      <c r="N18" s="175" t="s">
        <v>63</v>
      </c>
      <c r="O18" s="123" t="s">
        <v>64</v>
      </c>
      <c r="P18" s="176">
        <f>H9</f>
      </c>
      <c r="Q18" s="176">
        <f>I9</f>
      </c>
      <c r="R18" s="177">
        <f>J9</f>
      </c>
    </row>
    <row x14ac:dyDescent="0.25" r="19" customHeight="1" ht="15">
      <c r="A19" s="94"/>
      <c r="B19" s="165">
        <f>'3&amp;#176;Q - Negativo'!Q44</f>
      </c>
      <c r="C19" s="159">
        <f>'3&amp;#176;Q - Negativo'!R44</f>
      </c>
      <c r="D19" s="160">
        <f>'3&amp;#176;Q - Negativo'!S44</f>
      </c>
      <c r="E19" s="1"/>
      <c r="F19" s="1"/>
      <c r="G19" s="1"/>
      <c r="H19" s="1"/>
      <c r="I19" s="1"/>
      <c r="J19" s="1"/>
      <c r="K19" s="1"/>
      <c r="L19" s="1"/>
      <c r="M19" s="1"/>
      <c r="N19" s="1"/>
      <c r="O19" s="1"/>
      <c r="P19" s="95"/>
      <c r="Q19" s="95"/>
      <c r="R19" s="96"/>
    </row>
    <row x14ac:dyDescent="0.25" r="20" customHeight="1" ht="21.600000000000005">
      <c r="A20" s="94"/>
      <c r="B20" s="165">
        <f>'3&amp;#176;Q - Negativo'!Q45</f>
      </c>
      <c r="C20" s="159">
        <f>'3&amp;#176;Q - Negativo'!R45</f>
      </c>
      <c r="D20" s="160">
        <f>'3&amp;#176;Q - Negativo'!S45</f>
      </c>
      <c r="E20" s="1"/>
      <c r="F20" s="178" t="s">
        <v>68</v>
      </c>
      <c r="G20" s="179"/>
      <c r="H20" s="179"/>
      <c r="I20" s="179"/>
      <c r="J20" s="180"/>
      <c r="K20" s="1"/>
      <c r="L20" s="1"/>
      <c r="M20" s="1"/>
      <c r="N20" s="1"/>
      <c r="O20" s="1"/>
      <c r="P20" s="95"/>
      <c r="Q20" s="95"/>
      <c r="R20" s="96"/>
    </row>
    <row x14ac:dyDescent="0.25" r="21" customHeight="1" ht="18">
      <c r="A21" s="94"/>
      <c r="B21" s="158">
        <f>'3&amp;#176;Q - Negativo'!Q46</f>
      </c>
      <c r="C21" s="159">
        <f>'3&amp;#176;Q - Negativo'!R46</f>
      </c>
      <c r="D21" s="160">
        <f>'3&amp;#176;Q - Negativo'!S46</f>
      </c>
      <c r="E21" s="1"/>
      <c r="F21" s="181"/>
      <c r="G21" s="144">
        <f>'3&amp;#176;Q - Negativo'!B58</f>
      </c>
      <c r="H21" s="145">
        <f>'3&amp;#176;Q - Negativo'!C58</f>
      </c>
      <c r="I21" s="146">
        <f>'3&amp;#176;Q - Negativo'!D58</f>
      </c>
      <c r="J21" s="182"/>
      <c r="K21" s="1"/>
      <c r="L21" s="1" t="s">
        <v>67</v>
      </c>
      <c r="M21" s="1"/>
      <c r="N21" s="1"/>
      <c r="O21" s="1"/>
      <c r="P21" s="95"/>
      <c r="Q21" s="95"/>
      <c r="R21" s="96"/>
    </row>
    <row x14ac:dyDescent="0.25" r="22" customHeight="1" ht="26.25">
      <c r="A22" s="94"/>
      <c r="B22" s="165">
        <f>'3&amp;#176;Q - Negativo'!Q47</f>
      </c>
      <c r="C22" s="159">
        <f>'3&amp;#176;Q - Negativo'!R47</f>
      </c>
      <c r="D22" s="160">
        <f>'3&amp;#176;Q - Negativo'!S47</f>
      </c>
      <c r="E22" s="1"/>
      <c r="F22" s="183" t="s">
        <v>52</v>
      </c>
      <c r="G22" s="153">
        <f>'3&amp;#176;Q - Negativo'!B59</f>
      </c>
      <c r="H22" s="119">
        <f>'3&amp;#176;Q - Negativo'!C59</f>
      </c>
      <c r="I22" s="120">
        <f>'3&amp;#176;Q - Negativo'!D59</f>
      </c>
      <c r="J22" s="182"/>
      <c r="K22" s="1"/>
      <c r="L22" s="154">
        <f>(-$H$4+H22)/$H$4</f>
      </c>
      <c r="M22" s="1"/>
      <c r="N22" s="1"/>
      <c r="O22" s="1"/>
      <c r="P22" s="95"/>
      <c r="Q22" s="95"/>
      <c r="R22" s="96"/>
    </row>
    <row x14ac:dyDescent="0.25" r="23" customHeight="1" ht="15">
      <c r="A23" s="94"/>
      <c r="B23" s="165">
        <f>'3&amp;#176;Q - Negativo'!Q48</f>
      </c>
      <c r="C23" s="159">
        <f>'3&amp;#176;Q - Negativo'!R48</f>
      </c>
      <c r="D23" s="160">
        <f>'3&amp;#176;Q - Negativo'!S48</f>
      </c>
      <c r="E23" s="1"/>
      <c r="F23" s="183" t="s">
        <v>55</v>
      </c>
      <c r="G23" s="156">
        <f>'3&amp;#176;Q - Negativo'!B60</f>
      </c>
      <c r="H23" s="124">
        <f>'3&amp;#176;Q - Negativo'!C60</f>
      </c>
      <c r="I23" s="125">
        <f>'3&amp;#176;Q - Negativo'!D60</f>
      </c>
      <c r="J23" s="182"/>
      <c r="K23" s="1"/>
      <c r="L23" s="1"/>
      <c r="M23" s="1"/>
      <c r="N23" s="1"/>
      <c r="O23" s="1"/>
      <c r="P23" s="95"/>
      <c r="Q23" s="95"/>
      <c r="R23" s="96"/>
    </row>
    <row x14ac:dyDescent="0.25" r="24" customHeight="1" ht="15">
      <c r="A24" s="94"/>
      <c r="B24" s="165">
        <f>'3&amp;#176;Q - Negativo'!Q49</f>
      </c>
      <c r="C24" s="159">
        <f>'3&amp;#176;Q - Negativo'!R49</f>
      </c>
      <c r="D24" s="160">
        <f>'3&amp;#176;Q - Negativo'!S49</f>
      </c>
      <c r="E24" s="1"/>
      <c r="F24" s="183"/>
      <c r="G24" s="184"/>
      <c r="H24" s="185"/>
      <c r="I24" s="185"/>
      <c r="J24" s="182"/>
      <c r="K24" s="1"/>
      <c r="L24" s="1"/>
      <c r="M24" s="1"/>
      <c r="N24" s="1"/>
      <c r="O24" s="1"/>
      <c r="P24" s="95"/>
      <c r="Q24" s="95"/>
      <c r="R24" s="96"/>
    </row>
    <row x14ac:dyDescent="0.25" r="25" customHeight="1" ht="18">
      <c r="A25" s="94"/>
      <c r="B25" s="165">
        <f>'3&amp;#176;Q - Negativo'!Q50</f>
      </c>
      <c r="C25" s="159">
        <f>'3&amp;#176;Q - Negativo'!R50</f>
      </c>
      <c r="D25" s="160">
        <f>'3&amp;#176;Q - Negativo'!S50</f>
      </c>
      <c r="E25" s="1"/>
      <c r="F25" s="183"/>
      <c r="G25" s="144">
        <f>'3&amp;#176;Q - Negativo'!B62</f>
      </c>
      <c r="H25" s="145">
        <f>'3&amp;#176;Q - Negativo'!C62</f>
      </c>
      <c r="I25" s="145">
        <f>'3&amp;#176;Q - Negativo'!D62</f>
      </c>
      <c r="J25" s="186">
        <f>'3&amp;#176;Q - Negativo'!E62</f>
      </c>
      <c r="K25" s="1"/>
      <c r="L25" s="1"/>
      <c r="M25" s="1"/>
      <c r="N25" s="1"/>
      <c r="O25" s="1"/>
      <c r="P25" s="95"/>
      <c r="Q25" s="95"/>
      <c r="R25" s="96"/>
    </row>
    <row x14ac:dyDescent="0.25" r="26" customHeight="1" ht="15">
      <c r="A26" s="94"/>
      <c r="B26" s="165">
        <f>'3&amp;#176;Q - Negativo'!Q51</f>
      </c>
      <c r="C26" s="159">
        <f>'3&amp;#176;Q - Negativo'!R51</f>
      </c>
      <c r="D26" s="160">
        <f>'3&amp;#176;Q - Negativo'!S51</f>
      </c>
      <c r="E26" s="1"/>
      <c r="F26" s="183" t="s">
        <v>61</v>
      </c>
      <c r="G26" s="153">
        <f>'3&amp;#176;Q - Negativo'!B63</f>
      </c>
      <c r="H26" s="131">
        <f>'3&amp;#176;Q - Negativo'!C63</f>
      </c>
      <c r="I26" s="131">
        <f>'3&amp;#176;Q - Negativo'!D63</f>
      </c>
      <c r="J26" s="187">
        <f>'3&amp;#176;Q - Negativo'!E63</f>
      </c>
      <c r="K26" s="1"/>
      <c r="L26" s="1"/>
      <c r="M26" s="1"/>
      <c r="N26" s="1"/>
      <c r="O26" s="1"/>
      <c r="P26" s="95"/>
      <c r="Q26" s="95"/>
      <c r="R26" s="96"/>
    </row>
    <row x14ac:dyDescent="0.25" r="27" customHeight="1" ht="15">
      <c r="A27" s="94"/>
      <c r="B27" s="1"/>
      <c r="C27" s="1"/>
      <c r="D27" s="1"/>
      <c r="E27" s="1"/>
      <c r="F27" s="188" t="s">
        <v>63</v>
      </c>
      <c r="G27" s="189">
        <f>'3&amp;#176;Q - Negativo'!B64</f>
      </c>
      <c r="H27" s="190">
        <f>'3&amp;#176;Q - Negativo'!C64</f>
      </c>
      <c r="I27" s="190">
        <f>'3&amp;#176;Q - Negativo'!D64</f>
      </c>
      <c r="J27" s="191">
        <f>'3&amp;#176;Q - Negativo'!E64</f>
      </c>
      <c r="K27" s="1"/>
      <c r="L27" s="1"/>
      <c r="M27" s="1"/>
      <c r="N27" s="1"/>
      <c r="O27" s="1"/>
      <c r="P27" s="95"/>
      <c r="Q27" s="95"/>
      <c r="R27" s="96"/>
    </row>
    <row x14ac:dyDescent="0.25" r="28" customHeight="1" ht="15">
      <c r="A28" s="94"/>
      <c r="B28" s="1"/>
      <c r="C28" s="1"/>
      <c r="D28" s="1"/>
      <c r="E28" s="1"/>
      <c r="F28" s="1"/>
      <c r="G28" s="1"/>
      <c r="H28" s="1"/>
      <c r="I28" s="1"/>
      <c r="J28" s="1"/>
      <c r="K28" s="1"/>
      <c r="L28" s="1"/>
      <c r="M28" s="1"/>
      <c r="N28" s="1"/>
      <c r="O28" s="1"/>
      <c r="P28" s="95"/>
      <c r="Q28" s="95"/>
      <c r="R28" s="96"/>
    </row>
    <row x14ac:dyDescent="0.25" r="29" customHeight="1" ht="21.600000000000005">
      <c r="A29" s="94"/>
      <c r="B29" s="1"/>
      <c r="C29" s="1"/>
      <c r="D29" s="1"/>
      <c r="E29" s="1"/>
      <c r="F29" s="192" t="s">
        <v>70</v>
      </c>
      <c r="G29" s="193"/>
      <c r="H29" s="193"/>
      <c r="I29" s="193"/>
      <c r="J29" s="194"/>
      <c r="K29" s="1"/>
      <c r="L29" s="1"/>
      <c r="M29" s="1"/>
      <c r="N29" s="1"/>
      <c r="O29" s="1"/>
      <c r="P29" s="95"/>
      <c r="Q29" s="95"/>
      <c r="R29" s="96"/>
    </row>
    <row x14ac:dyDescent="0.25" r="30" customHeight="1" ht="18">
      <c r="A30" s="94"/>
      <c r="B30" s="1"/>
      <c r="C30" s="1"/>
      <c r="D30" s="1"/>
      <c r="E30" s="1"/>
      <c r="F30" s="195"/>
      <c r="G30" s="109" t="s">
        <v>68</v>
      </c>
      <c r="H30" s="110" t="s">
        <v>47</v>
      </c>
      <c r="I30" s="111" t="s">
        <v>48</v>
      </c>
      <c r="J30" s="196"/>
      <c r="K30" s="1"/>
      <c r="L30" s="1"/>
      <c r="M30" s="1"/>
      <c r="N30" s="1"/>
      <c r="O30" s="1"/>
      <c r="P30" s="95"/>
      <c r="Q30" s="95"/>
      <c r="R30" s="96"/>
    </row>
    <row x14ac:dyDescent="0.25" r="31" customHeight="1" ht="15.75">
      <c r="A31" s="94"/>
      <c r="B31" s="1"/>
      <c r="C31" s="1"/>
      <c r="D31" s="1"/>
      <c r="E31" s="1"/>
      <c r="F31" s="197" t="s">
        <v>52</v>
      </c>
      <c r="G31" s="118" t="s">
        <v>62</v>
      </c>
      <c r="H31" s="119">
        <f>AVERAGE(H13,H22)</f>
      </c>
      <c r="I31" s="120">
        <f>AVERAGE(I13,I22)</f>
      </c>
      <c r="J31" s="196"/>
      <c r="K31" s="1"/>
      <c r="L31" s="1"/>
      <c r="M31" s="1"/>
      <c r="N31" s="1"/>
      <c r="O31" s="1"/>
      <c r="P31" s="95"/>
      <c r="Q31" s="95"/>
      <c r="R31" s="96"/>
    </row>
    <row x14ac:dyDescent="0.25" r="32" customHeight="1" ht="15.75">
      <c r="A32" s="94"/>
      <c r="B32" s="1"/>
      <c r="C32" s="1"/>
      <c r="D32" s="1"/>
      <c r="E32" s="1"/>
      <c r="F32" s="197" t="s">
        <v>55</v>
      </c>
      <c r="G32" s="123" t="s">
        <v>64</v>
      </c>
      <c r="H32" s="124">
        <f>AVERAGE(H14,H23)</f>
      </c>
      <c r="I32" s="125">
        <f>AVERAGE(I14,I23)</f>
      </c>
      <c r="J32" s="196"/>
      <c r="K32" s="1"/>
      <c r="L32" s="1"/>
      <c r="M32" s="1"/>
      <c r="N32" s="1"/>
      <c r="O32" s="1"/>
      <c r="P32" s="95"/>
      <c r="Q32" s="95"/>
      <c r="R32" s="96"/>
    </row>
    <row x14ac:dyDescent="0.25" r="33" customHeight="1" ht="15">
      <c r="A33" s="94"/>
      <c r="B33" s="1"/>
      <c r="C33" s="1"/>
      <c r="D33" s="1"/>
      <c r="E33" s="1"/>
      <c r="F33" s="197"/>
      <c r="G33" s="198"/>
      <c r="H33" s="199"/>
      <c r="I33" s="199"/>
      <c r="J33" s="196"/>
      <c r="K33" s="1"/>
      <c r="L33" s="1"/>
      <c r="M33" s="1"/>
      <c r="N33" s="1"/>
      <c r="O33" s="1"/>
      <c r="P33" s="95"/>
      <c r="Q33" s="95"/>
      <c r="R33" s="96"/>
    </row>
    <row x14ac:dyDescent="0.25" r="34" customHeight="1" ht="18">
      <c r="A34" s="94"/>
      <c r="B34" s="1"/>
      <c r="C34" s="1"/>
      <c r="D34" s="1"/>
      <c r="E34" s="1"/>
      <c r="F34" s="197"/>
      <c r="G34" s="109" t="s">
        <v>68</v>
      </c>
      <c r="H34" s="110" t="s">
        <v>58</v>
      </c>
      <c r="I34" s="110" t="s">
        <v>59</v>
      </c>
      <c r="J34" s="111" t="s">
        <v>60</v>
      </c>
      <c r="K34" s="1"/>
      <c r="L34" s="1"/>
      <c r="M34" s="1"/>
      <c r="N34" s="1"/>
      <c r="O34" s="1"/>
      <c r="P34" s="95"/>
      <c r="Q34" s="95"/>
      <c r="R34" s="96"/>
    </row>
    <row x14ac:dyDescent="0.25" r="35" customHeight="1" ht="15">
      <c r="A35" s="94"/>
      <c r="B35" s="1"/>
      <c r="C35" s="1"/>
      <c r="D35" s="1"/>
      <c r="E35" s="1"/>
      <c r="F35" s="197" t="s">
        <v>61</v>
      </c>
      <c r="G35" s="118" t="s">
        <v>62</v>
      </c>
      <c r="H35" s="119">
        <f>AVERAGE(H17,H26)</f>
      </c>
      <c r="I35" s="119">
        <f>AVERAGE(I17,I26)</f>
      </c>
      <c r="J35" s="120">
        <f>AVERAGE(J17,J26)</f>
      </c>
      <c r="K35" s="1"/>
      <c r="L35" s="1"/>
      <c r="M35" s="1"/>
      <c r="N35" s="1"/>
      <c r="O35" s="1"/>
      <c r="P35" s="95"/>
      <c r="Q35" s="95"/>
      <c r="R35" s="96"/>
    </row>
    <row x14ac:dyDescent="0.25" r="36" customHeight="1" ht="15">
      <c r="A36" s="94"/>
      <c r="B36" s="1"/>
      <c r="C36" s="1"/>
      <c r="D36" s="1"/>
      <c r="E36" s="1"/>
      <c r="F36" s="200" t="s">
        <v>63</v>
      </c>
      <c r="G36" s="123" t="s">
        <v>64</v>
      </c>
      <c r="H36" s="201">
        <f>AVERAGE(H18,H27)</f>
      </c>
      <c r="I36" s="201">
        <f>AVERAGE(I18,I27)</f>
      </c>
      <c r="J36" s="202">
        <f>AVERAGE(J18,J27)</f>
      </c>
      <c r="K36" s="1"/>
      <c r="L36" s="1"/>
      <c r="M36" s="1"/>
      <c r="N36" s="1"/>
      <c r="O36" s="1"/>
      <c r="P36" s="95"/>
      <c r="Q36" s="95"/>
      <c r="R36" s="96"/>
    </row>
    <row x14ac:dyDescent="0.25" r="37" customHeight="1" ht="18.75">
      <c r="A37" s="94"/>
      <c r="B37" s="1"/>
      <c r="C37" s="1"/>
      <c r="D37" s="1"/>
      <c r="E37" s="1"/>
      <c r="F37" s="1"/>
      <c r="G37" s="1"/>
      <c r="H37" s="1"/>
      <c r="I37" s="1"/>
      <c r="J37" s="1"/>
      <c r="K37" s="1"/>
      <c r="L37" s="1"/>
      <c r="M37" s="1"/>
      <c r="N37" s="1"/>
      <c r="O37" s="1"/>
      <c r="P37" s="95"/>
      <c r="Q37" s="95"/>
      <c r="R37" s="96"/>
    </row>
    <row x14ac:dyDescent="0.25" r="38" customHeight="1" ht="15.75">
      <c r="A38" s="94"/>
      <c r="B38" s="1"/>
      <c r="C38" s="1"/>
      <c r="D38" s="1"/>
      <c r="E38" s="1"/>
      <c r="F38" s="1"/>
      <c r="G38" s="1"/>
      <c r="H38" s="1"/>
      <c r="I38" s="1"/>
      <c r="J38" s="1"/>
      <c r="K38" s="1"/>
      <c r="L38" s="1"/>
      <c r="M38" s="1"/>
      <c r="N38" s="1"/>
      <c r="O38" s="1"/>
      <c r="P38" s="95"/>
      <c r="Q38" s="95"/>
      <c r="R38" s="96"/>
    </row>
  </sheetData>
  <mergeCells count="3">
    <mergeCell ref="A3:A14"/>
    <mergeCell ref="N11:R11"/>
    <mergeCell ref="A15: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25"/>
  <sheetViews>
    <sheetView workbookViewId="0"/>
  </sheetViews>
  <sheetFormatPr defaultRowHeight="15" x14ac:dyDescent="0.25"/>
  <cols>
    <col min="1" max="1" style="92" width="3.005" customWidth="1" bestFit="1"/>
    <col min="2" max="2" style="92" width="3.5764285714285715" customWidth="1" bestFit="1"/>
    <col min="3" max="3" style="92" width="5.433571428571429" customWidth="1" bestFit="1"/>
    <col min="4" max="4" style="92" width="8.719285714285713" customWidth="1" bestFit="1"/>
    <col min="5" max="5" style="92" width="8.719285714285713" customWidth="1" bestFit="1"/>
    <col min="6" max="6" style="92" width="8.719285714285713" customWidth="1" bestFit="1"/>
    <col min="7" max="7" style="93" width="8.719285714285713" customWidth="1" bestFit="1"/>
    <col min="8" max="8" style="92" width="8.719285714285713" customWidth="1" bestFit="1"/>
    <col min="9" max="9" style="92" width="8.719285714285713" customWidth="1" bestFit="1"/>
    <col min="10" max="10" style="92" width="8.719285714285713" customWidth="1" bestFit="1"/>
    <col min="11" max="11" style="92" width="8.719285714285713" customWidth="1" bestFit="1"/>
    <col min="12" max="12" style="92" width="8.719285714285713" customWidth="1" bestFit="1"/>
    <col min="13" max="13" style="92" width="3.005" customWidth="1" bestFit="1"/>
    <col min="14" max="14" style="92" width="2.4335714285714283" customWidth="1" bestFit="1"/>
    <col min="15" max="15" style="92" width="9.147857142857141" customWidth="1" bestFit="1"/>
    <col min="16" max="16" style="92" width="13.576428571428572" customWidth="1" bestFit="1"/>
    <col min="17" max="17" style="92" width="13.576428571428572" customWidth="1" bestFit="1"/>
    <col min="18" max="18" style="92" width="13.576428571428572" customWidth="1" bestFit="1"/>
  </cols>
  <sheetData>
    <row x14ac:dyDescent="0.25" r="1" customHeight="1" ht="11.25">
      <c r="A1" s="1"/>
      <c r="B1" s="1"/>
      <c r="C1" s="1"/>
      <c r="D1" s="1"/>
      <c r="E1" s="1"/>
      <c r="F1" s="1"/>
      <c r="G1" s="2"/>
      <c r="H1" s="1"/>
      <c r="I1" s="1"/>
      <c r="J1" s="1"/>
      <c r="K1" s="1"/>
      <c r="L1" s="1"/>
      <c r="M1" s="3" t="s">
        <v>0</v>
      </c>
      <c r="N1" s="1"/>
      <c r="O1" s="1"/>
      <c r="P1" s="1"/>
      <c r="Q1" s="1"/>
      <c r="R1" s="1"/>
    </row>
    <row x14ac:dyDescent="0.25" r="2" customHeight="1" ht="11.25">
      <c r="A2" s="1"/>
      <c r="B2" s="1"/>
      <c r="C2" s="1"/>
      <c r="D2" s="1"/>
      <c r="E2" s="1"/>
      <c r="F2" s="1"/>
      <c r="G2" s="2"/>
      <c r="H2" s="1"/>
      <c r="I2" s="1"/>
      <c r="J2" s="1"/>
      <c r="K2" s="1"/>
      <c r="L2" s="1"/>
      <c r="M2" s="3" t="s">
        <v>1</v>
      </c>
      <c r="N2" s="1"/>
      <c r="O2" s="1"/>
      <c r="P2" s="1"/>
      <c r="Q2" s="1"/>
      <c r="R2" s="1"/>
    </row>
    <row x14ac:dyDescent="0.25" r="3" customHeight="1" ht="11.25">
      <c r="A3" s="1"/>
      <c r="B3" s="1"/>
      <c r="C3" s="1"/>
      <c r="D3" s="1"/>
      <c r="E3" s="1"/>
      <c r="F3" s="1"/>
      <c r="G3" s="2"/>
      <c r="H3" s="1"/>
      <c r="I3" s="1"/>
      <c r="J3" s="1"/>
      <c r="K3" s="1"/>
      <c r="L3" s="1"/>
      <c r="M3" s="3" t="s">
        <v>2</v>
      </c>
      <c r="N3" s="1"/>
      <c r="O3" s="1"/>
      <c r="P3" s="1"/>
      <c r="Q3" s="1"/>
      <c r="R3" s="1"/>
    </row>
    <row x14ac:dyDescent="0.25" r="4" customHeight="1" ht="11.25">
      <c r="A4" s="1"/>
      <c r="B4" s="1"/>
      <c r="C4" s="1"/>
      <c r="D4" s="1"/>
      <c r="E4" s="1"/>
      <c r="F4" s="1"/>
      <c r="G4" s="2"/>
      <c r="H4" s="1"/>
      <c r="I4" s="1"/>
      <c r="J4" s="1"/>
      <c r="K4" s="1"/>
      <c r="L4" s="1"/>
      <c r="M4" s="3" t="s">
        <v>3</v>
      </c>
      <c r="N4" s="1"/>
      <c r="O4" s="1"/>
      <c r="P4" s="1"/>
      <c r="Q4" s="1"/>
      <c r="R4" s="1"/>
    </row>
    <row x14ac:dyDescent="0.25" r="5" customHeight="1" ht="11.25">
      <c r="A5" s="1"/>
      <c r="B5" s="1"/>
      <c r="C5" s="1"/>
      <c r="D5" s="1"/>
      <c r="E5" s="1"/>
      <c r="F5" s="1"/>
      <c r="G5" s="2"/>
      <c r="H5" s="1"/>
      <c r="I5" s="1"/>
      <c r="J5" s="1"/>
      <c r="K5" s="1"/>
      <c r="L5" s="1"/>
      <c r="M5" s="4" t="s">
        <v>4</v>
      </c>
      <c r="N5" s="1"/>
      <c r="O5" s="1"/>
      <c r="P5" s="1"/>
      <c r="Q5" s="1"/>
      <c r="R5" s="1"/>
    </row>
    <row x14ac:dyDescent="0.25" r="6" customHeight="1" ht="15.75">
      <c r="A6" s="1"/>
      <c r="B6" s="1"/>
      <c r="C6" s="1"/>
      <c r="D6" s="1"/>
      <c r="E6" s="1"/>
      <c r="F6" s="1"/>
      <c r="G6" s="2"/>
      <c r="H6" s="1"/>
      <c r="I6" s="1"/>
      <c r="J6" s="1"/>
      <c r="K6" s="1"/>
      <c r="L6" s="1"/>
      <c r="M6" s="1"/>
      <c r="N6" s="1"/>
      <c r="O6" s="1"/>
      <c r="P6" s="1"/>
      <c r="Q6" s="1"/>
      <c r="R6" s="1"/>
    </row>
    <row x14ac:dyDescent="0.25" r="7" customHeight="1" ht="19.5">
      <c r="A7" s="1"/>
      <c r="B7" s="1"/>
      <c r="C7" s="5">
        <f>CONCATENATE("Report taratura"," - ",'Istruzioni Uso'!$B$67," - ",'Istruzioni Uso'!$B$68)</f>
      </c>
      <c r="D7" s="1"/>
      <c r="E7" s="1"/>
      <c r="F7" s="1"/>
      <c r="G7" s="2"/>
      <c r="H7" s="1"/>
      <c r="I7" s="1"/>
      <c r="J7" s="1"/>
      <c r="K7" s="1"/>
      <c r="L7" s="1"/>
      <c r="M7" s="1"/>
      <c r="N7" s="1"/>
      <c r="O7" s="1"/>
      <c r="P7" s="1"/>
      <c r="Q7" s="1"/>
      <c r="R7" s="1"/>
    </row>
    <row x14ac:dyDescent="0.25" r="8" customHeight="1" ht="16.5">
      <c r="A8" s="1"/>
      <c r="B8" s="1"/>
      <c r="C8" s="1"/>
      <c r="D8" s="1"/>
      <c r="E8" s="1"/>
      <c r="F8" s="1"/>
      <c r="G8" s="2"/>
      <c r="H8" s="1"/>
      <c r="I8" s="1"/>
      <c r="J8" s="1"/>
      <c r="K8" s="1"/>
      <c r="L8" s="1"/>
      <c r="M8" s="1"/>
      <c r="N8" s="1"/>
      <c r="O8" s="1"/>
      <c r="P8" s="1"/>
      <c r="Q8" s="1"/>
      <c r="R8" s="1"/>
    </row>
    <row x14ac:dyDescent="0.25" r="9" customHeight="1" ht="15">
      <c r="A9" s="1"/>
      <c r="B9" s="1"/>
      <c r="C9" s="6" t="s">
        <v>5</v>
      </c>
      <c r="D9" s="6"/>
      <c r="E9" s="6"/>
      <c r="F9" s="7">
        <f>'Istruzioni Uso'!$B$63</f>
        <v>25569.041666666668</v>
      </c>
      <c r="G9" s="2"/>
      <c r="H9" s="1"/>
      <c r="I9" s="1"/>
      <c r="J9" s="1"/>
      <c r="K9" s="1"/>
      <c r="L9" s="1"/>
      <c r="M9" s="1"/>
      <c r="N9" s="1"/>
      <c r="O9" s="1"/>
      <c r="P9" s="1"/>
      <c r="Q9" s="1"/>
      <c r="R9" s="1"/>
    </row>
    <row x14ac:dyDescent="0.25" r="10" customHeight="1" ht="15">
      <c r="A10" s="1"/>
      <c r="B10" s="1"/>
      <c r="C10" s="8" t="s">
        <v>6</v>
      </c>
      <c r="D10" s="8"/>
      <c r="E10" s="8"/>
      <c r="F10" s="9">
        <f>'Istruzioni Uso'!$B$64</f>
      </c>
      <c r="G10" s="2"/>
      <c r="H10" s="1"/>
      <c r="I10" s="1"/>
      <c r="J10" s="1"/>
      <c r="K10" s="1"/>
      <c r="L10" s="1"/>
      <c r="M10" s="1"/>
      <c r="N10" s="1"/>
      <c r="O10" s="1"/>
      <c r="P10" s="1"/>
      <c r="Q10" s="1"/>
      <c r="R10" s="1"/>
    </row>
    <row x14ac:dyDescent="0.25" r="11" customHeight="1" ht="15">
      <c r="A11" s="1"/>
      <c r="B11" s="1"/>
      <c r="C11" s="6" t="s">
        <v>7</v>
      </c>
      <c r="D11" s="6"/>
      <c r="E11" s="6"/>
      <c r="F11" s="10">
        <f>'Istruzioni Uso'!$B$65</f>
      </c>
      <c r="G11" s="2"/>
      <c r="H11" s="1"/>
      <c r="I11" s="1"/>
      <c r="J11" s="1"/>
      <c r="K11" s="1"/>
      <c r="L11" s="1"/>
      <c r="M11" s="1"/>
      <c r="N11" s="1"/>
      <c r="O11" s="1"/>
      <c r="P11" s="1"/>
      <c r="Q11" s="1"/>
      <c r="R11" s="1"/>
    </row>
    <row x14ac:dyDescent="0.25" r="12" customHeight="1" ht="15">
      <c r="A12" s="1"/>
      <c r="B12" s="1"/>
      <c r="C12" s="8" t="s">
        <v>8</v>
      </c>
      <c r="D12" s="8"/>
      <c r="E12" s="8"/>
      <c r="F12" s="9">
        <f>'Istruzioni Uso'!B69</f>
      </c>
      <c r="G12" s="2"/>
      <c r="H12" s="1"/>
      <c r="I12" s="1"/>
      <c r="J12" s="1"/>
      <c r="K12" s="1"/>
      <c r="L12" s="1"/>
      <c r="M12" s="1"/>
      <c r="N12" s="1"/>
      <c r="O12" s="1"/>
      <c r="P12" s="1"/>
      <c r="Q12" s="1"/>
      <c r="R12" s="1"/>
    </row>
    <row x14ac:dyDescent="0.25" r="13" customHeight="1" ht="15">
      <c r="A13" s="1"/>
      <c r="B13" s="1"/>
      <c r="C13" s="6" t="s">
        <v>9</v>
      </c>
      <c r="D13" s="6"/>
      <c r="E13" s="6"/>
      <c r="F13" s="10">
        <f>'Istruzioni Uso'!B67</f>
      </c>
      <c r="G13" s="2"/>
      <c r="H13" s="1"/>
      <c r="I13" s="1"/>
      <c r="J13" s="1"/>
      <c r="K13" s="1"/>
      <c r="L13" s="1"/>
      <c r="M13" s="1"/>
      <c r="N13" s="1"/>
      <c r="O13" s="1"/>
      <c r="P13" s="1"/>
      <c r="Q13" s="1"/>
      <c r="R13" s="1"/>
    </row>
    <row x14ac:dyDescent="0.25" r="14" customHeight="1" ht="15">
      <c r="A14" s="1"/>
      <c r="B14" s="1"/>
      <c r="C14" s="8" t="s">
        <v>10</v>
      </c>
      <c r="D14" s="8"/>
      <c r="E14" s="8"/>
      <c r="F14" s="9">
        <f>'Istruzioni Uso'!B68</f>
      </c>
      <c r="G14" s="2"/>
      <c r="H14" s="1"/>
      <c r="I14" s="1"/>
      <c r="J14" s="1"/>
      <c r="K14" s="1"/>
      <c r="L14" s="1"/>
      <c r="M14" s="1"/>
      <c r="N14" s="1"/>
      <c r="O14" s="1"/>
      <c r="P14" s="1"/>
      <c r="Q14" s="1"/>
      <c r="R14" s="1"/>
    </row>
    <row x14ac:dyDescent="0.25" r="15" customHeight="1" ht="15">
      <c r="A15" s="1"/>
      <c r="B15" s="1"/>
      <c r="C15" s="6" t="s">
        <v>11</v>
      </c>
      <c r="D15" s="6"/>
      <c r="E15" s="6"/>
      <c r="F15" s="10">
        <f>'Istruzioni Uso'!B70</f>
      </c>
      <c r="G15" s="2"/>
      <c r="H15" s="1"/>
      <c r="I15" s="1"/>
      <c r="J15" s="1"/>
      <c r="K15" s="1"/>
      <c r="L15" s="1"/>
      <c r="M15" s="1"/>
      <c r="N15" s="1"/>
      <c r="O15" s="1"/>
      <c r="P15" s="1"/>
      <c r="Q15" s="1"/>
      <c r="R15" s="1"/>
    </row>
    <row x14ac:dyDescent="0.25" r="16" customHeight="1" ht="15">
      <c r="A16" s="1"/>
      <c r="B16" s="1"/>
      <c r="C16" s="8" t="s">
        <v>12</v>
      </c>
      <c r="D16" s="8"/>
      <c r="E16" s="8"/>
      <c r="F16" s="9">
        <f>'Istruzioni Uso'!$B$66</f>
      </c>
      <c r="G16" s="2"/>
      <c r="H16" s="1"/>
      <c r="I16" s="1"/>
      <c r="J16" s="1"/>
      <c r="K16" s="1"/>
      <c r="L16" s="1"/>
      <c r="M16" s="1"/>
      <c r="N16" s="1"/>
      <c r="O16" s="1"/>
      <c r="P16" s="1"/>
      <c r="Q16" s="1"/>
      <c r="R16" s="1"/>
    </row>
    <row x14ac:dyDescent="0.25" r="17" customHeight="1" ht="15">
      <c r="A17" s="1"/>
      <c r="B17" s="1"/>
      <c r="C17" s="11"/>
      <c r="D17" s="11"/>
      <c r="E17" s="11"/>
      <c r="F17" s="1"/>
      <c r="G17" s="2"/>
      <c r="H17" s="1"/>
      <c r="I17" s="1"/>
      <c r="J17" s="1"/>
      <c r="K17" s="1"/>
      <c r="L17" s="1"/>
      <c r="M17" s="1"/>
      <c r="N17" s="1"/>
      <c r="O17" s="1"/>
      <c r="P17" s="12" t="s">
        <v>13</v>
      </c>
      <c r="Q17" s="13"/>
      <c r="R17" s="14"/>
    </row>
    <row x14ac:dyDescent="0.25" r="18" customHeight="1" ht="15">
      <c r="A18" s="1"/>
      <c r="B18" s="1"/>
      <c r="C18" s="15" t="s">
        <v>14</v>
      </c>
      <c r="D18" s="1"/>
      <c r="E18" s="1"/>
      <c r="F18" s="1"/>
      <c r="G18" s="2"/>
      <c r="H18" s="1"/>
      <c r="I18" s="1"/>
      <c r="J18" s="1"/>
      <c r="K18" s="1"/>
      <c r="L18" s="1"/>
      <c r="M18" s="1"/>
      <c r="N18" s="1"/>
      <c r="O18" s="1"/>
      <c r="P18" s="16"/>
      <c r="Q18" s="1"/>
      <c r="R18" s="17"/>
    </row>
    <row x14ac:dyDescent="0.25" r="19" customHeight="1" ht="12">
      <c r="A19" s="1"/>
      <c r="B19" s="1"/>
      <c r="C19" s="1"/>
      <c r="D19" s="1"/>
      <c r="E19" s="1"/>
      <c r="F19" s="1"/>
      <c r="G19" s="2"/>
      <c r="H19" s="1"/>
      <c r="I19" s="1"/>
      <c r="J19" s="1"/>
      <c r="K19" s="1"/>
      <c r="L19" s="1"/>
      <c r="M19" s="1"/>
      <c r="N19" s="1"/>
      <c r="O19" s="1"/>
      <c r="P19" s="16"/>
      <c r="Q19" s="1"/>
      <c r="R19" s="17"/>
    </row>
    <row x14ac:dyDescent="0.25" r="20" customHeight="1" ht="18.75">
      <c r="A20" s="1"/>
      <c r="B20" s="1"/>
      <c r="C20" s="1" t="s">
        <v>15</v>
      </c>
      <c r="D20" s="1"/>
      <c r="E20" s="1"/>
      <c r="F20" s="1"/>
      <c r="G20" s="2"/>
      <c r="H20" s="1"/>
      <c r="I20" s="1"/>
      <c r="J20" s="1"/>
      <c r="K20" s="1"/>
      <c r="L20" s="6"/>
      <c r="M20" s="6"/>
      <c r="N20" s="1"/>
      <c r="O20" s="1"/>
      <c r="P20" s="16"/>
      <c r="Q20" s="1"/>
      <c r="R20" s="17"/>
    </row>
    <row x14ac:dyDescent="0.25" r="21" customHeight="1" ht="18.75">
      <c r="A21" s="1"/>
      <c r="B21" s="1"/>
      <c r="C21" s="1"/>
      <c r="D21" s="1"/>
      <c r="E21" s="6" t="s">
        <v>16</v>
      </c>
      <c r="F21" s="11"/>
      <c r="G21" s="18"/>
      <c r="H21" s="11"/>
      <c r="I21" s="11"/>
      <c r="J21" s="11"/>
      <c r="K21" s="10">
        <f>CONCATENATE(ROUND('Check Q1 vs Q3 '!$P$13,2),"  ",EUnits,"/V")</f>
      </c>
      <c r="L21" s="1"/>
      <c r="M21" s="1"/>
      <c r="N21" s="1"/>
      <c r="O21" s="1"/>
      <c r="P21" s="19">
        <f>CONCATENATE(ROUND('Check Q1 vs Q3 '!$I$4,3)," ",UUT_EUnits)</f>
      </c>
      <c r="Q21" s="1"/>
      <c r="R21" s="17"/>
    </row>
    <row x14ac:dyDescent="0.25" r="22" customHeight="1" ht="18.75">
      <c r="A22" s="1"/>
      <c r="B22" s="1"/>
      <c r="C22" s="1"/>
      <c r="D22" s="1"/>
      <c r="E22" s="6" t="s">
        <v>17</v>
      </c>
      <c r="F22" s="11"/>
      <c r="G22" s="18"/>
      <c r="H22" s="11"/>
      <c r="I22" s="11"/>
      <c r="J22" s="11"/>
      <c r="K22" s="10">
        <f>CONCATENATE(ROUND('Check Q1 vs Q3 '!$Q$14,4),"  V")</f>
      </c>
      <c r="L22" s="1"/>
      <c r="M22" s="1"/>
      <c r="N22" s="1"/>
      <c r="O22" s="1"/>
      <c r="P22" s="20">
        <f>CONCATENATE(ROUND('Check Q1 vs Q3 '!$H$4,2)," ",EUnits,"/",UUT_EUnits)</f>
      </c>
      <c r="Q22" s="21"/>
      <c r="R22" s="22"/>
    </row>
    <row x14ac:dyDescent="0.25" r="23" customHeight="1" ht="17.25">
      <c r="A23" s="1"/>
      <c r="B23" s="1"/>
      <c r="C23" s="1"/>
      <c r="D23" s="1"/>
      <c r="E23" s="1"/>
      <c r="F23" s="1"/>
      <c r="G23" s="2"/>
      <c r="H23" s="1"/>
      <c r="I23" s="1"/>
      <c r="J23" s="1"/>
      <c r="K23" s="1"/>
      <c r="L23" s="6"/>
      <c r="M23" s="6"/>
      <c r="N23" s="1"/>
      <c r="O23" s="1"/>
      <c r="P23" s="1"/>
      <c r="Q23" s="1"/>
      <c r="R23" s="1"/>
    </row>
    <row x14ac:dyDescent="0.25" r="24" customHeight="1" ht="17.25">
      <c r="A24" s="1"/>
      <c r="B24" s="1"/>
      <c r="C24" s="1"/>
      <c r="D24" s="1"/>
      <c r="E24" s="1"/>
      <c r="F24" s="1"/>
      <c r="G24" s="2"/>
      <c r="H24" s="1"/>
      <c r="I24" s="1"/>
      <c r="J24" s="1"/>
      <c r="K24" s="1"/>
      <c r="L24" s="6"/>
      <c r="M24" s="6"/>
      <c r="N24" s="1"/>
      <c r="O24" s="1"/>
      <c r="P24" s="1"/>
      <c r="Q24" s="1"/>
      <c r="R24" s="1"/>
    </row>
    <row x14ac:dyDescent="0.25" r="25" customHeight="1" ht="17.25">
      <c r="A25" s="1"/>
      <c r="B25" s="1"/>
      <c r="C25" s="1"/>
      <c r="D25" s="1"/>
      <c r="E25" s="1"/>
      <c r="F25" s="1"/>
      <c r="G25" s="2"/>
      <c r="H25" s="1"/>
      <c r="I25" s="1"/>
      <c r="J25" s="1"/>
      <c r="K25" s="1"/>
      <c r="L25" s="6"/>
      <c r="M25" s="6"/>
      <c r="N25" s="1"/>
      <c r="O25" s="1"/>
      <c r="P25" s="1"/>
      <c r="Q25" s="1"/>
      <c r="R25" s="1"/>
    </row>
    <row x14ac:dyDescent="0.25" r="26" customHeight="1" ht="13.5">
      <c r="A26" s="1"/>
      <c r="B26" s="1"/>
      <c r="C26" s="1"/>
      <c r="D26" s="23"/>
      <c r="E26" s="24"/>
      <c r="F26" s="24"/>
      <c r="G26" s="24"/>
      <c r="H26" s="24"/>
      <c r="I26" s="24"/>
      <c r="J26" s="25"/>
      <c r="K26" s="23"/>
      <c r="L26" s="23"/>
      <c r="M26" s="1"/>
      <c r="N26" s="1"/>
      <c r="O26" s="1"/>
      <c r="P26" s="1"/>
      <c r="Q26" s="1"/>
      <c r="R26" s="1"/>
    </row>
    <row x14ac:dyDescent="0.25" r="27" customHeight="1" ht="18.75">
      <c r="A27" s="1"/>
      <c r="B27" s="1"/>
      <c r="C27" s="11" t="s">
        <v>18</v>
      </c>
      <c r="D27" s="11"/>
      <c r="E27" s="1"/>
      <c r="F27" s="1"/>
      <c r="G27" s="2"/>
      <c r="H27" s="1"/>
      <c r="I27" s="1"/>
      <c r="J27" s="1"/>
      <c r="K27" s="10">
        <f>'Istruzioni Uso'!$B$72</f>
      </c>
      <c r="L27" s="1"/>
      <c r="M27" s="1"/>
      <c r="N27" s="1"/>
      <c r="O27" s="1"/>
      <c r="P27" s="1"/>
      <c r="Q27" s="1"/>
      <c r="R27" s="1"/>
    </row>
    <row x14ac:dyDescent="0.25" r="28" customHeight="1" ht="12">
      <c r="A28" s="1"/>
      <c r="B28" s="1"/>
      <c r="C28" s="11"/>
      <c r="D28" s="11"/>
      <c r="E28" s="1"/>
      <c r="F28" s="1"/>
      <c r="G28" s="2"/>
      <c r="H28" s="1"/>
      <c r="I28" s="1"/>
      <c r="J28" s="1"/>
      <c r="K28" s="26"/>
      <c r="L28" s="26"/>
      <c r="M28" s="26"/>
      <c r="N28" s="1"/>
      <c r="O28" s="1"/>
      <c r="P28" s="1"/>
      <c r="Q28" s="1"/>
      <c r="R28" s="1"/>
    </row>
    <row x14ac:dyDescent="0.25" r="29" customHeight="1" ht="12">
      <c r="A29" s="1"/>
      <c r="B29" s="1"/>
      <c r="C29" s="11"/>
      <c r="D29" s="11"/>
      <c r="E29" s="1"/>
      <c r="F29" s="1"/>
      <c r="G29" s="2"/>
      <c r="H29" s="1"/>
      <c r="I29" s="1"/>
      <c r="J29" s="1"/>
      <c r="K29" s="26"/>
      <c r="L29" s="26"/>
      <c r="M29" s="26"/>
      <c r="N29" s="1"/>
      <c r="O29" s="1"/>
      <c r="P29" s="1"/>
      <c r="Q29" s="1"/>
      <c r="R29" s="1"/>
    </row>
    <row x14ac:dyDescent="0.25" r="30" customHeight="1" ht="16.2">
      <c r="A30" s="1"/>
      <c r="B30" s="1"/>
      <c r="C30" s="1" t="s">
        <v>19</v>
      </c>
      <c r="D30" s="11"/>
      <c r="E30" s="1"/>
      <c r="F30" s="1"/>
      <c r="G30" s="2"/>
      <c r="H30" s="1"/>
      <c r="I30" s="1"/>
      <c r="J30" s="1"/>
      <c r="K30" s="26"/>
      <c r="L30" s="26"/>
      <c r="M30" s="26"/>
      <c r="N30" s="1"/>
      <c r="O30" s="1"/>
      <c r="P30" s="1"/>
      <c r="Q30" s="1"/>
      <c r="R30" s="1"/>
    </row>
    <row x14ac:dyDescent="0.25" r="31" customHeight="1" ht="12">
      <c r="A31" s="1"/>
      <c r="B31" s="1"/>
      <c r="C31" s="11"/>
      <c r="D31" s="11"/>
      <c r="E31" s="1"/>
      <c r="F31" s="1"/>
      <c r="G31" s="2"/>
      <c r="H31" s="1"/>
      <c r="I31" s="1"/>
      <c r="J31" s="1"/>
      <c r="K31" s="26"/>
      <c r="L31" s="26"/>
      <c r="M31" s="26"/>
      <c r="N31" s="1"/>
      <c r="O31" s="1"/>
      <c r="P31" s="1"/>
      <c r="Q31" s="1"/>
      <c r="R31" s="1"/>
    </row>
    <row x14ac:dyDescent="0.25" r="32" customHeight="1" ht="18.75">
      <c r="A32" s="1"/>
      <c r="B32" s="1"/>
      <c r="C32" s="11"/>
      <c r="D32" s="1"/>
      <c r="E32" s="27" t="s">
        <v>20</v>
      </c>
      <c r="F32" s="28"/>
      <c r="G32" s="29">
        <f>'1&amp;#176;Q - Positivo'!E194</f>
      </c>
      <c r="H32" s="29">
        <f>'1&amp;#176;Q - Positivo'!F194</f>
      </c>
      <c r="I32" s="29">
        <f>'1&amp;#176;Q - Positivo'!G194</f>
      </c>
      <c r="J32" s="29">
        <f>'1&amp;#176;Q - Positivo'!H194</f>
      </c>
      <c r="K32" s="30">
        <f>'1&amp;#176;Q - Positivo'!I194</f>
      </c>
      <c r="L32" s="26"/>
      <c r="M32" s="26"/>
      <c r="N32" s="1"/>
      <c r="O32" s="1"/>
      <c r="P32" s="1"/>
      <c r="Q32" s="1"/>
      <c r="R32" s="1"/>
    </row>
    <row x14ac:dyDescent="0.25" r="33" customHeight="1" ht="15">
      <c r="A33" s="1"/>
      <c r="B33" s="1"/>
      <c r="C33" s="11"/>
      <c r="D33" s="1"/>
      <c r="E33" s="31" t="s">
        <v>21</v>
      </c>
      <c r="F33" s="32"/>
      <c r="G33" s="33">
        <f>'1&amp;#176;Q - Positivo'!E195</f>
      </c>
      <c r="H33" s="33">
        <f>'1&amp;#176;Q - Positivo'!F195</f>
      </c>
      <c r="I33" s="33">
        <f>'1&amp;#176;Q - Positivo'!G195</f>
      </c>
      <c r="J33" s="33">
        <f>'1&amp;#176;Q - Positivo'!H195</f>
      </c>
      <c r="K33" s="34">
        <f>'1&amp;#176;Q - Positivo'!I195</f>
      </c>
      <c r="L33" s="26"/>
      <c r="M33" s="26"/>
      <c r="N33" s="1"/>
      <c r="O33" s="1"/>
      <c r="P33" s="1"/>
      <c r="Q33" s="1"/>
      <c r="R33" s="1"/>
    </row>
    <row x14ac:dyDescent="0.25" r="34" customHeight="1" ht="12">
      <c r="A34" s="1"/>
      <c r="B34" s="1"/>
      <c r="C34" s="11"/>
      <c r="D34" s="11"/>
      <c r="E34" s="1"/>
      <c r="F34" s="1"/>
      <c r="G34" s="2"/>
      <c r="H34" s="1"/>
      <c r="I34" s="1"/>
      <c r="J34" s="1"/>
      <c r="K34" s="26"/>
      <c r="L34" s="26"/>
      <c r="M34" s="26"/>
      <c r="N34" s="1"/>
      <c r="O34" s="1"/>
      <c r="P34" s="1"/>
      <c r="Q34" s="1"/>
      <c r="R34" s="1"/>
    </row>
    <row x14ac:dyDescent="0.25" r="35" customHeight="1" ht="12">
      <c r="A35" s="1"/>
      <c r="B35" s="1"/>
      <c r="C35" s="11"/>
      <c r="D35" s="11"/>
      <c r="E35" s="1"/>
      <c r="F35" s="1"/>
      <c r="G35" s="2"/>
      <c r="H35" s="1"/>
      <c r="I35" s="1"/>
      <c r="J35" s="1"/>
      <c r="K35" s="26"/>
      <c r="L35" s="26"/>
      <c r="M35" s="26"/>
      <c r="N35" s="1"/>
      <c r="O35" s="1"/>
      <c r="P35" s="1"/>
      <c r="Q35" s="1"/>
      <c r="R35" s="1"/>
    </row>
    <row x14ac:dyDescent="0.25" r="36" customHeight="1" ht="16.2">
      <c r="A36" s="1"/>
      <c r="B36" s="1"/>
      <c r="C36" s="1" t="s">
        <v>22</v>
      </c>
      <c r="D36" s="11"/>
      <c r="E36" s="1"/>
      <c r="F36" s="1"/>
      <c r="G36" s="2"/>
      <c r="H36" s="1"/>
      <c r="I36" s="1"/>
      <c r="J36" s="1"/>
      <c r="K36" s="26"/>
      <c r="L36" s="26"/>
      <c r="M36" s="26"/>
      <c r="N36" s="1"/>
      <c r="O36" s="1"/>
      <c r="P36" s="1"/>
      <c r="Q36" s="1"/>
      <c r="R36" s="1"/>
    </row>
    <row x14ac:dyDescent="0.25" r="37" customHeight="1" ht="12">
      <c r="A37" s="1"/>
      <c r="B37" s="1"/>
      <c r="C37" s="11"/>
      <c r="D37" s="11"/>
      <c r="E37" s="1"/>
      <c r="F37" s="1"/>
      <c r="G37" s="2"/>
      <c r="H37" s="1"/>
      <c r="I37" s="1"/>
      <c r="J37" s="1"/>
      <c r="K37" s="26"/>
      <c r="L37" s="26"/>
      <c r="M37" s="26"/>
      <c r="N37" s="1"/>
      <c r="O37" s="1"/>
      <c r="P37" s="1"/>
      <c r="Q37" s="1"/>
      <c r="R37" s="1"/>
    </row>
    <row x14ac:dyDescent="0.25" r="38" customHeight="1" ht="18.75">
      <c r="A38" s="1"/>
      <c r="B38" s="1"/>
      <c r="C38" s="11"/>
      <c r="D38" s="1"/>
      <c r="E38" s="35" t="s">
        <v>20</v>
      </c>
      <c r="F38" s="28"/>
      <c r="G38" s="36">
        <f>'3&amp;#176;Q - Negativo'!E194</f>
      </c>
      <c r="H38" s="29">
        <f>'3&amp;#176;Q - Negativo'!F194</f>
      </c>
      <c r="I38" s="29">
        <f>'3&amp;#176;Q - Negativo'!G194</f>
      </c>
      <c r="J38" s="29">
        <f>'3&amp;#176;Q - Negativo'!H194</f>
      </c>
      <c r="K38" s="30">
        <f>'3&amp;#176;Q - Negativo'!I194</f>
      </c>
      <c r="L38" s="26"/>
      <c r="M38" s="26"/>
      <c r="N38" s="1"/>
      <c r="O38" s="1"/>
      <c r="P38" s="1"/>
      <c r="Q38" s="1"/>
      <c r="R38" s="1"/>
    </row>
    <row x14ac:dyDescent="0.25" r="39" customHeight="1" ht="15">
      <c r="A39" s="1"/>
      <c r="B39" s="1"/>
      <c r="C39" s="11"/>
      <c r="D39" s="1"/>
      <c r="E39" s="37" t="s">
        <v>21</v>
      </c>
      <c r="F39" s="32"/>
      <c r="G39" s="38">
        <f>'3&amp;#176;Q - Negativo'!E195</f>
      </c>
      <c r="H39" s="33">
        <f>'3&amp;#176;Q - Negativo'!F195</f>
      </c>
      <c r="I39" s="33">
        <f>'3&amp;#176;Q - Negativo'!G195</f>
      </c>
      <c r="J39" s="33">
        <f>'3&amp;#176;Q - Negativo'!H195</f>
      </c>
      <c r="K39" s="34">
        <f>'3&amp;#176;Q - Negativo'!I195</f>
      </c>
      <c r="L39" s="26"/>
      <c r="M39" s="26"/>
      <c r="N39" s="1"/>
      <c r="O39" s="1"/>
      <c r="P39" s="1"/>
      <c r="Q39" s="1"/>
      <c r="R39" s="1"/>
    </row>
    <row x14ac:dyDescent="0.25" r="40" customHeight="1" ht="12">
      <c r="A40" s="1"/>
      <c r="B40" s="1"/>
      <c r="C40" s="11"/>
      <c r="D40" s="11"/>
      <c r="E40" s="1"/>
      <c r="F40" s="1"/>
      <c r="G40" s="2"/>
      <c r="H40" s="1"/>
      <c r="I40" s="1"/>
      <c r="J40" s="1"/>
      <c r="K40" s="26"/>
      <c r="L40" s="26"/>
      <c r="M40" s="26"/>
      <c r="N40" s="1"/>
      <c r="O40" s="1"/>
      <c r="P40" s="1"/>
      <c r="Q40" s="1"/>
      <c r="R40" s="1"/>
    </row>
    <row x14ac:dyDescent="0.25" r="41" customHeight="1" ht="12">
      <c r="A41" s="1"/>
      <c r="B41" s="1"/>
      <c r="C41" s="11"/>
      <c r="D41" s="11"/>
      <c r="E41" s="1"/>
      <c r="F41" s="1"/>
      <c r="G41" s="2"/>
      <c r="H41" s="1"/>
      <c r="I41" s="1"/>
      <c r="J41" s="1"/>
      <c r="K41" s="26"/>
      <c r="L41" s="26"/>
      <c r="M41" s="26"/>
      <c r="N41" s="1"/>
      <c r="O41" s="1"/>
      <c r="P41" s="1"/>
      <c r="Q41" s="1"/>
      <c r="R41" s="1"/>
    </row>
    <row x14ac:dyDescent="0.25" r="42" customHeight="1" ht="12">
      <c r="A42" s="1"/>
      <c r="B42" s="1"/>
      <c r="C42" s="11"/>
      <c r="D42" s="11"/>
      <c r="E42" s="1"/>
      <c r="F42" s="1"/>
      <c r="G42" s="2"/>
      <c r="H42" s="1"/>
      <c r="I42" s="1"/>
      <c r="J42" s="1"/>
      <c r="K42" s="26"/>
      <c r="L42" s="26"/>
      <c r="M42" s="26"/>
      <c r="N42" s="1"/>
      <c r="O42" s="1"/>
      <c r="P42" s="1"/>
      <c r="Q42" s="1"/>
      <c r="R42" s="1"/>
    </row>
    <row x14ac:dyDescent="0.25" r="43" customHeight="1" ht="12">
      <c r="A43" s="1"/>
      <c r="B43" s="1"/>
      <c r="C43" s="11"/>
      <c r="D43" s="11"/>
      <c r="E43" s="1"/>
      <c r="F43" s="1"/>
      <c r="G43" s="2"/>
      <c r="H43" s="1"/>
      <c r="I43" s="1"/>
      <c r="J43" s="1"/>
      <c r="K43" s="26"/>
      <c r="L43" s="26"/>
      <c r="M43" s="26"/>
      <c r="N43" s="1"/>
      <c r="O43" s="1"/>
      <c r="P43" s="1"/>
      <c r="Q43" s="1"/>
      <c r="R43" s="1"/>
    </row>
    <row x14ac:dyDescent="0.25" r="44" customHeight="1" ht="12">
      <c r="A44" s="1"/>
      <c r="B44" s="1"/>
      <c r="C44" s="11"/>
      <c r="D44" s="11"/>
      <c r="E44" s="1"/>
      <c r="F44" s="1"/>
      <c r="G44" s="2"/>
      <c r="H44" s="1"/>
      <c r="I44" s="1"/>
      <c r="J44" s="1"/>
      <c r="K44" s="26"/>
      <c r="L44" s="26"/>
      <c r="M44" s="26"/>
      <c r="N44" s="1"/>
      <c r="O44" s="1"/>
      <c r="P44" s="1"/>
      <c r="Q44" s="1"/>
      <c r="R44" s="1"/>
    </row>
    <row x14ac:dyDescent="0.25" r="45" customHeight="1" ht="12">
      <c r="A45" s="1"/>
      <c r="B45" s="1"/>
      <c r="C45" s="11"/>
      <c r="D45" s="11"/>
      <c r="E45" s="1"/>
      <c r="F45" s="1"/>
      <c r="G45" s="2"/>
      <c r="H45" s="1"/>
      <c r="I45" s="1"/>
      <c r="J45" s="1"/>
      <c r="K45" s="26"/>
      <c r="L45" s="26"/>
      <c r="M45" s="26"/>
      <c r="N45" s="1"/>
      <c r="O45" s="1"/>
      <c r="P45" s="1"/>
      <c r="Q45" s="1"/>
      <c r="R45" s="1"/>
    </row>
    <row x14ac:dyDescent="0.25" r="46" customHeight="1" ht="12">
      <c r="A46" s="1"/>
      <c r="B46" s="1"/>
      <c r="C46" s="11"/>
      <c r="D46" s="11"/>
      <c r="E46" s="1"/>
      <c r="F46" s="1"/>
      <c r="G46" s="2"/>
      <c r="H46" s="1"/>
      <c r="I46" s="1"/>
      <c r="J46" s="1"/>
      <c r="K46" s="26"/>
      <c r="L46" s="26"/>
      <c r="M46" s="26"/>
      <c r="N46" s="1"/>
      <c r="O46" s="1"/>
      <c r="P46" s="1"/>
      <c r="Q46" s="1"/>
      <c r="R46" s="1"/>
    </row>
    <row x14ac:dyDescent="0.25" r="47" customHeight="1" ht="12">
      <c r="A47" s="1"/>
      <c r="B47" s="1"/>
      <c r="C47" s="11"/>
      <c r="D47" s="11"/>
      <c r="E47" s="1"/>
      <c r="F47" s="1"/>
      <c r="G47" s="2"/>
      <c r="H47" s="1"/>
      <c r="I47" s="1"/>
      <c r="J47" s="1"/>
      <c r="K47" s="26"/>
      <c r="L47" s="26"/>
      <c r="M47" s="26"/>
      <c r="N47" s="1"/>
      <c r="O47" s="1"/>
      <c r="P47" s="1"/>
      <c r="Q47" s="1"/>
      <c r="R47" s="1"/>
    </row>
    <row x14ac:dyDescent="0.25" r="48" customHeight="1" ht="12">
      <c r="A48" s="1"/>
      <c r="B48" s="1"/>
      <c r="C48" s="11"/>
      <c r="D48" s="11"/>
      <c r="E48" s="1"/>
      <c r="F48" s="1"/>
      <c r="G48" s="2"/>
      <c r="H48" s="1"/>
      <c r="I48" s="1"/>
      <c r="J48" s="1"/>
      <c r="K48" s="26"/>
      <c r="L48" s="26"/>
      <c r="M48" s="26"/>
      <c r="N48" s="1"/>
      <c r="O48" s="1"/>
      <c r="P48" s="1"/>
      <c r="Q48" s="1"/>
      <c r="R48" s="1"/>
    </row>
    <row x14ac:dyDescent="0.25" r="49" customHeight="1" ht="12">
      <c r="A49" s="1"/>
      <c r="B49" s="1"/>
      <c r="C49" s="11"/>
      <c r="D49" s="11"/>
      <c r="E49" s="1"/>
      <c r="F49" s="1"/>
      <c r="G49" s="2"/>
      <c r="H49" s="1"/>
      <c r="I49" s="1"/>
      <c r="J49" s="1"/>
      <c r="K49" s="26"/>
      <c r="L49" s="26"/>
      <c r="M49" s="26"/>
      <c r="N49" s="1"/>
      <c r="O49" s="1"/>
      <c r="P49" s="1"/>
      <c r="Q49" s="1"/>
      <c r="R49" s="1"/>
    </row>
    <row x14ac:dyDescent="0.25" r="50" customHeight="1" ht="12">
      <c r="A50" s="1"/>
      <c r="B50" s="1"/>
      <c r="C50" s="11"/>
      <c r="D50" s="11"/>
      <c r="E50" s="1"/>
      <c r="F50" s="1"/>
      <c r="G50" s="2"/>
      <c r="H50" s="1"/>
      <c r="I50" s="1"/>
      <c r="J50" s="1"/>
      <c r="K50" s="26"/>
      <c r="L50" s="26"/>
      <c r="M50" s="26"/>
      <c r="N50" s="1"/>
      <c r="O50" s="1"/>
      <c r="P50" s="1"/>
      <c r="Q50" s="1"/>
      <c r="R50" s="1"/>
    </row>
    <row x14ac:dyDescent="0.25" r="51" customHeight="1" ht="12">
      <c r="A51" s="1"/>
      <c r="B51" s="1"/>
      <c r="C51" s="11"/>
      <c r="D51" s="11"/>
      <c r="E51" s="1"/>
      <c r="F51" s="1"/>
      <c r="G51" s="2"/>
      <c r="H51" s="1"/>
      <c r="I51" s="1"/>
      <c r="J51" s="1"/>
      <c r="K51" s="26"/>
      <c r="L51" s="26"/>
      <c r="M51" s="26"/>
      <c r="N51" s="1"/>
      <c r="O51" s="1"/>
      <c r="P51" s="1"/>
      <c r="Q51" s="1"/>
      <c r="R51" s="1"/>
    </row>
    <row x14ac:dyDescent="0.25" r="52" customHeight="1" ht="12">
      <c r="A52" s="1"/>
      <c r="B52" s="1"/>
      <c r="C52" s="11"/>
      <c r="D52" s="11"/>
      <c r="E52" s="1"/>
      <c r="F52" s="1"/>
      <c r="G52" s="2"/>
      <c r="H52" s="1"/>
      <c r="I52" s="1"/>
      <c r="J52" s="1"/>
      <c r="K52" s="26"/>
      <c r="L52" s="26"/>
      <c r="M52" s="26"/>
      <c r="N52" s="1"/>
      <c r="O52" s="1"/>
      <c r="P52" s="1"/>
      <c r="Q52" s="1"/>
      <c r="R52" s="1"/>
    </row>
    <row x14ac:dyDescent="0.25" r="53" customHeight="1" ht="14.25">
      <c r="A53" s="1"/>
      <c r="B53" s="1"/>
      <c r="C53" s="11"/>
      <c r="D53" s="11"/>
      <c r="E53" s="1"/>
      <c r="F53" s="1"/>
      <c r="G53" s="2"/>
      <c r="H53" s="1"/>
      <c r="I53" s="1"/>
      <c r="J53" s="1"/>
      <c r="K53" s="26"/>
      <c r="L53" s="26"/>
      <c r="M53" s="26"/>
      <c r="N53" s="1"/>
      <c r="O53" s="1"/>
      <c r="P53" s="1"/>
      <c r="Q53" s="1"/>
      <c r="R53" s="1"/>
    </row>
    <row x14ac:dyDescent="0.25" r="54" customHeight="1" ht="12">
      <c r="A54" s="1"/>
      <c r="B54" s="1"/>
      <c r="C54" s="11"/>
      <c r="D54" s="11"/>
      <c r="E54" s="1"/>
      <c r="F54" s="1"/>
      <c r="G54" s="2"/>
      <c r="H54" s="1"/>
      <c r="I54" s="1"/>
      <c r="J54" s="1"/>
      <c r="K54" s="26"/>
      <c r="L54" s="26"/>
      <c r="M54" s="26"/>
      <c r="N54" s="1"/>
      <c r="O54" s="1"/>
      <c r="P54" s="1"/>
      <c r="Q54" s="1"/>
      <c r="R54" s="1"/>
    </row>
    <row x14ac:dyDescent="0.25" r="55" customHeight="1" ht="12">
      <c r="A55" s="1"/>
      <c r="B55" s="1"/>
      <c r="C55" s="11"/>
      <c r="D55" s="11"/>
      <c r="E55" s="1"/>
      <c r="F55" s="1"/>
      <c r="G55" s="2"/>
      <c r="H55" s="1"/>
      <c r="I55" s="1"/>
      <c r="J55" s="1"/>
      <c r="K55" s="26"/>
      <c r="L55" s="26"/>
      <c r="M55" s="26"/>
      <c r="N55" s="1"/>
      <c r="O55" s="1"/>
      <c r="P55" s="1"/>
      <c r="Q55" s="1"/>
      <c r="R55" s="1"/>
    </row>
    <row x14ac:dyDescent="0.25" r="56" customHeight="1" ht="11.25">
      <c r="A56" s="1"/>
      <c r="B56" s="1"/>
      <c r="C56" s="1"/>
      <c r="D56" s="1"/>
      <c r="E56" s="1"/>
      <c r="F56" s="1"/>
      <c r="G56" s="2"/>
      <c r="H56" s="1"/>
      <c r="I56" s="1"/>
      <c r="J56" s="1"/>
      <c r="K56" s="1"/>
      <c r="L56" s="1"/>
      <c r="M56" s="3" t="s">
        <v>0</v>
      </c>
      <c r="N56" s="1"/>
      <c r="O56" s="1"/>
      <c r="P56" s="1"/>
      <c r="Q56" s="1"/>
      <c r="R56" s="1"/>
    </row>
    <row x14ac:dyDescent="0.25" r="57" customHeight="1" ht="11.25">
      <c r="A57" s="1"/>
      <c r="B57" s="1"/>
      <c r="C57" s="1"/>
      <c r="D57" s="1"/>
      <c r="E57" s="1"/>
      <c r="F57" s="1"/>
      <c r="G57" s="2"/>
      <c r="H57" s="1"/>
      <c r="I57" s="1"/>
      <c r="J57" s="1"/>
      <c r="K57" s="1"/>
      <c r="L57" s="1"/>
      <c r="M57" s="3" t="s">
        <v>1</v>
      </c>
      <c r="N57" s="1"/>
      <c r="O57" s="1"/>
      <c r="P57" s="1"/>
      <c r="Q57" s="1"/>
      <c r="R57" s="1"/>
    </row>
    <row x14ac:dyDescent="0.25" r="58" customHeight="1" ht="11.25">
      <c r="A58" s="1"/>
      <c r="B58" s="1"/>
      <c r="C58" s="1"/>
      <c r="D58" s="1"/>
      <c r="E58" s="1"/>
      <c r="F58" s="1"/>
      <c r="G58" s="2"/>
      <c r="H58" s="1"/>
      <c r="I58" s="1"/>
      <c r="J58" s="1"/>
      <c r="K58" s="1"/>
      <c r="L58" s="1"/>
      <c r="M58" s="3" t="s">
        <v>2</v>
      </c>
      <c r="N58" s="1"/>
      <c r="O58" s="1"/>
      <c r="P58" s="1"/>
      <c r="Q58" s="1"/>
      <c r="R58" s="1"/>
    </row>
    <row x14ac:dyDescent="0.25" r="59" customHeight="1" ht="11.25">
      <c r="A59" s="1"/>
      <c r="B59" s="1"/>
      <c r="C59" s="1"/>
      <c r="D59" s="1"/>
      <c r="E59" s="1"/>
      <c r="F59" s="1"/>
      <c r="G59" s="2"/>
      <c r="H59" s="1"/>
      <c r="I59" s="1"/>
      <c r="J59" s="1"/>
      <c r="K59" s="1"/>
      <c r="L59" s="1"/>
      <c r="M59" s="3" t="s">
        <v>3</v>
      </c>
      <c r="N59" s="1"/>
      <c r="O59" s="1"/>
      <c r="P59" s="1"/>
      <c r="Q59" s="1"/>
      <c r="R59" s="1"/>
    </row>
    <row x14ac:dyDescent="0.25" r="60" customHeight="1" ht="11.25">
      <c r="A60" s="1"/>
      <c r="B60" s="1"/>
      <c r="C60" s="1"/>
      <c r="D60" s="1"/>
      <c r="E60" s="1"/>
      <c r="F60" s="1"/>
      <c r="G60" s="2"/>
      <c r="H60" s="1"/>
      <c r="I60" s="1"/>
      <c r="J60" s="1"/>
      <c r="K60" s="1"/>
      <c r="L60" s="1"/>
      <c r="M60" s="4" t="s">
        <v>4</v>
      </c>
      <c r="N60" s="1"/>
      <c r="O60" s="1"/>
      <c r="P60" s="1"/>
      <c r="Q60" s="1"/>
      <c r="R60" s="1"/>
    </row>
    <row x14ac:dyDescent="0.25" r="61" customHeight="1" ht="12">
      <c r="A61" s="1"/>
      <c r="B61" s="1"/>
      <c r="C61" s="1"/>
      <c r="D61" s="1"/>
      <c r="E61" s="1"/>
      <c r="F61" s="1"/>
      <c r="G61" s="2"/>
      <c r="H61" s="1"/>
      <c r="I61" s="1"/>
      <c r="J61" s="1"/>
      <c r="K61" s="1"/>
      <c r="L61" s="1"/>
      <c r="M61" s="1"/>
      <c r="N61" s="1"/>
      <c r="O61" s="1"/>
      <c r="P61" s="1"/>
      <c r="Q61" s="1"/>
      <c r="R61" s="1"/>
    </row>
    <row x14ac:dyDescent="0.25" r="62" customHeight="1" ht="12">
      <c r="A62" s="1"/>
      <c r="B62" s="1"/>
      <c r="C62" s="1"/>
      <c r="D62" s="1"/>
      <c r="E62" s="1"/>
      <c r="F62" s="1"/>
      <c r="G62" s="2"/>
      <c r="H62" s="1"/>
      <c r="I62" s="1"/>
      <c r="J62" s="1"/>
      <c r="K62" s="1"/>
      <c r="L62" s="6"/>
      <c r="M62" s="6"/>
      <c r="N62" s="1"/>
      <c r="O62" s="1"/>
      <c r="P62" s="1"/>
      <c r="Q62" s="1"/>
      <c r="R62" s="1"/>
    </row>
    <row x14ac:dyDescent="0.25" r="63" customHeight="1" ht="17.25">
      <c r="A63" s="1"/>
      <c r="B63" s="1"/>
      <c r="C63" s="15" t="s">
        <v>23</v>
      </c>
      <c r="D63" s="1"/>
      <c r="E63" s="1"/>
      <c r="F63" s="1"/>
      <c r="G63" s="2"/>
      <c r="H63" s="1"/>
      <c r="I63" s="1"/>
      <c r="J63" s="1"/>
      <c r="K63" s="1"/>
      <c r="L63" s="1"/>
      <c r="M63" s="6"/>
      <c r="N63" s="1"/>
      <c r="O63" s="1"/>
      <c r="P63" s="1"/>
      <c r="Q63" s="1"/>
      <c r="R63" s="1"/>
    </row>
    <row x14ac:dyDescent="0.25" r="64" customHeight="1" ht="12">
      <c r="A64" s="1"/>
      <c r="B64" s="1"/>
      <c r="C64" s="1"/>
      <c r="D64" s="1"/>
      <c r="E64" s="1"/>
      <c r="F64" s="1"/>
      <c r="G64" s="2"/>
      <c r="H64" s="1"/>
      <c r="I64" s="1"/>
      <c r="J64" s="1"/>
      <c r="K64" s="1"/>
      <c r="L64" s="6"/>
      <c r="M64" s="6"/>
      <c r="N64" s="1"/>
      <c r="O64" s="1"/>
      <c r="P64" s="1"/>
      <c r="Q64" s="1"/>
      <c r="R64" s="1"/>
    </row>
    <row x14ac:dyDescent="0.25" r="65" customHeight="1" ht="16.2">
      <c r="A65" s="1"/>
      <c r="B65" s="1"/>
      <c r="C65" s="1" t="s">
        <v>24</v>
      </c>
      <c r="D65" s="1"/>
      <c r="E65" s="1"/>
      <c r="F65" s="1"/>
      <c r="G65" s="2"/>
      <c r="H65" s="1"/>
      <c r="I65" s="1"/>
      <c r="J65" s="1"/>
      <c r="K65" s="1"/>
      <c r="L65" s="1"/>
      <c r="M65" s="1"/>
      <c r="N65" s="1"/>
      <c r="O65" s="1"/>
      <c r="P65" s="1"/>
      <c r="Q65" s="1"/>
      <c r="R65" s="1"/>
    </row>
    <row x14ac:dyDescent="0.25" r="66" customHeight="1" ht="9">
      <c r="A66" s="1"/>
      <c r="B66" s="1"/>
      <c r="C66" s="1"/>
      <c r="D66" s="1"/>
      <c r="E66" s="1"/>
      <c r="F66" s="1"/>
      <c r="G66" s="2"/>
      <c r="H66" s="1"/>
      <c r="I66" s="1"/>
      <c r="J66" s="1"/>
      <c r="K66" s="1"/>
      <c r="L66" s="1"/>
      <c r="M66" s="1"/>
      <c r="N66" s="1"/>
      <c r="O66" s="1"/>
      <c r="P66" s="1"/>
      <c r="Q66" s="1"/>
      <c r="R66" s="1"/>
    </row>
    <row x14ac:dyDescent="0.25" r="67" customHeight="1" ht="15">
      <c r="A67" s="1"/>
      <c r="B67" s="1"/>
      <c r="C67" s="1"/>
      <c r="D67" s="1"/>
      <c r="E67" s="1"/>
      <c r="F67" s="39" t="s">
        <v>25</v>
      </c>
      <c r="G67" s="40"/>
      <c r="H67" s="41"/>
      <c r="I67" s="41"/>
      <c r="J67" s="42"/>
      <c r="K67" s="1"/>
      <c r="L67" s="1"/>
      <c r="M67" s="1"/>
      <c r="N67" s="1"/>
      <c r="O67" s="1"/>
      <c r="P67" s="1"/>
      <c r="Q67" s="1"/>
      <c r="R67" s="1"/>
    </row>
    <row x14ac:dyDescent="0.25" r="68" customHeight="1" ht="13.5">
      <c r="A68" s="1"/>
      <c r="B68" s="1"/>
      <c r="C68" s="1"/>
      <c r="D68" s="1"/>
      <c r="E68" s="1"/>
      <c r="F68" s="43"/>
      <c r="G68" s="44" t="s">
        <v>26</v>
      </c>
      <c r="H68" s="45"/>
      <c r="I68" s="46" t="s">
        <v>27</v>
      </c>
      <c r="J68" s="47"/>
      <c r="K68" s="1"/>
      <c r="L68" s="1"/>
      <c r="M68" s="1"/>
      <c r="N68" s="1"/>
      <c r="O68" s="1"/>
      <c r="P68" s="1"/>
      <c r="Q68" s="1"/>
      <c r="R68" s="1"/>
    </row>
    <row x14ac:dyDescent="0.25" r="69" customHeight="1" ht="13.5">
      <c r="A69" s="1"/>
      <c r="B69" s="1"/>
      <c r="C69" s="1"/>
      <c r="D69" s="1"/>
      <c r="E69" s="1"/>
      <c r="F69" s="48" t="s">
        <v>28</v>
      </c>
      <c r="G69" s="49">
        <v>0</v>
      </c>
      <c r="H69" s="45"/>
      <c r="I69" s="50">
        <f>'1&amp;#176;Q - Positivo'!D145</f>
      </c>
      <c r="J69" s="47"/>
      <c r="K69" s="1"/>
      <c r="L69" s="1"/>
      <c r="M69" s="1"/>
      <c r="N69" s="1"/>
      <c r="O69" s="1"/>
      <c r="P69" s="1"/>
      <c r="Q69" s="1"/>
      <c r="R69" s="1"/>
    </row>
    <row x14ac:dyDescent="0.25" r="70" customHeight="1" ht="13.5">
      <c r="A70" s="1"/>
      <c r="B70" s="1"/>
      <c r="C70" s="1"/>
      <c r="D70" s="1"/>
      <c r="E70" s="1"/>
      <c r="F70" s="51" t="s">
        <v>29</v>
      </c>
      <c r="G70" s="52">
        <f>'1&amp;#176;Q - Positivo'!C146</f>
      </c>
      <c r="H70" s="32"/>
      <c r="I70" s="53">
        <f>'1&amp;#176;Q - Positivo'!D146</f>
      </c>
      <c r="J70" s="54"/>
      <c r="K70" s="1"/>
      <c r="L70" s="1"/>
      <c r="M70" s="1"/>
      <c r="N70" s="1"/>
      <c r="O70" s="1"/>
      <c r="P70" s="1"/>
      <c r="Q70" s="1"/>
      <c r="R70" s="1"/>
    </row>
    <row x14ac:dyDescent="0.25" r="71" customHeight="1" ht="7.5">
      <c r="A71" s="1"/>
      <c r="B71" s="1"/>
      <c r="C71" s="1"/>
      <c r="D71" s="1"/>
      <c r="E71" s="1"/>
      <c r="F71" s="1"/>
      <c r="G71" s="2"/>
      <c r="H71" s="1"/>
      <c r="I71" s="1"/>
      <c r="J71" s="1"/>
      <c r="K71" s="1"/>
      <c r="L71" s="1"/>
      <c r="M71" s="1"/>
      <c r="N71" s="1"/>
      <c r="O71" s="1"/>
      <c r="P71" s="1"/>
      <c r="Q71" s="1"/>
      <c r="R71" s="1"/>
    </row>
    <row x14ac:dyDescent="0.25" r="72" customHeight="1" ht="15">
      <c r="A72" s="1"/>
      <c r="B72" s="1"/>
      <c r="C72" s="1"/>
      <c r="D72" s="1"/>
      <c r="E72" s="1"/>
      <c r="F72" s="39" t="s">
        <v>30</v>
      </c>
      <c r="G72" s="40"/>
      <c r="H72" s="41"/>
      <c r="I72" s="41"/>
      <c r="J72" s="42"/>
      <c r="K72" s="1"/>
      <c r="L72" s="1"/>
      <c r="M72" s="1"/>
      <c r="N72" s="1"/>
      <c r="O72" s="1"/>
      <c r="P72" s="1"/>
      <c r="Q72" s="1"/>
      <c r="R72" s="1"/>
    </row>
    <row x14ac:dyDescent="0.25" r="73" customHeight="1" ht="13.5">
      <c r="A73" s="1"/>
      <c r="B73" s="1"/>
      <c r="C73" s="1"/>
      <c r="D73" s="1"/>
      <c r="E73" s="1"/>
      <c r="F73" s="43"/>
      <c r="G73" s="44" t="s">
        <v>31</v>
      </c>
      <c r="H73" s="45"/>
      <c r="I73" s="46" t="s">
        <v>32</v>
      </c>
      <c r="J73" s="47"/>
      <c r="K73" s="1"/>
      <c r="L73" s="1"/>
      <c r="M73" s="1"/>
      <c r="N73" s="1"/>
      <c r="O73" s="1"/>
      <c r="P73" s="1"/>
      <c r="Q73" s="1"/>
      <c r="R73" s="1"/>
    </row>
    <row x14ac:dyDescent="0.25" r="74" customHeight="1" ht="13.5">
      <c r="A74" s="1"/>
      <c r="B74" s="1"/>
      <c r="C74" s="1"/>
      <c r="D74" s="1"/>
      <c r="E74" s="1"/>
      <c r="F74" s="48" t="s">
        <v>28</v>
      </c>
      <c r="G74" s="49">
        <f>'1&amp;#176;Q - Positivo'!C151</f>
      </c>
      <c r="H74" s="45"/>
      <c r="I74" s="50">
        <f>'1&amp;#176;Q - Positivo'!D151</f>
      </c>
      <c r="J74" s="47"/>
      <c r="K74" s="1"/>
      <c r="L74" s="1"/>
      <c r="M74" s="1"/>
      <c r="N74" s="1"/>
      <c r="O74" s="1"/>
      <c r="P74" s="1"/>
      <c r="Q74" s="1"/>
      <c r="R74" s="1"/>
    </row>
    <row x14ac:dyDescent="0.25" r="75" customHeight="1" ht="13.5">
      <c r="A75" s="1"/>
      <c r="B75" s="1"/>
      <c r="C75" s="1"/>
      <c r="D75" s="1"/>
      <c r="E75" s="1"/>
      <c r="F75" s="51" t="s">
        <v>29</v>
      </c>
      <c r="G75" s="52">
        <f>'1&amp;#176;Q - Positivo'!C152</f>
      </c>
      <c r="H75" s="32"/>
      <c r="I75" s="53">
        <f>'1&amp;#176;Q - Positivo'!D152</f>
      </c>
      <c r="J75" s="54"/>
      <c r="K75" s="1"/>
      <c r="L75" s="1"/>
      <c r="M75" s="1"/>
      <c r="N75" s="1"/>
      <c r="O75" s="1"/>
      <c r="P75" s="1"/>
      <c r="Q75" s="1"/>
      <c r="R75" s="1"/>
    </row>
    <row x14ac:dyDescent="0.25" r="76" customHeight="1" ht="12">
      <c r="A76" s="1"/>
      <c r="B76" s="1"/>
      <c r="C76" s="1"/>
      <c r="D76" s="1"/>
      <c r="E76" s="1"/>
      <c r="F76" s="1"/>
      <c r="G76" s="55"/>
      <c r="H76" s="55"/>
      <c r="I76" s="1"/>
      <c r="J76" s="1"/>
      <c r="K76" s="1"/>
      <c r="L76" s="1"/>
      <c r="M76" s="1"/>
      <c r="N76" s="1"/>
      <c r="O76" s="1"/>
      <c r="P76" s="1"/>
      <c r="Q76" s="1"/>
      <c r="R76" s="1"/>
    </row>
    <row x14ac:dyDescent="0.25" r="77" customHeight="1" ht="16.2">
      <c r="A77" s="1"/>
      <c r="B77" s="1"/>
      <c r="C77" s="1" t="s">
        <v>33</v>
      </c>
      <c r="D77" s="1"/>
      <c r="E77" s="1"/>
      <c r="F77" s="1"/>
      <c r="G77" s="2"/>
      <c r="H77" s="1"/>
      <c r="I77" s="1"/>
      <c r="J77" s="1"/>
      <c r="K77" s="1"/>
      <c r="L77" s="1"/>
      <c r="M77" s="1"/>
      <c r="N77" s="1"/>
      <c r="O77" s="1"/>
      <c r="P77" s="1"/>
      <c r="Q77" s="1"/>
      <c r="R77" s="1"/>
    </row>
    <row x14ac:dyDescent="0.25" r="78" customHeight="1" ht="12">
      <c r="A78" s="1"/>
      <c r="B78" s="1"/>
      <c r="C78" s="1"/>
      <c r="D78" s="1"/>
      <c r="E78" s="1"/>
      <c r="F78" s="1"/>
      <c r="G78" s="2"/>
      <c r="H78" s="1"/>
      <c r="I78" s="1"/>
      <c r="J78" s="1"/>
      <c r="K78" s="1"/>
      <c r="L78" s="1"/>
      <c r="M78" s="1"/>
      <c r="N78" s="1"/>
      <c r="O78" s="1"/>
      <c r="P78" s="1"/>
      <c r="Q78" s="1"/>
      <c r="R78" s="1"/>
    </row>
    <row x14ac:dyDescent="0.25" r="79" customHeight="1" ht="15">
      <c r="A79" s="1"/>
      <c r="B79" s="1"/>
      <c r="C79" s="1"/>
      <c r="D79" s="56" t="s">
        <v>20</v>
      </c>
      <c r="E79" s="57" t="s">
        <v>34</v>
      </c>
      <c r="F79" s="57" t="s">
        <v>34</v>
      </c>
      <c r="G79" s="58" t="s">
        <v>34</v>
      </c>
      <c r="H79" s="57" t="s">
        <v>35</v>
      </c>
      <c r="I79" s="59" t="s">
        <v>35</v>
      </c>
      <c r="J79" s="60"/>
      <c r="K79" s="61" t="s">
        <v>20</v>
      </c>
      <c r="L79" s="62" t="s">
        <v>21</v>
      </c>
      <c r="M79" s="1"/>
      <c r="N79" s="1"/>
      <c r="O79" s="1"/>
      <c r="P79" s="1"/>
      <c r="Q79" s="1"/>
      <c r="R79" s="1"/>
    </row>
    <row x14ac:dyDescent="0.25" r="80" customHeight="1" ht="15">
      <c r="A80" s="1"/>
      <c r="B80" s="1"/>
      <c r="C80" s="1"/>
      <c r="D80" s="63" t="s">
        <v>36</v>
      </c>
      <c r="E80" s="64" t="s">
        <v>37</v>
      </c>
      <c r="F80" s="64" t="s">
        <v>37</v>
      </c>
      <c r="G80" s="65" t="s">
        <v>37</v>
      </c>
      <c r="H80" s="64" t="s">
        <v>37</v>
      </c>
      <c r="I80" s="66" t="s">
        <v>37</v>
      </c>
      <c r="J80" s="67"/>
      <c r="K80" s="68"/>
      <c r="L80" s="69"/>
      <c r="M80" s="1"/>
      <c r="N80" s="1"/>
      <c r="O80" s="1"/>
      <c r="P80" s="1"/>
      <c r="Q80" s="1"/>
      <c r="R80" s="1"/>
    </row>
    <row x14ac:dyDescent="0.25" r="81" customHeight="1" ht="13.5">
      <c r="A81" s="1"/>
      <c r="B81" s="1"/>
      <c r="C81" s="1"/>
      <c r="D81" s="70">
        <f>'1&amp;#176;Q - Positivo'!B157</f>
      </c>
      <c r="E81" s="71">
        <f>'1&amp;#176;Q - Positivo'!C157</f>
      </c>
      <c r="F81" s="71">
        <f>'1&amp;#176;Q - Positivo'!D157</f>
      </c>
      <c r="G81" s="71">
        <f>'1&amp;#176;Q - Positivo'!E157</f>
      </c>
      <c r="H81" s="71">
        <f>'1&amp;#176;Q - Positivo'!F157</f>
      </c>
      <c r="I81" s="72">
        <f>'1&amp;#176;Q - Positivo'!G157</f>
      </c>
      <c r="J81" s="25"/>
      <c r="K81" s="73">
        <f>'1&amp;#176;Q - Positivo'!I157</f>
      </c>
      <c r="L81" s="74">
        <f>'1&amp;#176;Q - Positivo'!J157</f>
      </c>
      <c r="M81" s="1"/>
      <c r="N81" s="1"/>
      <c r="O81" s="1"/>
      <c r="P81" s="1"/>
      <c r="Q81" s="1"/>
      <c r="R81" s="1"/>
    </row>
    <row x14ac:dyDescent="0.25" r="82" customHeight="1" ht="13.5">
      <c r="A82" s="1"/>
      <c r="B82" s="1"/>
      <c r="C82" s="1"/>
      <c r="D82" s="73">
        <f>'1&amp;#176;Q - Positivo'!B158</f>
      </c>
      <c r="E82" s="75">
        <f>'1&amp;#176;Q - Positivo'!C158</f>
      </c>
      <c r="F82" s="75">
        <f>'1&amp;#176;Q - Positivo'!D158</f>
      </c>
      <c r="G82" s="75">
        <f>'1&amp;#176;Q - Positivo'!E158</f>
      </c>
      <c r="H82" s="75">
        <f>'1&amp;#176;Q - Positivo'!F158</f>
      </c>
      <c r="I82" s="76">
        <f>'1&amp;#176;Q - Positivo'!G158</f>
      </c>
      <c r="J82" s="25"/>
      <c r="K82" s="73">
        <f>'1&amp;#176;Q - Positivo'!I158</f>
      </c>
      <c r="L82" s="74">
        <f>'1&amp;#176;Q - Positivo'!J158</f>
      </c>
      <c r="M82" s="1"/>
      <c r="N82" s="1"/>
      <c r="O82" s="1"/>
      <c r="P82" s="1"/>
      <c r="Q82" s="1"/>
      <c r="R82" s="1"/>
    </row>
    <row x14ac:dyDescent="0.25" r="83" customHeight="1" ht="13.5">
      <c r="A83" s="1"/>
      <c r="B83" s="1"/>
      <c r="C83" s="1"/>
      <c r="D83" s="73">
        <f>'1&amp;#176;Q - Positivo'!B159</f>
      </c>
      <c r="E83" s="75">
        <f>'1&amp;#176;Q - Positivo'!C159</f>
      </c>
      <c r="F83" s="75">
        <f>'1&amp;#176;Q - Positivo'!D159</f>
      </c>
      <c r="G83" s="75">
        <f>'1&amp;#176;Q - Positivo'!E159</f>
      </c>
      <c r="H83" s="75">
        <f>'1&amp;#176;Q - Positivo'!F159</f>
      </c>
      <c r="I83" s="76">
        <f>'1&amp;#176;Q - Positivo'!G159</f>
      </c>
      <c r="J83" s="25"/>
      <c r="K83" s="73">
        <f>'1&amp;#176;Q - Positivo'!I159</f>
      </c>
      <c r="L83" s="74">
        <f>'1&amp;#176;Q - Positivo'!J159</f>
      </c>
      <c r="M83" s="1"/>
      <c r="N83" s="1"/>
      <c r="O83" s="1"/>
      <c r="P83" s="1"/>
      <c r="Q83" s="1"/>
      <c r="R83" s="1"/>
    </row>
    <row x14ac:dyDescent="0.25" r="84" customHeight="1" ht="13.5">
      <c r="A84" s="1"/>
      <c r="B84" s="1"/>
      <c r="C84" s="1"/>
      <c r="D84" s="73">
        <f>'1&amp;#176;Q - Positivo'!B160</f>
      </c>
      <c r="E84" s="75">
        <f>'1&amp;#176;Q - Positivo'!C160</f>
      </c>
      <c r="F84" s="75">
        <f>'1&amp;#176;Q - Positivo'!D160</f>
      </c>
      <c r="G84" s="75">
        <f>'1&amp;#176;Q - Positivo'!E160</f>
      </c>
      <c r="H84" s="75">
        <f>'1&amp;#176;Q - Positivo'!F160</f>
      </c>
      <c r="I84" s="76">
        <f>'1&amp;#176;Q - Positivo'!G160</f>
      </c>
      <c r="J84" s="25"/>
      <c r="K84" s="73">
        <f>'1&amp;#176;Q - Positivo'!I160</f>
      </c>
      <c r="L84" s="74">
        <f>'1&amp;#176;Q - Positivo'!J160</f>
      </c>
      <c r="M84" s="1"/>
      <c r="N84" s="1"/>
      <c r="O84" s="1"/>
      <c r="P84" s="1"/>
      <c r="Q84" s="1"/>
      <c r="R84" s="1"/>
    </row>
    <row x14ac:dyDescent="0.25" r="85" customHeight="1" ht="13.5">
      <c r="A85" s="1"/>
      <c r="B85" s="1"/>
      <c r="C85" s="1"/>
      <c r="D85" s="73">
        <f>'1&amp;#176;Q - Positivo'!B161</f>
      </c>
      <c r="E85" s="75">
        <f>'1&amp;#176;Q - Positivo'!C161</f>
      </c>
      <c r="F85" s="75">
        <f>'1&amp;#176;Q - Positivo'!D161</f>
      </c>
      <c r="G85" s="75">
        <f>'1&amp;#176;Q - Positivo'!E161</f>
      </c>
      <c r="H85" s="75">
        <f>'1&amp;#176;Q - Positivo'!F161</f>
      </c>
      <c r="I85" s="76">
        <f>'1&amp;#176;Q - Positivo'!G161</f>
      </c>
      <c r="J85" s="25"/>
      <c r="K85" s="77">
        <f>'1&amp;#176;Q - Positivo'!I161</f>
      </c>
      <c r="L85" s="78">
        <f>'1&amp;#176;Q - Positivo'!J161</f>
      </c>
      <c r="M85" s="1"/>
      <c r="N85" s="1"/>
      <c r="O85" s="1"/>
      <c r="P85" s="1"/>
      <c r="Q85" s="1"/>
      <c r="R85" s="1"/>
    </row>
    <row x14ac:dyDescent="0.25" r="86" customHeight="1" ht="13.5">
      <c r="A86" s="1"/>
      <c r="B86" s="1"/>
      <c r="C86" s="1"/>
      <c r="D86" s="77">
        <f>'1&amp;#176;Q - Positivo'!B162</f>
      </c>
      <c r="E86" s="79">
        <f>'1&amp;#176;Q - Positivo'!C162</f>
      </c>
      <c r="F86" s="79">
        <f>'1&amp;#176;Q - Positivo'!D162</f>
      </c>
      <c r="G86" s="79">
        <f>'1&amp;#176;Q - Positivo'!E162</f>
      </c>
      <c r="H86" s="79">
        <f>'1&amp;#176;Q - Positivo'!F162</f>
      </c>
      <c r="I86" s="80">
        <f>'1&amp;#176;Q - Positivo'!G162</f>
      </c>
      <c r="J86" s="25"/>
      <c r="K86" s="23"/>
      <c r="L86" s="23"/>
      <c r="M86" s="1"/>
      <c r="N86" s="1"/>
      <c r="O86" s="1"/>
      <c r="P86" s="1"/>
      <c r="Q86" s="1"/>
      <c r="R86" s="1"/>
    </row>
    <row x14ac:dyDescent="0.25" r="87" customHeight="1" ht="13.5">
      <c r="A87" s="1"/>
      <c r="B87" s="1"/>
      <c r="C87" s="1"/>
      <c r="D87" s="23"/>
      <c r="E87" s="24"/>
      <c r="F87" s="24"/>
      <c r="G87" s="24"/>
      <c r="H87" s="24"/>
      <c r="I87" s="24"/>
      <c r="J87" s="25"/>
      <c r="K87" s="23"/>
      <c r="L87" s="23"/>
      <c r="M87" s="1"/>
      <c r="N87" s="1"/>
      <c r="O87" s="1"/>
      <c r="P87" s="1"/>
      <c r="Q87" s="1"/>
      <c r="R87" s="1"/>
    </row>
    <row x14ac:dyDescent="0.25" r="88" customHeight="1" ht="16.2">
      <c r="A88" s="1"/>
      <c r="B88" s="1"/>
      <c r="C88" s="1" t="s">
        <v>38</v>
      </c>
      <c r="D88" s="1"/>
      <c r="E88" s="1"/>
      <c r="F88" s="1"/>
      <c r="G88" s="2"/>
      <c r="H88" s="1"/>
      <c r="I88" s="1"/>
      <c r="J88" s="1"/>
      <c r="K88" s="1"/>
      <c r="L88" s="1"/>
      <c r="M88" s="1"/>
      <c r="N88" s="1"/>
      <c r="O88" s="1"/>
      <c r="P88" s="1"/>
      <c r="Q88" s="1"/>
      <c r="R88" s="1"/>
    </row>
    <row x14ac:dyDescent="0.25" r="89" customHeight="1" ht="12">
      <c r="A89" s="1"/>
      <c r="B89" s="1"/>
      <c r="C89" s="1"/>
      <c r="D89" s="1"/>
      <c r="E89" s="1"/>
      <c r="F89" s="1"/>
      <c r="G89" s="2"/>
      <c r="H89" s="1"/>
      <c r="I89" s="1"/>
      <c r="J89" s="1"/>
      <c r="K89" s="1"/>
      <c r="L89" s="1"/>
      <c r="M89" s="1"/>
      <c r="N89" s="1"/>
      <c r="O89" s="1"/>
      <c r="P89" s="1"/>
      <c r="Q89" s="1"/>
      <c r="R89" s="1"/>
    </row>
    <row x14ac:dyDescent="0.25" r="90" customHeight="1" ht="15">
      <c r="A90" s="1"/>
      <c r="B90" s="1"/>
      <c r="C90" s="1"/>
      <c r="D90" s="1"/>
      <c r="E90" s="1"/>
      <c r="F90" s="81" t="s">
        <v>25</v>
      </c>
      <c r="G90" s="40"/>
      <c r="H90" s="41"/>
      <c r="I90" s="41"/>
      <c r="J90" s="42"/>
      <c r="K90" s="1"/>
      <c r="L90" s="1"/>
      <c r="M90" s="1"/>
      <c r="N90" s="1"/>
      <c r="O90" s="1"/>
      <c r="P90" s="1"/>
      <c r="Q90" s="1"/>
      <c r="R90" s="1"/>
    </row>
    <row x14ac:dyDescent="0.25" r="91" customHeight="1" ht="15">
      <c r="A91" s="1"/>
      <c r="B91" s="1"/>
      <c r="C91" s="1"/>
      <c r="D91" s="1"/>
      <c r="E91" s="1"/>
      <c r="F91" s="43"/>
      <c r="G91" s="44" t="s">
        <v>26</v>
      </c>
      <c r="H91" s="45"/>
      <c r="I91" s="46" t="s">
        <v>27</v>
      </c>
      <c r="J91" s="47"/>
      <c r="K91" s="1"/>
      <c r="L91" s="1"/>
      <c r="M91" s="1"/>
      <c r="N91" s="1"/>
      <c r="O91" s="1"/>
      <c r="P91" s="1"/>
      <c r="Q91" s="1"/>
      <c r="R91" s="1"/>
    </row>
    <row x14ac:dyDescent="0.25" r="92" customHeight="1" ht="15">
      <c r="A92" s="1"/>
      <c r="B92" s="1"/>
      <c r="C92" s="1"/>
      <c r="D92" s="1"/>
      <c r="E92" s="1"/>
      <c r="F92" s="48" t="s">
        <v>28</v>
      </c>
      <c r="G92" s="49">
        <f>'3&amp;#176;Q - Negativo'!C145</f>
      </c>
      <c r="H92" s="45"/>
      <c r="I92" s="50">
        <f>'3&amp;#176;Q - Negativo'!D145</f>
      </c>
      <c r="J92" s="47"/>
      <c r="K92" s="1"/>
      <c r="L92" s="1"/>
      <c r="M92" s="1"/>
      <c r="N92" s="1"/>
      <c r="O92" s="1"/>
      <c r="P92" s="1"/>
      <c r="Q92" s="1"/>
      <c r="R92" s="1"/>
    </row>
    <row x14ac:dyDescent="0.25" r="93" customHeight="1" ht="15">
      <c r="A93" s="1"/>
      <c r="B93" s="1"/>
      <c r="C93" s="1"/>
      <c r="D93" s="1"/>
      <c r="E93" s="1"/>
      <c r="F93" s="51" t="s">
        <v>29</v>
      </c>
      <c r="G93" s="52">
        <f>'3&amp;#176;Q - Negativo'!C146</f>
      </c>
      <c r="H93" s="32"/>
      <c r="I93" s="53">
        <f>'3&amp;#176;Q - Negativo'!D146</f>
      </c>
      <c r="J93" s="54"/>
      <c r="K93" s="1"/>
      <c r="L93" s="1"/>
      <c r="M93" s="1"/>
      <c r="N93" s="1"/>
      <c r="O93" s="1"/>
      <c r="P93" s="1"/>
      <c r="Q93" s="1"/>
      <c r="R93" s="1"/>
    </row>
    <row x14ac:dyDescent="0.25" r="94" customHeight="1" ht="15">
      <c r="A94" s="1"/>
      <c r="B94" s="1"/>
      <c r="C94" s="1"/>
      <c r="D94" s="1"/>
      <c r="E94" s="1"/>
      <c r="F94" s="1"/>
      <c r="G94" s="2"/>
      <c r="H94" s="1"/>
      <c r="I94" s="1"/>
      <c r="J94" s="1"/>
      <c r="K94" s="1"/>
      <c r="L94" s="1"/>
      <c r="M94" s="1"/>
      <c r="N94" s="1"/>
      <c r="O94" s="1"/>
      <c r="P94" s="1"/>
      <c r="Q94" s="1"/>
      <c r="R94" s="1"/>
    </row>
    <row x14ac:dyDescent="0.25" r="95" customHeight="1" ht="15">
      <c r="A95" s="1"/>
      <c r="B95" s="1"/>
      <c r="C95" s="1"/>
      <c r="D95" s="1"/>
      <c r="E95" s="1"/>
      <c r="F95" s="81" t="s">
        <v>30</v>
      </c>
      <c r="G95" s="40"/>
      <c r="H95" s="41"/>
      <c r="I95" s="41"/>
      <c r="J95" s="42"/>
      <c r="K95" s="1"/>
      <c r="L95" s="1"/>
      <c r="M95" s="1"/>
      <c r="N95" s="1"/>
      <c r="O95" s="1"/>
      <c r="P95" s="1"/>
      <c r="Q95" s="1"/>
      <c r="R95" s="1"/>
    </row>
    <row x14ac:dyDescent="0.25" r="96" customHeight="1" ht="15">
      <c r="A96" s="1"/>
      <c r="B96" s="1"/>
      <c r="C96" s="1"/>
      <c r="D96" s="1"/>
      <c r="E96" s="1"/>
      <c r="F96" s="43"/>
      <c r="G96" s="44" t="s">
        <v>31</v>
      </c>
      <c r="H96" s="45"/>
      <c r="I96" s="46" t="s">
        <v>32</v>
      </c>
      <c r="J96" s="47"/>
      <c r="K96" s="1"/>
      <c r="L96" s="1"/>
      <c r="M96" s="1"/>
      <c r="N96" s="1"/>
      <c r="O96" s="1"/>
      <c r="P96" s="1"/>
      <c r="Q96" s="1"/>
      <c r="R96" s="1"/>
    </row>
    <row x14ac:dyDescent="0.25" r="97" customHeight="1" ht="15">
      <c r="A97" s="1"/>
      <c r="B97" s="1"/>
      <c r="C97" s="1"/>
      <c r="D97" s="1"/>
      <c r="E97" s="1"/>
      <c r="F97" s="48" t="s">
        <v>28</v>
      </c>
      <c r="G97" s="49">
        <f>'3&amp;#176;Q - Negativo'!C151</f>
      </c>
      <c r="H97" s="45"/>
      <c r="I97" s="50">
        <f>'3&amp;#176;Q - Negativo'!D151</f>
      </c>
      <c r="J97" s="47"/>
      <c r="K97" s="1"/>
      <c r="L97" s="1"/>
      <c r="M97" s="1"/>
      <c r="N97" s="1"/>
      <c r="O97" s="1"/>
      <c r="P97" s="1"/>
      <c r="Q97" s="1"/>
      <c r="R97" s="1"/>
    </row>
    <row x14ac:dyDescent="0.25" r="98" customHeight="1" ht="15">
      <c r="A98" s="1"/>
      <c r="B98" s="1"/>
      <c r="C98" s="1"/>
      <c r="D98" s="1"/>
      <c r="E98" s="1"/>
      <c r="F98" s="51" t="s">
        <v>29</v>
      </c>
      <c r="G98" s="52">
        <f>'3&amp;#176;Q - Negativo'!C152</f>
      </c>
      <c r="H98" s="32"/>
      <c r="I98" s="53">
        <f>'3&amp;#176;Q - Negativo'!D152</f>
      </c>
      <c r="J98" s="54"/>
      <c r="K98" s="1"/>
      <c r="L98" s="1"/>
      <c r="M98" s="1"/>
      <c r="N98" s="1"/>
      <c r="O98" s="1"/>
      <c r="P98" s="1"/>
      <c r="Q98" s="1"/>
      <c r="R98" s="1"/>
    </row>
    <row x14ac:dyDescent="0.25" r="99" customHeight="1" ht="12">
      <c r="A99" s="1"/>
      <c r="B99" s="1"/>
      <c r="C99" s="1"/>
      <c r="D99" s="1"/>
      <c r="E99" s="1"/>
      <c r="F99" s="1"/>
      <c r="G99" s="55"/>
      <c r="H99" s="55"/>
      <c r="I99" s="1"/>
      <c r="J99" s="1"/>
      <c r="K99" s="1"/>
      <c r="L99" s="1"/>
      <c r="M99" s="1"/>
      <c r="N99" s="1"/>
      <c r="O99" s="1"/>
      <c r="P99" s="1"/>
      <c r="Q99" s="1"/>
      <c r="R99" s="1"/>
    </row>
    <row x14ac:dyDescent="0.25" r="100" customHeight="1" ht="16.2">
      <c r="A100" s="1"/>
      <c r="B100" s="1"/>
      <c r="C100" s="1" t="s">
        <v>39</v>
      </c>
      <c r="D100" s="1"/>
      <c r="E100" s="1"/>
      <c r="F100" s="1"/>
      <c r="G100" s="2"/>
      <c r="H100" s="1"/>
      <c r="I100" s="1"/>
      <c r="J100" s="1"/>
      <c r="K100" s="1"/>
      <c r="L100" s="1"/>
      <c r="M100" s="1"/>
      <c r="N100" s="1"/>
      <c r="O100" s="1"/>
      <c r="P100" s="1"/>
      <c r="Q100" s="1"/>
      <c r="R100" s="1"/>
    </row>
    <row x14ac:dyDescent="0.25" r="101" customHeight="1" ht="12">
      <c r="A101" s="1"/>
      <c r="B101" s="1"/>
      <c r="C101" s="1"/>
      <c r="D101" s="1"/>
      <c r="E101" s="1"/>
      <c r="F101" s="1"/>
      <c r="G101" s="2"/>
      <c r="H101" s="1"/>
      <c r="I101" s="1"/>
      <c r="J101" s="1"/>
      <c r="K101" s="1"/>
      <c r="L101" s="1"/>
      <c r="M101" s="1"/>
      <c r="N101" s="1"/>
      <c r="O101" s="1"/>
      <c r="P101" s="1"/>
      <c r="Q101" s="1"/>
      <c r="R101" s="1"/>
    </row>
    <row x14ac:dyDescent="0.25" r="102" customHeight="1" ht="15">
      <c r="A102" s="1"/>
      <c r="B102" s="1"/>
      <c r="C102" s="1"/>
      <c r="D102" s="82" t="s">
        <v>20</v>
      </c>
      <c r="E102" s="83" t="s">
        <v>34</v>
      </c>
      <c r="F102" s="83" t="s">
        <v>34</v>
      </c>
      <c r="G102" s="84" t="s">
        <v>34</v>
      </c>
      <c r="H102" s="83" t="s">
        <v>35</v>
      </c>
      <c r="I102" s="85" t="s">
        <v>35</v>
      </c>
      <c r="J102" s="60"/>
      <c r="K102" s="86" t="s">
        <v>20</v>
      </c>
      <c r="L102" s="87" t="s">
        <v>21</v>
      </c>
      <c r="M102" s="1"/>
      <c r="N102" s="1"/>
      <c r="O102" s="1"/>
      <c r="P102" s="1"/>
      <c r="Q102" s="1"/>
      <c r="R102" s="1"/>
    </row>
    <row x14ac:dyDescent="0.25" r="103" customHeight="1" ht="15">
      <c r="A103" s="1"/>
      <c r="B103" s="1"/>
      <c r="C103" s="1"/>
      <c r="D103" s="88" t="s">
        <v>36</v>
      </c>
      <c r="E103" s="89" t="s">
        <v>37</v>
      </c>
      <c r="F103" s="89" t="s">
        <v>37</v>
      </c>
      <c r="G103" s="90" t="s">
        <v>37</v>
      </c>
      <c r="H103" s="89" t="s">
        <v>37</v>
      </c>
      <c r="I103" s="91" t="s">
        <v>37</v>
      </c>
      <c r="J103" s="67"/>
      <c r="K103" s="68"/>
      <c r="L103" s="69"/>
      <c r="M103" s="1"/>
      <c r="N103" s="1"/>
      <c r="O103" s="1"/>
      <c r="P103" s="1"/>
      <c r="Q103" s="1"/>
      <c r="R103" s="1"/>
    </row>
    <row x14ac:dyDescent="0.25" r="104" customHeight="1" ht="15">
      <c r="A104" s="1"/>
      <c r="B104" s="1"/>
      <c r="C104" s="1"/>
      <c r="D104" s="70">
        <f>'3&amp;#176;Q - Negativo'!B157</f>
      </c>
      <c r="E104" s="71">
        <f>'3&amp;#176;Q - Negativo'!C157</f>
      </c>
      <c r="F104" s="71">
        <f>'3&amp;#176;Q - Negativo'!D157</f>
      </c>
      <c r="G104" s="71">
        <f>'3&amp;#176;Q - Negativo'!E157</f>
      </c>
      <c r="H104" s="71">
        <f>'3&amp;#176;Q - Negativo'!F157</f>
      </c>
      <c r="I104" s="72">
        <f>'3&amp;#176;Q - Negativo'!G157</f>
      </c>
      <c r="J104" s="25"/>
      <c r="K104" s="73">
        <f>'3&amp;#176;Q - Negativo'!I157</f>
      </c>
      <c r="L104" s="74">
        <f>'3&amp;#176;Q - Negativo'!J157</f>
      </c>
      <c r="M104" s="1"/>
      <c r="N104" s="1"/>
      <c r="O104" s="1"/>
      <c r="P104" s="1"/>
      <c r="Q104" s="1"/>
      <c r="R104" s="1"/>
    </row>
    <row x14ac:dyDescent="0.25" r="105" customHeight="1" ht="15">
      <c r="A105" s="1"/>
      <c r="B105" s="1"/>
      <c r="C105" s="1"/>
      <c r="D105" s="73">
        <f>'3&amp;#176;Q - Negativo'!B158</f>
      </c>
      <c r="E105" s="75">
        <f>'3&amp;#176;Q - Negativo'!C158</f>
      </c>
      <c r="F105" s="75">
        <f>'3&amp;#176;Q - Negativo'!D158</f>
      </c>
      <c r="G105" s="75">
        <f>'3&amp;#176;Q - Negativo'!E158</f>
      </c>
      <c r="H105" s="75">
        <f>'3&amp;#176;Q - Negativo'!F158</f>
      </c>
      <c r="I105" s="76">
        <f>'3&amp;#176;Q - Negativo'!G158</f>
      </c>
      <c r="J105" s="25"/>
      <c r="K105" s="73">
        <f>'3&amp;#176;Q - Negativo'!I158</f>
      </c>
      <c r="L105" s="74">
        <f>'3&amp;#176;Q - Negativo'!J158</f>
      </c>
      <c r="M105" s="1"/>
      <c r="N105" s="1"/>
      <c r="O105" s="1"/>
      <c r="P105" s="1"/>
      <c r="Q105" s="1"/>
      <c r="R105" s="1"/>
    </row>
    <row x14ac:dyDescent="0.25" r="106" customHeight="1" ht="15">
      <c r="A106" s="1"/>
      <c r="B106" s="1"/>
      <c r="C106" s="1"/>
      <c r="D106" s="73">
        <f>'3&amp;#176;Q - Negativo'!B159</f>
      </c>
      <c r="E106" s="75">
        <f>'3&amp;#176;Q - Negativo'!C159</f>
      </c>
      <c r="F106" s="75">
        <f>'3&amp;#176;Q - Negativo'!D159</f>
      </c>
      <c r="G106" s="75">
        <f>'3&amp;#176;Q - Negativo'!E159</f>
      </c>
      <c r="H106" s="75">
        <f>'3&amp;#176;Q - Negativo'!F159</f>
      </c>
      <c r="I106" s="76">
        <f>'3&amp;#176;Q - Negativo'!G159</f>
      </c>
      <c r="J106" s="25"/>
      <c r="K106" s="73">
        <f>'3&amp;#176;Q - Negativo'!I159</f>
      </c>
      <c r="L106" s="74">
        <f>'3&amp;#176;Q - Negativo'!J159</f>
      </c>
      <c r="M106" s="1"/>
      <c r="N106" s="1"/>
      <c r="O106" s="1"/>
      <c r="P106" s="1"/>
      <c r="Q106" s="1"/>
      <c r="R106" s="1"/>
    </row>
    <row x14ac:dyDescent="0.25" r="107" customHeight="1" ht="15">
      <c r="A107" s="1"/>
      <c r="B107" s="1"/>
      <c r="C107" s="1"/>
      <c r="D107" s="73">
        <f>'3&amp;#176;Q - Negativo'!B160</f>
      </c>
      <c r="E107" s="75">
        <f>'3&amp;#176;Q - Negativo'!C160</f>
      </c>
      <c r="F107" s="75">
        <f>'3&amp;#176;Q - Negativo'!D160</f>
      </c>
      <c r="G107" s="75">
        <f>'3&amp;#176;Q - Negativo'!E160</f>
      </c>
      <c r="H107" s="75">
        <f>'3&amp;#176;Q - Negativo'!F160</f>
      </c>
      <c r="I107" s="76">
        <f>'3&amp;#176;Q - Negativo'!G160</f>
      </c>
      <c r="J107" s="25"/>
      <c r="K107" s="73">
        <f>'3&amp;#176;Q - Negativo'!I160</f>
      </c>
      <c r="L107" s="74">
        <f>'3&amp;#176;Q - Negativo'!J160</f>
      </c>
      <c r="M107" s="1"/>
      <c r="N107" s="1"/>
      <c r="O107" s="1"/>
      <c r="P107" s="1"/>
      <c r="Q107" s="1"/>
      <c r="R107" s="1"/>
    </row>
    <row x14ac:dyDescent="0.25" r="108" customHeight="1" ht="15">
      <c r="A108" s="1"/>
      <c r="B108" s="1"/>
      <c r="C108" s="1"/>
      <c r="D108" s="73">
        <f>'3&amp;#176;Q - Negativo'!B161</f>
      </c>
      <c r="E108" s="75">
        <f>'3&amp;#176;Q - Negativo'!C161</f>
      </c>
      <c r="F108" s="75">
        <f>'3&amp;#176;Q - Negativo'!D161</f>
      </c>
      <c r="G108" s="75">
        <f>'3&amp;#176;Q - Negativo'!E161</f>
      </c>
      <c r="H108" s="75">
        <f>'3&amp;#176;Q - Negativo'!F161</f>
      </c>
      <c r="I108" s="76">
        <f>'3&amp;#176;Q - Negativo'!G161</f>
      </c>
      <c r="J108" s="25"/>
      <c r="K108" s="77">
        <f>'3&amp;#176;Q - Negativo'!I161</f>
      </c>
      <c r="L108" s="78">
        <f>'3&amp;#176;Q - Negativo'!J161</f>
      </c>
      <c r="M108" s="1"/>
      <c r="N108" s="1"/>
      <c r="O108" s="1"/>
      <c r="P108" s="1"/>
      <c r="Q108" s="1"/>
      <c r="R108" s="1"/>
    </row>
    <row x14ac:dyDescent="0.25" r="109" customHeight="1" ht="15">
      <c r="A109" s="1"/>
      <c r="B109" s="1"/>
      <c r="C109" s="1"/>
      <c r="D109" s="77">
        <f>'3&amp;#176;Q - Negativo'!B162</f>
      </c>
      <c r="E109" s="79">
        <f>'3&amp;#176;Q - Negativo'!C162</f>
      </c>
      <c r="F109" s="79">
        <f>'3&amp;#176;Q - Negativo'!D162</f>
      </c>
      <c r="G109" s="79">
        <f>'3&amp;#176;Q - Negativo'!E162</f>
      </c>
      <c r="H109" s="79">
        <f>'3&amp;#176;Q - Negativo'!F162</f>
      </c>
      <c r="I109" s="80">
        <f>'3&amp;#176;Q - Negativo'!G162</f>
      </c>
      <c r="J109" s="25"/>
      <c r="K109" s="23"/>
      <c r="L109" s="23"/>
      <c r="M109" s="1"/>
      <c r="N109" s="1"/>
      <c r="O109" s="1"/>
      <c r="P109" s="1"/>
      <c r="Q109" s="1"/>
      <c r="R109" s="1"/>
    </row>
    <row x14ac:dyDescent="0.25" r="110" customHeight="1" ht="12">
      <c r="A110" s="1"/>
      <c r="B110" s="1"/>
      <c r="C110" s="1"/>
      <c r="D110" s="1"/>
      <c r="E110" s="1"/>
      <c r="F110" s="1"/>
      <c r="G110" s="2"/>
      <c r="H110" s="1"/>
      <c r="I110" s="1"/>
      <c r="J110" s="1"/>
      <c r="K110" s="1"/>
      <c r="L110" s="1"/>
      <c r="M110" s="1"/>
      <c r="N110" s="1"/>
      <c r="O110" s="1"/>
      <c r="P110" s="1"/>
      <c r="Q110" s="1"/>
      <c r="R110" s="1"/>
    </row>
    <row x14ac:dyDescent="0.25" r="111" customHeight="1" ht="12">
      <c r="A111" s="1"/>
      <c r="B111" s="1"/>
      <c r="C111" s="1"/>
      <c r="D111" s="1"/>
      <c r="E111" s="1"/>
      <c r="F111" s="1"/>
      <c r="G111" s="2"/>
      <c r="H111" s="1"/>
      <c r="I111" s="1"/>
      <c r="J111" s="1"/>
      <c r="K111" s="1"/>
      <c r="L111" s="1"/>
      <c r="M111" s="1"/>
      <c r="N111" s="1"/>
      <c r="O111" s="1"/>
      <c r="P111" s="1"/>
      <c r="Q111" s="1"/>
      <c r="R111" s="1"/>
    </row>
    <row x14ac:dyDescent="0.25" r="112" customHeight="1" ht="12">
      <c r="A112" s="1"/>
      <c r="B112" s="1"/>
      <c r="C112" s="1"/>
      <c r="D112" s="1"/>
      <c r="E112" s="1"/>
      <c r="F112" s="1"/>
      <c r="G112" s="2"/>
      <c r="H112" s="1"/>
      <c r="I112" s="1"/>
      <c r="J112" s="1"/>
      <c r="K112" s="1"/>
      <c r="L112" s="1"/>
      <c r="M112" s="1"/>
      <c r="N112" s="1"/>
      <c r="O112" s="1"/>
      <c r="P112" s="1"/>
      <c r="Q112" s="1"/>
      <c r="R112" s="1"/>
    </row>
    <row x14ac:dyDescent="0.25" r="113" customHeight="1" ht="12">
      <c r="A113" s="1"/>
      <c r="B113" s="1"/>
      <c r="C113" s="1"/>
      <c r="D113" s="1"/>
      <c r="E113" s="1"/>
      <c r="F113" s="1"/>
      <c r="G113" s="2"/>
      <c r="H113" s="1"/>
      <c r="I113" s="1"/>
      <c r="J113" s="1"/>
      <c r="K113" s="1"/>
      <c r="L113" s="1"/>
      <c r="M113" s="1"/>
      <c r="N113" s="1"/>
      <c r="O113" s="1"/>
      <c r="P113" s="1"/>
      <c r="Q113" s="1"/>
      <c r="R113" s="1"/>
    </row>
    <row x14ac:dyDescent="0.25" r="114" customHeight="1" ht="12">
      <c r="A114" s="1"/>
      <c r="B114" s="1"/>
      <c r="C114" s="1"/>
      <c r="D114" s="1"/>
      <c r="E114" s="1"/>
      <c r="F114" s="1"/>
      <c r="G114" s="2"/>
      <c r="H114" s="1"/>
      <c r="I114" s="1"/>
      <c r="J114" s="1"/>
      <c r="K114" s="1"/>
      <c r="L114" s="1"/>
      <c r="M114" s="1"/>
      <c r="N114" s="1"/>
      <c r="O114" s="1"/>
      <c r="P114" s="1"/>
      <c r="Q114" s="1"/>
      <c r="R114" s="1"/>
    </row>
    <row x14ac:dyDescent="0.25" r="115" customHeight="1" ht="12">
      <c r="A115" s="1"/>
      <c r="B115" s="1"/>
      <c r="C115" s="1"/>
      <c r="D115" s="1"/>
      <c r="E115" s="1"/>
      <c r="F115" s="1"/>
      <c r="G115" s="2"/>
      <c r="H115" s="1"/>
      <c r="I115" s="1"/>
      <c r="J115" s="1"/>
      <c r="K115" s="1"/>
      <c r="L115" s="1"/>
      <c r="M115" s="1"/>
      <c r="N115" s="1"/>
      <c r="O115" s="1"/>
      <c r="P115" s="1"/>
      <c r="Q115" s="1"/>
      <c r="R115" s="1"/>
    </row>
    <row x14ac:dyDescent="0.25" r="116" customHeight="1" ht="12">
      <c r="A116" s="1"/>
      <c r="B116" s="1"/>
      <c r="C116" s="1"/>
      <c r="D116" s="1"/>
      <c r="E116" s="1"/>
      <c r="F116" s="1"/>
      <c r="G116" s="2"/>
      <c r="H116" s="1"/>
      <c r="I116" s="1"/>
      <c r="J116" s="1"/>
      <c r="K116" s="1"/>
      <c r="L116" s="1"/>
      <c r="M116" s="1"/>
      <c r="N116" s="1"/>
      <c r="O116" s="1"/>
      <c r="P116" s="1"/>
      <c r="Q116" s="1"/>
      <c r="R116" s="1"/>
    </row>
    <row x14ac:dyDescent="0.25" r="117" customHeight="1" ht="12">
      <c r="A117" s="1"/>
      <c r="B117" s="1"/>
      <c r="C117" s="1"/>
      <c r="D117" s="1"/>
      <c r="E117" s="1"/>
      <c r="F117" s="1"/>
      <c r="G117" s="2"/>
      <c r="H117" s="1"/>
      <c r="I117" s="1"/>
      <c r="J117" s="1"/>
      <c r="K117" s="1"/>
      <c r="L117" s="1"/>
      <c r="M117" s="1"/>
      <c r="N117" s="1"/>
      <c r="O117" s="1"/>
      <c r="P117" s="1"/>
      <c r="Q117" s="1"/>
      <c r="R117" s="1"/>
    </row>
    <row x14ac:dyDescent="0.25" r="118" customHeight="1" ht="12">
      <c r="A118" s="1"/>
      <c r="B118" s="1"/>
      <c r="C118" s="1"/>
      <c r="D118" s="1"/>
      <c r="E118" s="1"/>
      <c r="F118" s="1"/>
      <c r="G118" s="2"/>
      <c r="H118" s="1"/>
      <c r="I118" s="1"/>
      <c r="J118" s="1"/>
      <c r="K118" s="1"/>
      <c r="L118" s="1"/>
      <c r="M118" s="1"/>
      <c r="N118" s="1"/>
      <c r="O118" s="1"/>
      <c r="P118" s="1"/>
      <c r="Q118" s="1"/>
      <c r="R118" s="1"/>
    </row>
    <row x14ac:dyDescent="0.25" r="119" customHeight="1" ht="12">
      <c r="A119" s="1"/>
      <c r="B119" s="1"/>
      <c r="C119" s="1"/>
      <c r="D119" s="1"/>
      <c r="E119" s="1"/>
      <c r="F119" s="1"/>
      <c r="G119" s="2"/>
      <c r="H119" s="1"/>
      <c r="I119" s="1"/>
      <c r="J119" s="1"/>
      <c r="K119" s="1"/>
      <c r="L119" s="1"/>
      <c r="M119" s="1"/>
      <c r="N119" s="1"/>
      <c r="O119" s="1"/>
      <c r="P119" s="1"/>
      <c r="Q119" s="1"/>
      <c r="R119" s="1"/>
    </row>
    <row x14ac:dyDescent="0.25" r="120" customHeight="1" ht="12">
      <c r="A120" s="1"/>
      <c r="B120" s="1"/>
      <c r="C120" s="1"/>
      <c r="D120" s="1"/>
      <c r="E120" s="1"/>
      <c r="F120" s="1"/>
      <c r="G120" s="2"/>
      <c r="H120" s="1"/>
      <c r="I120" s="1"/>
      <c r="J120" s="1"/>
      <c r="K120" s="1"/>
      <c r="L120" s="1"/>
      <c r="M120" s="1"/>
      <c r="N120" s="1"/>
      <c r="O120" s="1"/>
      <c r="P120" s="1"/>
      <c r="Q120" s="1"/>
      <c r="R120" s="1"/>
    </row>
    <row x14ac:dyDescent="0.25" r="121" customHeight="1" ht="12">
      <c r="A121" s="1"/>
      <c r="B121" s="1"/>
      <c r="C121" s="1"/>
      <c r="D121" s="1"/>
      <c r="E121" s="1"/>
      <c r="F121" s="1"/>
      <c r="G121" s="2"/>
      <c r="H121" s="1"/>
      <c r="I121" s="1"/>
      <c r="J121" s="1"/>
      <c r="K121" s="1"/>
      <c r="L121" s="1"/>
      <c r="M121" s="1"/>
      <c r="N121" s="1"/>
      <c r="O121" s="1"/>
      <c r="P121" s="1"/>
      <c r="Q121" s="1"/>
      <c r="R121" s="1"/>
    </row>
    <row x14ac:dyDescent="0.25" r="122" customHeight="1" ht="12">
      <c r="A122" s="1"/>
      <c r="B122" s="1"/>
      <c r="C122" s="1"/>
      <c r="D122" s="1"/>
      <c r="E122" s="1"/>
      <c r="F122" s="1"/>
      <c r="G122" s="2"/>
      <c r="H122" s="1"/>
      <c r="I122" s="1"/>
      <c r="J122" s="1"/>
      <c r="K122" s="1"/>
      <c r="L122" s="1"/>
      <c r="M122" s="1"/>
      <c r="N122" s="1"/>
      <c r="O122" s="1"/>
      <c r="P122" s="1"/>
      <c r="Q122" s="1"/>
      <c r="R122" s="1"/>
    </row>
    <row x14ac:dyDescent="0.25" r="123" customHeight="1" ht="12">
      <c r="A123" s="1"/>
      <c r="B123" s="1"/>
      <c r="C123" s="1"/>
      <c r="D123" s="1"/>
      <c r="E123" s="1"/>
      <c r="F123" s="1"/>
      <c r="G123" s="2"/>
      <c r="H123" s="1"/>
      <c r="I123" s="1"/>
      <c r="J123" s="1"/>
      <c r="K123" s="1"/>
      <c r="L123" s="1"/>
      <c r="M123" s="1"/>
      <c r="N123" s="1"/>
      <c r="O123" s="1"/>
      <c r="P123" s="1"/>
      <c r="Q123" s="1"/>
      <c r="R123" s="1"/>
    </row>
    <row x14ac:dyDescent="0.25" r="124" customHeight="1" ht="12">
      <c r="A124" s="1"/>
      <c r="B124" s="1"/>
      <c r="C124" s="1"/>
      <c r="D124" s="1"/>
      <c r="E124" s="1"/>
      <c r="F124" s="1"/>
      <c r="G124" s="2"/>
      <c r="H124" s="1"/>
      <c r="I124" s="1"/>
      <c r="J124" s="1"/>
      <c r="K124" s="1"/>
      <c r="L124" s="1"/>
      <c r="M124" s="1"/>
      <c r="N124" s="1"/>
      <c r="O124" s="1"/>
      <c r="P124" s="1"/>
      <c r="Q124" s="1"/>
      <c r="R124" s="1"/>
    </row>
    <row x14ac:dyDescent="0.25" r="125" customHeight="1" ht="12">
      <c r="A125" s="1"/>
      <c r="B125" s="1"/>
      <c r="C125" s="1"/>
      <c r="D125" s="1"/>
      <c r="E125" s="1"/>
      <c r="F125" s="1"/>
      <c r="G125" s="2"/>
      <c r="H125" s="1"/>
      <c r="I125" s="1"/>
      <c r="J125" s="1"/>
      <c r="K125" s="1"/>
      <c r="L125" s="1"/>
      <c r="M125" s="1"/>
      <c r="N125" s="1"/>
      <c r="O125" s="1"/>
      <c r="P125" s="1"/>
      <c r="Q125" s="1"/>
      <c r="R125" s="1"/>
    </row>
  </sheetData>
  <mergeCells count="53">
    <mergeCell ref="C7:L7"/>
    <mergeCell ref="F9:M9"/>
    <mergeCell ref="F10:M10"/>
    <mergeCell ref="F11:M11"/>
    <mergeCell ref="F12:M12"/>
    <mergeCell ref="F13:M13"/>
    <mergeCell ref="F14:M14"/>
    <mergeCell ref="F15:M15"/>
    <mergeCell ref="F16:M16"/>
    <mergeCell ref="P17:R20"/>
    <mergeCell ref="C18:L18"/>
    <mergeCell ref="K21:M21"/>
    <mergeCell ref="P21:R21"/>
    <mergeCell ref="K22:M22"/>
    <mergeCell ref="P22:R22"/>
    <mergeCell ref="K27:M27"/>
    <mergeCell ref="E32:F32"/>
    <mergeCell ref="E33:F33"/>
    <mergeCell ref="E38:F38"/>
    <mergeCell ref="E39:F39"/>
    <mergeCell ref="C63:L63"/>
    <mergeCell ref="F67:J67"/>
    <mergeCell ref="G68:H68"/>
    <mergeCell ref="I68:J68"/>
    <mergeCell ref="G69:H69"/>
    <mergeCell ref="I69:J69"/>
    <mergeCell ref="G70:H70"/>
    <mergeCell ref="I70:J70"/>
    <mergeCell ref="F72:J72"/>
    <mergeCell ref="G73:H73"/>
    <mergeCell ref="I73:J73"/>
    <mergeCell ref="G74:H74"/>
    <mergeCell ref="I74:J74"/>
    <mergeCell ref="G75:H75"/>
    <mergeCell ref="I75:J75"/>
    <mergeCell ref="K79:K80"/>
    <mergeCell ref="L79:L80"/>
    <mergeCell ref="F90:J90"/>
    <mergeCell ref="G91:H91"/>
    <mergeCell ref="I91:J91"/>
    <mergeCell ref="G92:H92"/>
    <mergeCell ref="I92:J92"/>
    <mergeCell ref="G93:H93"/>
    <mergeCell ref="I93:J93"/>
    <mergeCell ref="F95:J95"/>
    <mergeCell ref="G96:H96"/>
    <mergeCell ref="I96:J96"/>
    <mergeCell ref="G97:H97"/>
    <mergeCell ref="I97:J97"/>
    <mergeCell ref="G98:H98"/>
    <mergeCell ref="I98:J98"/>
    <mergeCell ref="K102:K103"/>
    <mergeCell ref="L102:L10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Euramet</vt:lpstr>
      <vt:lpstr>Istruzioni Uso</vt:lpstr>
      <vt:lpstr>1°Q - Positivo</vt:lpstr>
      <vt:lpstr>3°Q - Negativo</vt:lpstr>
      <vt:lpstr>Check Q1 vs Q3 </vt:lpstr>
      <vt:lpstr>REPORT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2024-07-22T09:29:21.750Z</dcterms:created>
  <dcterms:modified xsi:type="dcterms:W3CDTF">2024-07-22T09:29:21.750Z</dcterms:modified>
</cp:coreProperties>
</file>