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comments/comment1.xml" ContentType="application/vnd.openxmlformats-officedocument.spreadsheetml.comments+xml"/>
  <Override PartName="/xl/worksheets/sheet3.xml" ContentType="application/vnd.openxmlformats-officedocument.spreadsheetml.worksheet+xml"/>
  <Override PartName="/xl/worksheets/sheet4.xml" ContentType="application/vnd.openxmlformats-officedocument.spreadsheetml.worksheet+xml"/>
  <Override PartName="/xl/comments/comment2.xml" ContentType="application/vnd.openxmlformats-officedocument.spreadsheetml.comments+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500" firstSheet="0" activeTab="1" autoFilterDateGrouping="1"/>
  </bookViews>
  <sheets>
    <sheet name="Euramet" sheetId="1" state="visible" r:id="rId1"/>
    <sheet name="Istruzioni Uso" sheetId="2" state="visible" r:id="rId2"/>
    <sheet name="1°Q - Positivo" sheetId="3" state="visible" r:id="rId3"/>
    <sheet name="3°Q - Negativo" sheetId="4" state="visible" r:id="rId4"/>
    <sheet name="Check Q1 vs Q3 " sheetId="5" state="visible" r:id="rId5"/>
    <sheet name="REPORT" sheetId="6" state="visible" r:id="rId6"/>
  </sheets>
  <definedNames>
    <definedName name="C_Tar_max">'Istruzioni Uso'!$B$24</definedName>
    <definedName name="C_Tar_min">'Istruzioni Uso'!$B$25</definedName>
    <definedName name="EUnits">'Istruzioni Uso'!$B$11</definedName>
    <definedName name="SetPnt_N_0">'Istruzioni Uso'!$H$20</definedName>
    <definedName name="SetPnt_N_1">'Istruzioni Uso'!$H$21</definedName>
    <definedName name="SetPnt_N_2">'Istruzioni Uso'!$H$22</definedName>
    <definedName name="SetPnt_N_3">'Istruzioni Uso'!$H$23</definedName>
    <definedName name="SetPnt_N_4">'Istruzioni Uso'!$H$24</definedName>
    <definedName name="SetPnt_N_5">'Istruzioni Uso'!$H$25</definedName>
    <definedName name="SetPnt_P_0">'Istruzioni Uso'!$E$20</definedName>
    <definedName name="SetPnt_P_1">'Istruzioni Uso'!$E$21</definedName>
    <definedName name="SetPnt_P_2">'Istruzioni Uso'!$E$22</definedName>
    <definedName name="SetPnt_P_3">'Istruzioni Uso'!$E$23</definedName>
    <definedName name="SetPnt_P_4">'Istruzioni Uso'!$E$24</definedName>
    <definedName name="SetPnt_P_5">'Istruzioni Uso'!$E$25</definedName>
    <definedName name="UUT_EUnits">'Istruzioni Uso'!$B$12</definedName>
    <definedName name="_xlnm.Print_Area" localSheetId="5">'REPORT'!$A$1:$N$110</definedName>
  </definedNames>
  <calcPr calcId="191029" fullCalcOnLoad="1" iterateDelta="0.0001"/>
</workbook>
</file>

<file path=xl/styles.xml><?xml version="1.0" encoding="utf-8"?>
<styleSheet xmlns="http://schemas.openxmlformats.org/spreadsheetml/2006/main">
  <numFmts count="11">
    <numFmt numFmtId="164" formatCode="[$-F800]dddd&quot;, &quot;mmmm\ dd&quot;, &quot;yyyy"/>
    <numFmt numFmtId="165" formatCode="0.0000"/>
    <numFmt numFmtId="166" formatCode="0.000"/>
    <numFmt numFmtId="167" formatCode="0.000000"/>
    <numFmt numFmtId="168" formatCode="0.000000E+00"/>
    <numFmt numFmtId="169" formatCode="0.00000"/>
    <numFmt numFmtId="170" formatCode="0.0000000"/>
    <numFmt numFmtId="171" formatCode="0.0"/>
    <numFmt numFmtId="172" formatCode="0.000%"/>
    <numFmt numFmtId="173" formatCode="0.0000E+00"/>
    <numFmt numFmtId="174" formatCode="m/d/yyyy"/>
  </numFmts>
  <fonts count="99">
    <font>
      <name val="Calibri"/>
      <charset val="1"/>
      <family val="2"/>
      <color theme="1"/>
      <sz val="11"/>
    </font>
    <font>
      <name val="Arial"/>
      <family val="2"/>
      <sz val="10"/>
    </font>
    <font>
      <name val="Calibri Light"/>
      <charset val="1"/>
      <family val="2"/>
      <color theme="1"/>
      <sz val="10"/>
    </font>
    <font>
      <name val="Calibri"/>
      <charset val="1"/>
      <family val="2"/>
      <b val="1"/>
      <i val="1"/>
      <color theme="1"/>
      <sz val="16"/>
    </font>
    <font>
      <name val="Calibri"/>
      <charset val="1"/>
      <family val="2"/>
      <b val="1"/>
      <i val="1"/>
      <color theme="1" tint="0.3498947111423078"/>
      <sz val="11"/>
    </font>
    <font>
      <name val="Calibri"/>
      <charset val="1"/>
      <family val="2"/>
      <color theme="1" tint="0.499893185216834"/>
      <sz val="11"/>
    </font>
    <font>
      <name val="Calibri"/>
      <charset val="1"/>
      <family val="2"/>
      <color rgb="FF3F3F76"/>
      <sz val="11"/>
    </font>
    <font>
      <name val="Calibri"/>
      <charset val="1"/>
      <family val="2"/>
      <color theme="0" tint="-0.0499893185216834"/>
      <sz val="11"/>
    </font>
    <font>
      <name val="Calibri"/>
      <charset val="1"/>
      <family val="2"/>
      <b val="1"/>
      <color rgb="FF0070C0"/>
      <sz val="12"/>
    </font>
    <font>
      <name val="Calibri"/>
      <charset val="1"/>
      <family val="2"/>
      <b val="1"/>
      <color rgb="FFFF3300"/>
      <sz val="12"/>
    </font>
    <font>
      <name val="Calibri"/>
      <charset val="1"/>
      <family val="2"/>
      <b val="1"/>
      <i val="1"/>
      <color theme="1"/>
      <sz val="11"/>
    </font>
    <font>
      <name val="Calibri"/>
      <charset val="1"/>
      <family val="2"/>
      <b val="1"/>
      <color rgb="FFFF0000"/>
      <sz val="11"/>
    </font>
    <font>
      <name val="Calibri"/>
      <charset val="1"/>
      <family val="2"/>
      <color rgb="FFFF0000"/>
      <sz val="11"/>
    </font>
    <font>
      <name val="Calibri"/>
      <charset val="1"/>
      <family val="2"/>
      <b val="1"/>
      <color theme="4" tint="-0.249977111117893"/>
      <sz val="48"/>
    </font>
    <font>
      <name val="Calibri"/>
      <charset val="1"/>
      <family val="2"/>
      <b val="1"/>
      <color theme="4" tint="-0.249977111117893"/>
      <sz val="24"/>
    </font>
    <font>
      <name val="Calibri"/>
      <charset val="1"/>
      <family val="2"/>
      <b val="1"/>
      <color theme="4" tint="-0.499984740745262"/>
      <sz val="16"/>
    </font>
    <font>
      <name val="Calibri"/>
      <charset val="1"/>
      <family val="2"/>
      <b val="1"/>
      <color theme="4" tint="-0.499984740745262"/>
      <sz val="14"/>
    </font>
    <font>
      <name val="Calibri"/>
      <charset val="1"/>
      <family val="2"/>
      <i val="1"/>
      <color theme="1"/>
      <sz val="11"/>
    </font>
    <font>
      <name val="Calibri"/>
      <charset val="1"/>
      <family val="2"/>
      <color rgb="FF006100"/>
      <sz val="11"/>
    </font>
    <font>
      <name val="Calibri"/>
      <charset val="1"/>
      <family val="2"/>
      <b val="1"/>
      <color theme="4" tint="-0.499984740745262"/>
      <sz val="16"/>
      <vertAlign val="superscript"/>
    </font>
    <font>
      <name val="Calibri"/>
      <charset val="1"/>
      <family val="2"/>
      <b val="1"/>
      <color rgb="FFFF3300"/>
      <sz val="48"/>
    </font>
    <font>
      <name val="Calibri"/>
      <charset val="1"/>
      <family val="2"/>
      <b val="1"/>
      <color rgb="FFFF3300"/>
      <sz val="24"/>
    </font>
    <font>
      <name val="Calibri"/>
      <charset val="1"/>
      <family val="2"/>
      <color theme="1"/>
      <sz val="12"/>
    </font>
    <font>
      <name val="Calibri"/>
      <charset val="1"/>
      <family val="2"/>
      <b val="1"/>
      <color theme="1"/>
      <sz val="11"/>
    </font>
    <font>
      <name val="Calibri"/>
      <charset val="1"/>
      <family val="2"/>
      <strike val="1"/>
      <color theme="1"/>
      <sz val="12"/>
    </font>
    <font>
      <name val="Calibri"/>
      <charset val="1"/>
      <family val="2"/>
      <strike val="1"/>
      <color rgb="FF3F3F76"/>
      <sz val="11"/>
    </font>
    <font>
      <name val="Calibri Light"/>
      <charset val="1"/>
      <family val="2"/>
      <color theme="1"/>
      <sz val="11"/>
    </font>
    <font>
      <name val="Calibri"/>
      <charset val="1"/>
      <family val="2"/>
      <i val="1"/>
      <color theme="1"/>
      <sz val="10"/>
    </font>
    <font>
      <name val="Tahoma"/>
      <charset val="1"/>
      <family val="2"/>
      <color rgb="FF000000"/>
      <sz val="9"/>
    </font>
    <font>
      <name val="Calibri"/>
      <charset val="1"/>
      <family val="2"/>
      <b val="1"/>
      <color theme="1"/>
      <sz val="20"/>
    </font>
    <font>
      <name val="Calibri"/>
      <charset val="1"/>
      <family val="2"/>
      <b val="1"/>
      <i val="1"/>
      <color theme="1"/>
      <sz val="14"/>
    </font>
    <font>
      <name val="Calibri"/>
      <charset val="1"/>
      <family val="2"/>
      <b val="1"/>
      <color theme="3"/>
      <sz val="18"/>
    </font>
    <font>
      <name val="Calibri"/>
      <charset val="1"/>
      <family val="2"/>
      <b val="1"/>
      <color theme="3"/>
      <sz val="15"/>
    </font>
    <font>
      <name val="Calibri"/>
      <charset val="1"/>
      <family val="2"/>
      <b val="1"/>
      <color theme="3"/>
      <sz val="18"/>
      <vertAlign val="superscript"/>
    </font>
    <font>
      <name val="Calibri"/>
      <charset val="1"/>
      <family val="2"/>
      <i val="1"/>
      <color theme="3"/>
      <sz val="12"/>
    </font>
    <font>
      <name val="Calibri"/>
      <charset val="1"/>
      <family val="2"/>
      <b val="1"/>
      <color theme="3"/>
      <sz val="11"/>
    </font>
    <font>
      <name val="Calibri"/>
      <charset val="1"/>
      <family val="2"/>
      <b val="1"/>
      <color rgb="FFFA7D00"/>
      <sz val="11"/>
    </font>
    <font>
      <name val="Calibri"/>
      <charset val="1"/>
      <family val="2"/>
      <i val="1"/>
      <color theme="1"/>
      <sz val="14"/>
    </font>
    <font>
      <name val="Calibri"/>
      <charset val="1"/>
      <family val="2"/>
      <b val="1"/>
      <color theme="3"/>
      <sz val="12"/>
    </font>
    <font>
      <name val="Calibri"/>
      <charset val="1"/>
      <family val="2"/>
      <b val="1"/>
      <color theme="3"/>
      <sz val="12"/>
      <vertAlign val="superscript"/>
    </font>
    <font>
      <name val="Calibri"/>
      <charset val="1"/>
      <family val="2"/>
      <color rgb="FF006100"/>
      <sz val="12"/>
    </font>
    <font>
      <name val="Calibri"/>
      <charset val="1"/>
      <family val="2"/>
      <b val="1"/>
      <color rgb="FF006100"/>
      <sz val="11"/>
    </font>
    <font>
      <name val="Calibri"/>
      <charset val="1"/>
      <family val="2"/>
      <color rgb="FF006100"/>
      <sz val="14"/>
    </font>
    <font>
      <name val="Calibri"/>
      <charset val="1"/>
      <family val="2"/>
      <b val="1"/>
      <color theme="7" tint="-0.249977111117893"/>
      <sz val="11"/>
    </font>
    <font>
      <name val="Calibri"/>
      <charset val="1"/>
      <family val="2"/>
      <color theme="7" tint="-0.249977111117893"/>
      <sz val="11"/>
    </font>
    <font>
      <name val="Calibri"/>
      <charset val="1"/>
      <family val="2"/>
      <b val="1"/>
      <color theme="1"/>
      <sz val="20"/>
      <u val="single"/>
    </font>
    <font>
      <name val="Calibri"/>
      <charset val="1"/>
      <family val="2"/>
      <b val="1"/>
      <i val="1"/>
      <color theme="1"/>
      <sz val="20"/>
      <u val="single"/>
    </font>
    <font>
      <name val="Calibri"/>
      <charset val="1"/>
      <family val="2"/>
      <b val="1"/>
      <i val="1"/>
      <color theme="1"/>
      <sz val="20"/>
    </font>
    <font>
      <name val="Calibri"/>
      <charset val="1"/>
      <family val="2"/>
      <b val="1"/>
      <color theme="4" tint="-0.499984740745262"/>
      <sz val="14"/>
      <vertAlign val="superscript"/>
    </font>
    <font>
      <name val="Calibri"/>
      <charset val="1"/>
      <family val="2"/>
      <color theme="1"/>
      <sz val="12"/>
      <vertAlign val="subscript"/>
    </font>
    <font>
      <name val="Calibri"/>
      <charset val="1"/>
      <family val="2"/>
      <strike val="1"/>
      <color theme="1"/>
      <sz val="11"/>
    </font>
    <font>
      <name val="Calibri"/>
      <charset val="1"/>
      <family val="2"/>
      <b val="1"/>
      <color theme="1"/>
      <sz val="14"/>
    </font>
    <font>
      <name val="Calibri Light"/>
      <charset val="1"/>
      <family val="2"/>
      <color theme="1"/>
      <sz val="12"/>
    </font>
    <font>
      <name val="Calibri Light"/>
      <charset val="1"/>
      <family val="2"/>
      <b val="1"/>
      <color theme="1"/>
      <sz val="10"/>
    </font>
    <font>
      <name val="Calibri"/>
      <charset val="1"/>
      <family val="2"/>
      <color theme="9" tint="-0.499984740745262"/>
      <sz val="11"/>
    </font>
    <font>
      <name val="Calibri"/>
      <charset val="1"/>
      <family val="2"/>
      <i val="1"/>
      <color theme="9" tint="-0.499984740745262"/>
      <sz val="11"/>
      <vertAlign val="subscript"/>
    </font>
    <font>
      <name val="Calibri"/>
      <charset val="1"/>
      <family val="2"/>
      <i val="1"/>
      <color theme="9" tint="-0.499984740745262"/>
      <sz val="11"/>
    </font>
    <font>
      <name val="Calibri Light"/>
      <charset val="1"/>
      <family val="2"/>
      <i val="1"/>
      <color theme="1"/>
      <sz val="10"/>
    </font>
    <font>
      <name val="Calibri Light"/>
      <charset val="1"/>
      <family val="2"/>
      <i val="1"/>
      <color theme="1"/>
      <sz val="10"/>
      <vertAlign val="superscript"/>
    </font>
    <font>
      <name val="Calibri Light"/>
      <charset val="1"/>
      <family val="2"/>
      <color theme="1"/>
      <sz val="10"/>
      <vertAlign val="superscript"/>
    </font>
    <font>
      <name val="Calibri"/>
      <charset val="1"/>
      <family val="2"/>
      <i val="1"/>
      <color theme="7" tint="-0.249977111117893"/>
      <sz val="11"/>
      <vertAlign val="subscript"/>
    </font>
    <font>
      <name val="Calibri"/>
      <charset val="1"/>
      <family val="2"/>
      <i val="1"/>
      <color theme="7" tint="-0.249977111117893"/>
      <sz val="11"/>
    </font>
    <font>
      <name val="Calibri Light"/>
      <charset val="1"/>
      <family val="2"/>
      <color rgb="FF000000"/>
      <sz val="10"/>
    </font>
    <font>
      <name val="Calibri"/>
      <charset val="1"/>
      <family val="2"/>
      <color theme="9" tint="-0.249977111117893"/>
      <sz val="16"/>
    </font>
    <font>
      <name val="Calibri"/>
      <charset val="1"/>
      <family val="2"/>
      <color theme="9" tint="0.3998840296639912"/>
      <sz val="11"/>
    </font>
    <font>
      <name val="Calibri"/>
      <charset val="1"/>
      <family val="2"/>
      <b val="1"/>
      <color rgb="FF0070C0"/>
      <sz val="14"/>
    </font>
    <font>
      <name val="Calibri"/>
      <charset val="1"/>
      <family val="2"/>
      <color rgb="FF0070C0"/>
      <sz val="12"/>
    </font>
    <font>
      <name val="Calibri"/>
      <charset val="1"/>
      <family val="2"/>
      <color rgb="FF0070C0"/>
      <sz val="16"/>
    </font>
    <font>
      <name val="Calibri"/>
      <charset val="1"/>
      <family val="2"/>
      <color rgb="FFFF3300"/>
      <sz val="11"/>
    </font>
    <font>
      <name val="Calibri"/>
      <charset val="1"/>
      <family val="2"/>
      <b val="1"/>
      <color rgb="FFFF3300"/>
      <sz val="14"/>
    </font>
    <font>
      <name val="Calibri"/>
      <charset val="1"/>
      <family val="2"/>
      <color rgb="FFFF3300"/>
      <sz val="14"/>
    </font>
    <font>
      <name val="Calibri"/>
      <charset val="1"/>
      <family val="2"/>
      <color rgb="FFFF3300"/>
      <sz val="16"/>
    </font>
    <font>
      <name val="Calibri Light"/>
      <charset val="1"/>
      <family val="2"/>
      <color rgb="FF808080"/>
      <sz val="7"/>
    </font>
    <font>
      <name val="Calibri"/>
      <charset val="1"/>
      <family val="2"/>
      <color theme="10"/>
      <sz val="7"/>
      <u val="single"/>
    </font>
    <font>
      <name val="Calibri"/>
      <charset val="1"/>
      <family val="2"/>
      <color theme="10"/>
      <sz val="11"/>
      <u val="single"/>
    </font>
    <font>
      <name val="Calibri Light"/>
      <charset val="1"/>
      <family val="2"/>
      <b val="1"/>
      <color rgb="FF2C6EAB"/>
      <sz val="18"/>
    </font>
    <font>
      <name val="Calibri"/>
      <charset val="1"/>
      <family val="2"/>
      <color theme="1"/>
      <sz val="9"/>
    </font>
    <font>
      <name val="Calibri Light"/>
      <charset val="1"/>
      <family val="2"/>
      <i val="1"/>
      <color rgb="FF2C6EAB"/>
      <sz val="14"/>
    </font>
    <font>
      <name val="Calibri"/>
      <charset val="1"/>
      <family val="2"/>
      <b val="1"/>
      <color theme="4" tint="-0.249977111117893"/>
      <sz val="11"/>
    </font>
    <font>
      <name val="Calibri"/>
      <charset val="1"/>
      <family val="2"/>
      <b val="1"/>
      <color theme="4" tint="-0.249977111117893"/>
      <sz val="11"/>
      <vertAlign val="superscript"/>
    </font>
    <font>
      <name val="Calibri"/>
      <charset val="1"/>
      <family val="2"/>
      <b val="1"/>
      <color rgb="FFFF3300"/>
      <sz val="11"/>
    </font>
    <font>
      <name val="Calibri"/>
      <charset val="1"/>
      <family val="2"/>
      <b val="1"/>
      <color rgb="FFFF3300"/>
      <sz val="11"/>
      <vertAlign val="superscript"/>
    </font>
    <font>
      <name val="Calibri"/>
      <charset val="1"/>
      <family val="2"/>
      <color theme="1"/>
      <sz val="11"/>
    </font>
    <font>
      <name val="Calibri"/>
      <family val="2"/>
      <color theme="1"/>
      <sz val="10"/>
    </font>
    <font>
      <name val="Calibri"/>
      <family val="2"/>
      <b val="1"/>
      <color rgb="FF3F3F3F"/>
      <sz val="11"/>
      <scheme val="minor"/>
    </font>
    <font>
      <name val="Liberation Sans"/>
      <family val="2"/>
      <color theme="1"/>
      <sz val="10"/>
    </font>
    <font>
      <name val="Calibri"/>
      <family val="2"/>
      <color rgb="FF3F3F76"/>
      <sz val="11"/>
    </font>
    <font>
      <name val="Calibri"/>
      <family val="2"/>
      <color rgb="FF000000"/>
      <sz val="11"/>
    </font>
    <font>
      <name val="Liberation Sans"/>
      <family val="2"/>
      <color rgb="FFC9211E"/>
      <sz val="20"/>
    </font>
    <font>
      <name val="Liberation Sans"/>
      <family val="2"/>
      <color rgb="FF2A6099"/>
      <sz val="20"/>
    </font>
    <font>
      <name val="Calibri"/>
      <family val="2"/>
      <color rgb="FF006100"/>
      <sz val="11"/>
    </font>
    <font>
      <name val="Calibri"/>
      <charset val="1"/>
      <family val="2"/>
      <sz val="16"/>
    </font>
    <font>
      <name val="Calibri"/>
      <charset val="1"/>
      <family val="2"/>
      <color theme="1"/>
      <sz val="11"/>
      <u val="single"/>
    </font>
    <font>
      <name val="Calibri Light"/>
      <family val="2"/>
      <color theme="1"/>
      <sz val="10"/>
    </font>
    <font>
      <name val="Calibri"/>
      <family val="2"/>
      <color theme="1"/>
      <sz val="11"/>
      <vertAlign val="subscript"/>
    </font>
    <font>
      <name val="Calibri"/>
      <charset val="1"/>
      <family val="2"/>
      <b val="1"/>
      <sz val="16"/>
    </font>
    <font>
      <name val="Tahoma"/>
      <family val="2"/>
      <color indexed="81"/>
      <sz val="9"/>
    </font>
    <font>
      <name val="Tahoma"/>
      <family val="2"/>
      <b val="1"/>
      <color indexed="81"/>
      <sz val="9"/>
    </font>
    <font>
      <name val="Liberation Sans"/>
      <family val="2"/>
      <b val="1"/>
      <color theme="1"/>
      <sz val="10"/>
    </font>
  </fonts>
  <fills count="39">
    <fill>
      <patternFill/>
    </fill>
    <fill>
      <patternFill patternType="gray125"/>
    </fill>
    <fill>
      <patternFill patternType="solid">
        <fgColor rgb="FFFFCC99"/>
        <bgColor rgb="FFFCBABF"/>
      </patternFill>
    </fill>
    <fill>
      <patternFill patternType="solid">
        <fgColor rgb="FFC6EFCE"/>
        <bgColor rgb="FFE2F0D9"/>
      </patternFill>
    </fill>
    <fill>
      <patternFill patternType="solid">
        <fgColor rgb="FFF2F2F2"/>
        <bgColor rgb="FFE2F0D9"/>
      </patternFill>
    </fill>
    <fill>
      <patternFill patternType="solid">
        <fgColor theme="0" tint="-0.1499984740745262"/>
        <bgColor rgb="FFD0CECE"/>
      </patternFill>
    </fill>
    <fill>
      <patternFill patternType="solid">
        <fgColor rgb="FFFFFF00"/>
        <bgColor rgb="FFFFE699"/>
      </patternFill>
    </fill>
    <fill>
      <patternFill patternType="solid">
        <fgColor theme="4" tint="0.3998840296639912"/>
        <bgColor rgb="FFBFBFBF"/>
      </patternFill>
    </fill>
    <fill>
      <patternFill patternType="solid">
        <fgColor rgb="FFFCBABF"/>
        <bgColor rgb="FFFFCC99"/>
      </patternFill>
    </fill>
    <fill>
      <patternFill patternType="solid">
        <fgColor theme="4" tint="0.7998901333658864"/>
        <bgColor rgb="FFDAE3F3"/>
      </patternFill>
    </fill>
    <fill>
      <patternFill patternType="solid">
        <fgColor rgb="FFFDD7DA"/>
        <bgColor rgb="FFD9D9D9"/>
      </patternFill>
    </fill>
    <fill>
      <patternFill patternType="solid">
        <fgColor theme="4" tint="0.5998718222602009"/>
        <bgColor rgb="FFD0CECE"/>
      </patternFill>
    </fill>
    <fill>
      <patternFill patternType="solid">
        <fgColor theme="0" tint="-0.249977111117893"/>
        <bgColor rgb="FFD0CECE"/>
      </patternFill>
    </fill>
    <fill>
      <patternFill patternType="solid">
        <fgColor theme="7" tint="0.5998718222602009"/>
        <bgColor rgb="FFFFF2CC"/>
      </patternFill>
    </fill>
    <fill>
      <patternFill patternType="solid">
        <fgColor theme="7" tint="0.7998901333658864"/>
        <bgColor rgb="FFF2F2F2"/>
      </patternFill>
    </fill>
    <fill>
      <patternFill patternType="solid">
        <fgColor theme="9" tint="0.7998901333658864"/>
        <bgColor rgb="FFDEEBF7"/>
      </patternFill>
    </fill>
    <fill>
      <patternFill patternType="solid">
        <fgColor theme="9" tint="0.3998840296639912"/>
        <bgColor rgb="FFBFBFBF"/>
      </patternFill>
    </fill>
    <fill>
      <patternFill patternType="solid">
        <fgColor rgb="FF66FF33"/>
        <bgColor rgb="FFA9D18E"/>
      </patternFill>
    </fill>
    <fill>
      <patternFill patternType="solid">
        <fgColor theme="8" tint="0.7998901333658864"/>
        <bgColor rgb="FFDEEBF7"/>
      </patternFill>
    </fill>
    <fill>
      <patternFill patternType="solid">
        <fgColor rgb="FFD0CECE"/>
        <bgColor rgb="FFD9D9D9"/>
      </patternFill>
    </fill>
    <fill>
      <patternFill patternType="solid">
        <fgColor rgb="FFFFFFFF"/>
        <bgColor rgb="FFF2F2F2"/>
      </patternFill>
    </fill>
    <fill>
      <patternFill patternType="solid">
        <fgColor rgb="FFF2F2F2"/>
      </patternFill>
    </fill>
    <fill>
      <patternFill patternType="solid">
        <fgColor rgb="FFFFD7D7"/>
        <bgColor rgb="FFFFD7D7"/>
      </patternFill>
    </fill>
    <fill>
      <patternFill patternType="solid">
        <fgColor rgb="FFFFCC99"/>
        <bgColor rgb="FFFFCC99"/>
      </patternFill>
    </fill>
    <fill>
      <patternFill patternType="solid">
        <fgColor rgb="FFE8F2A1"/>
        <bgColor rgb="FFE8F2A1"/>
      </patternFill>
    </fill>
    <fill>
      <patternFill patternType="solid">
        <fgColor rgb="FFDEE6EF"/>
        <bgColor rgb="FFDEE6EF"/>
      </patternFill>
    </fill>
    <fill>
      <patternFill patternType="solid">
        <fgColor rgb="FFC6EFCE"/>
        <bgColor rgb="FFC6EFCE"/>
      </patternFill>
    </fill>
    <fill>
      <patternFill patternType="solid">
        <fgColor theme="4" tint="0.5999938962981048"/>
        <bgColor indexed="64"/>
      </patternFill>
    </fill>
    <fill>
      <patternFill patternType="solid">
        <fgColor theme="7" tint="0.5999938962981048"/>
        <bgColor indexed="64"/>
      </patternFill>
    </fill>
    <fill>
      <patternFill patternType="solid">
        <fgColor theme="6" tint="0.3999755851924192"/>
        <bgColor rgb="FFFFCC99"/>
      </patternFill>
    </fill>
    <fill>
      <patternFill patternType="solid">
        <fgColor theme="6" tint="0.5999938962981048"/>
        <bgColor rgb="FFD9D9D9"/>
      </patternFill>
    </fill>
    <fill>
      <patternFill patternType="solid">
        <fgColor theme="0" tint="-0.3499862666707358"/>
        <bgColor rgb="FFFFCC99"/>
      </patternFill>
    </fill>
    <fill>
      <patternFill patternType="solid">
        <fgColor theme="0" tint="-0.1499984740745262"/>
        <bgColor indexed="64"/>
      </patternFill>
    </fill>
    <fill>
      <patternFill patternType="solid">
        <fgColor theme="5" tint="0.3999755851924192"/>
        <bgColor rgb="FFBFBFBF"/>
      </patternFill>
    </fill>
    <fill>
      <patternFill patternType="solid">
        <fgColor theme="5" tint="0.5999938962981048"/>
        <bgColor rgb="FFD9D9D9"/>
      </patternFill>
    </fill>
    <fill>
      <patternFill patternType="solid">
        <fgColor theme="5" tint="0.5999938962981048"/>
        <bgColor indexed="64"/>
      </patternFill>
    </fill>
    <fill>
      <patternFill patternType="solid">
        <fgColor theme="5" tint="0.5999938962981048"/>
        <bgColor rgb="FFDEEBF7"/>
      </patternFill>
    </fill>
    <fill>
      <patternFill patternType="solid">
        <fgColor rgb="FFFFC000"/>
        <bgColor rgb="FFD0CECE"/>
      </patternFill>
    </fill>
    <fill>
      <patternFill patternType="solid">
        <fgColor rgb="FFFFC000"/>
        <bgColor indexed="64"/>
      </patternFill>
    </fill>
  </fills>
  <borders count="179">
    <border>
      <left/>
      <right/>
      <top/>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theme="4" tint="-0.249977111117893"/>
      </left>
      <right style="medium">
        <color theme="4" tint="-0.249977111117893"/>
      </right>
      <top style="medium">
        <color theme="4" tint="-0.249977111117893"/>
      </top>
      <bottom/>
      <diagonal/>
    </border>
    <border>
      <left style="medium">
        <color rgb="FFFF3300"/>
      </left>
      <right style="medium">
        <color rgb="FFFF3300"/>
      </right>
      <top style="medium">
        <color rgb="FFFF3300"/>
      </top>
      <bottom/>
      <diagonal/>
    </border>
    <border>
      <left style="medium">
        <color theme="4" tint="-0.249977111117893"/>
      </left>
      <right style="medium">
        <color theme="4" tint="-0.249977111117893"/>
      </right>
      <top/>
      <bottom/>
      <diagonal/>
    </border>
    <border>
      <left style="medium">
        <color rgb="FFFF3300"/>
      </left>
      <right style="medium">
        <color rgb="FFFF3300"/>
      </right>
      <top/>
      <bottom/>
      <diagonal/>
    </border>
    <border>
      <left style="medium">
        <color theme="4" tint="-0.249977111117893"/>
      </left>
      <right/>
      <top/>
      <bottom/>
      <diagonal/>
    </border>
    <border>
      <left/>
      <right style="medium">
        <color theme="4" tint="-0.249977111117893"/>
      </right>
      <top/>
      <bottom/>
      <diagonal/>
    </border>
    <border>
      <left style="medium">
        <color rgb="FFFF3300"/>
      </left>
      <right/>
      <top/>
      <bottom/>
      <diagonal/>
    </border>
    <border>
      <left/>
      <right style="medium">
        <color rgb="FFFF3300"/>
      </right>
      <top/>
      <bottom/>
      <diagonal/>
    </border>
    <border>
      <left style="medium">
        <color theme="4" tint="-0.249977111117893"/>
      </left>
      <right/>
      <top/>
      <bottom style="medium">
        <color theme="4" tint="-0.249977111117893"/>
      </bottom>
      <diagonal/>
    </border>
    <border>
      <left/>
      <right style="medium">
        <color theme="4" tint="-0.249977111117893"/>
      </right>
      <top/>
      <bottom style="medium">
        <color theme="4" tint="-0.249977111117893"/>
      </bottom>
      <diagonal/>
    </border>
    <border>
      <left style="medium">
        <color rgb="FFFF3300"/>
      </left>
      <right/>
      <top/>
      <bottom style="medium">
        <color rgb="FFFF3300"/>
      </bottom>
      <diagonal/>
    </border>
    <border>
      <left/>
      <right style="medium">
        <color rgb="FFFF3300"/>
      </right>
      <top/>
      <bottom style="medium">
        <color rgb="FFFF3300"/>
      </bottom>
      <diagonal/>
    </border>
    <border>
      <left style="medium">
        <color rgb="FF0070C0"/>
      </left>
      <right/>
      <top style="medium">
        <color rgb="FF0070C0"/>
      </top>
      <bottom style="double">
        <color auto="1"/>
      </bottom>
      <diagonal/>
    </border>
    <border>
      <left style="thin">
        <color auto="1"/>
      </left>
      <right/>
      <top style="medium">
        <color rgb="FF0070C0"/>
      </top>
      <bottom/>
      <diagonal/>
    </border>
    <border>
      <left style="thin">
        <color auto="1"/>
      </left>
      <right style="thin">
        <color auto="1"/>
      </right>
      <top style="medium">
        <color rgb="FF0070C0"/>
      </top>
      <bottom/>
      <diagonal/>
    </border>
    <border>
      <left/>
      <right style="medium">
        <color rgb="FF0070C0"/>
      </right>
      <top style="medium">
        <color rgb="FF0070C0"/>
      </top>
      <bottom/>
      <diagonal/>
    </border>
    <border>
      <left style="thin">
        <color auto="1"/>
      </left>
      <right/>
      <top/>
      <bottom style="double">
        <color auto="1"/>
      </bottom>
      <diagonal/>
    </border>
    <border>
      <left style="thin">
        <color auto="1"/>
      </left>
      <right style="medium">
        <color rgb="FF0070C0"/>
      </right>
      <top/>
      <bottom style="double">
        <color auto="1"/>
      </bottom>
      <diagonal/>
    </border>
    <border>
      <left style="medium">
        <color rgb="FF0070C0"/>
      </left>
      <right/>
      <top/>
      <bottom/>
      <diagonal/>
    </border>
    <border>
      <left style="thin">
        <color auto="1"/>
      </left>
      <right/>
      <top/>
      <bottom/>
      <diagonal/>
    </border>
    <border>
      <left style="thin">
        <color auto="1"/>
      </left>
      <right style="medium">
        <color rgb="FF0070C0"/>
      </right>
      <top style="double">
        <color auto="1"/>
      </top>
      <bottom/>
      <diagonal/>
    </border>
    <border>
      <left style="medium">
        <color rgb="FF0070C0"/>
      </left>
      <right/>
      <top/>
      <bottom style="medium">
        <color rgb="FF0070C0"/>
      </bottom>
      <diagonal/>
    </border>
    <border>
      <left style="thin">
        <color auto="1"/>
      </left>
      <right/>
      <top/>
      <bottom style="medium">
        <color rgb="FF0070C0"/>
      </bottom>
      <diagonal/>
    </border>
    <border>
      <left style="thin">
        <color auto="1"/>
      </left>
      <right style="thin">
        <color auto="1"/>
      </right>
      <top/>
      <bottom style="medium">
        <color rgb="FF0070C0"/>
      </bottom>
      <diagonal/>
    </border>
    <border>
      <left/>
      <right/>
      <top/>
      <bottom style="medium">
        <color rgb="FF0070C0"/>
      </bottom>
      <diagonal/>
    </border>
    <border>
      <left style="thin">
        <color auto="1"/>
      </left>
      <right style="medium">
        <color rgb="FF0070C0"/>
      </right>
      <top/>
      <bottom style="medium">
        <color rgb="FF0070C0"/>
      </bottom>
      <diagonal/>
    </border>
    <border>
      <left/>
      <right/>
      <top style="medium">
        <color rgb="FF0070C0"/>
      </top>
      <bottom style="medium">
        <color rgb="FF0070C0"/>
      </bottom>
      <diagonal/>
    </border>
    <border>
      <left style="medium">
        <color rgb="FF0070C0"/>
      </left>
      <right/>
      <top/>
      <bottom style="double">
        <color auto="1"/>
      </bottom>
      <diagonal/>
    </border>
    <border>
      <left/>
      <right/>
      <top style="medium">
        <color rgb="FF0070C0"/>
      </top>
      <bottom style="double">
        <color auto="1"/>
      </bottom>
      <diagonal/>
    </border>
    <border>
      <left style="thin">
        <color auto="1"/>
      </left>
      <right style="thin">
        <color auto="1"/>
      </right>
      <top style="medium">
        <color rgb="FF0070C0"/>
      </top>
      <bottom style="double">
        <color auto="1"/>
      </bottom>
      <diagonal/>
    </border>
    <border>
      <left style="thin">
        <color auto="1"/>
      </left>
      <right style="medium">
        <color rgb="FF0070C0"/>
      </right>
      <top style="medium">
        <color rgb="FF0070C0"/>
      </top>
      <bottom style="double">
        <color auto="1"/>
      </bottom>
      <diagonal/>
    </border>
    <border>
      <left style="medium">
        <color rgb="FFFF3300"/>
      </left>
      <right/>
      <top style="medium">
        <color rgb="FFFF3300"/>
      </top>
      <bottom style="double">
        <color auto="1"/>
      </bottom>
      <diagonal/>
    </border>
    <border>
      <left style="thin">
        <color auto="1"/>
      </left>
      <right/>
      <top style="medium">
        <color rgb="FFFF3300"/>
      </top>
      <bottom/>
      <diagonal/>
    </border>
    <border>
      <left style="thin">
        <color auto="1"/>
      </left>
      <right style="thin">
        <color auto="1"/>
      </right>
      <top style="medium">
        <color rgb="FFFF3300"/>
      </top>
      <bottom/>
      <diagonal/>
    </border>
    <border>
      <left/>
      <right style="medium">
        <color rgb="FFFF3300"/>
      </right>
      <top style="medium">
        <color rgb="FFFF3300"/>
      </top>
      <bottom/>
      <diagonal/>
    </border>
    <border>
      <left style="thin">
        <color auto="1"/>
      </left>
      <right style="thin">
        <color auto="1"/>
      </right>
      <top/>
      <bottom style="double">
        <color auto="1"/>
      </bottom>
      <diagonal/>
    </border>
    <border>
      <left/>
      <right/>
      <top/>
      <bottom style="double">
        <color auto="1"/>
      </bottom>
      <diagonal/>
    </border>
    <border>
      <left style="thin">
        <color auto="1"/>
      </left>
      <right style="medium">
        <color rgb="FFFF3300"/>
      </right>
      <top/>
      <bottom style="double">
        <color auto="1"/>
      </bottom>
      <diagonal/>
    </border>
    <border>
      <left style="thin">
        <color auto="1"/>
      </left>
      <right style="medium">
        <color rgb="FFFF3300"/>
      </right>
      <top/>
      <bottom/>
      <diagonal/>
    </border>
    <border>
      <left style="thin">
        <color auto="1"/>
      </left>
      <right/>
      <top/>
      <bottom style="medium">
        <color rgb="FFFF3300"/>
      </bottom>
      <diagonal/>
    </border>
    <border>
      <left style="thin">
        <color auto="1"/>
      </left>
      <right style="thin">
        <color auto="1"/>
      </right>
      <top/>
      <bottom style="medium">
        <color rgb="FFFF3300"/>
      </bottom>
      <diagonal/>
    </border>
    <border>
      <left/>
      <right/>
      <top/>
      <bottom style="medium">
        <color rgb="FFFF3300"/>
      </bottom>
      <diagonal/>
    </border>
    <border>
      <left style="thin">
        <color auto="1"/>
      </left>
      <right style="medium">
        <color rgb="FFFF3300"/>
      </right>
      <top/>
      <bottom style="medium">
        <color rgb="FFFF3300"/>
      </bottom>
      <diagonal/>
    </border>
    <border>
      <left/>
      <right/>
      <top style="medium">
        <color rgb="FFFF3300"/>
      </top>
      <bottom style="double">
        <color auto="1"/>
      </bottom>
      <diagonal/>
    </border>
    <border>
      <left style="thin">
        <color auto="1"/>
      </left>
      <right style="thin">
        <color auto="1"/>
      </right>
      <top style="medium">
        <color rgb="FFFF3300"/>
      </top>
      <bottom style="double">
        <color auto="1"/>
      </bottom>
      <diagonal/>
    </border>
    <border>
      <left style="thin">
        <color auto="1"/>
      </left>
      <right style="medium">
        <color rgb="FFFF3300"/>
      </right>
      <top style="medium">
        <color rgb="FFFF3300"/>
      </top>
      <bottom style="double">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style="double">
        <color auto="1"/>
      </bottom>
      <diagonal/>
    </border>
    <border>
      <left style="thin">
        <color auto="1"/>
      </left>
      <right/>
      <top style="medium">
        <color auto="1"/>
      </top>
      <bottom/>
      <diagonal/>
    </border>
    <border>
      <left style="thin">
        <color auto="1"/>
      </left>
      <right style="thin">
        <color auto="1"/>
      </right>
      <top style="medium">
        <color auto="1"/>
      </top>
      <bottom/>
      <diagonal/>
    </border>
    <border>
      <left style="thin">
        <color auto="1"/>
      </left>
      <right style="medium">
        <color auto="1"/>
      </right>
      <top/>
      <bottom style="double">
        <color auto="1"/>
      </bottom>
      <diagonal/>
    </border>
    <border>
      <left style="medium">
        <color auto="1"/>
      </left>
      <right/>
      <top/>
      <bottom/>
      <diagonal/>
    </border>
    <border>
      <left style="thin">
        <color auto="1"/>
      </left>
      <right style="medium">
        <color auto="1"/>
      </right>
      <top/>
      <bottom/>
      <diagonal/>
    </border>
    <border>
      <left style="thin">
        <color auto="1"/>
      </left>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right/>
      <top style="medium">
        <color auto="1"/>
      </top>
      <bottom style="double">
        <color auto="1"/>
      </bottom>
      <diagonal/>
    </border>
    <border>
      <left style="thin">
        <color auto="1"/>
      </left>
      <right style="thin">
        <color auto="1"/>
      </right>
      <top style="medium">
        <color auto="1"/>
      </top>
      <bottom style="double">
        <color auto="1"/>
      </bottom>
      <diagonal/>
    </border>
    <border>
      <left style="thin">
        <color auto="1"/>
      </left>
      <right style="medium">
        <color auto="1"/>
      </right>
      <top style="medium">
        <color auto="1"/>
      </top>
      <bottom style="double">
        <color auto="1"/>
      </bottom>
      <diagonal/>
    </border>
    <border>
      <left/>
      <right style="medium">
        <color auto="1"/>
      </right>
      <top/>
      <bottom/>
      <diagonal/>
    </border>
    <border>
      <left style="medium">
        <color auto="1"/>
      </left>
      <right/>
      <top/>
      <bottom style="thick">
        <color theme="4"/>
      </bottom>
      <diagonal/>
    </border>
    <border>
      <left/>
      <right style="medium">
        <color auto="1"/>
      </right>
      <top/>
      <bottom style="thick">
        <color theme="4"/>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medium">
        <color auto="1"/>
      </right>
      <top style="medium">
        <color auto="1"/>
      </top>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medium">
        <color auto="1"/>
      </right>
      <top/>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diagonal/>
    </border>
    <border>
      <left/>
      <right style="medium">
        <color auto="1"/>
      </right>
      <top style="medium">
        <color auto="1"/>
      </top>
      <bottom style="double">
        <color auto="1"/>
      </bottom>
      <diagonal/>
    </border>
    <border>
      <left style="medium">
        <color auto="1"/>
      </left>
      <right style="thin">
        <color auto="1"/>
      </right>
      <top style="medium">
        <color auto="1"/>
      </top>
      <bottom style="double">
        <color auto="1"/>
      </bottom>
      <diagonal/>
    </border>
    <border>
      <left style="medium">
        <color auto="1"/>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style="medium">
        <color auto="1"/>
      </right>
      <top style="double">
        <color auto="1"/>
      </top>
      <bottom style="thin">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medium">
        <color auto="1"/>
      </right>
      <top style="medium">
        <color auto="1"/>
      </top>
      <bottom style="thin">
        <color auto="1"/>
      </bottom>
      <diagonal/>
    </border>
    <border>
      <left/>
      <right style="thin">
        <color auto="1"/>
      </right>
      <top style="medium">
        <color auto="1"/>
      </top>
      <bottom style="thin">
        <color auto="1"/>
      </bottom>
      <diagonal/>
    </border>
    <border>
      <left/>
      <right style="thin">
        <color auto="1"/>
      </right>
      <top/>
      <bottom/>
      <diagonal/>
    </border>
    <border>
      <left style="medium">
        <color auto="1"/>
      </left>
      <right style="thin">
        <color auto="1"/>
      </right>
      <top/>
      <bottom/>
      <diagonal/>
    </border>
    <border>
      <left/>
      <right/>
      <top style="thick">
        <color theme="4"/>
      </top>
      <bottom style="thin">
        <color auto="1"/>
      </bottom>
      <diagonal/>
    </border>
    <border>
      <left style="medium">
        <color auto="1"/>
      </left>
      <right style="medium">
        <color auto="1"/>
      </right>
      <top style="thin">
        <color auto="1"/>
      </top>
      <bottom style="medium">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thin">
        <color auto="1"/>
      </bottom>
      <diagonal/>
    </border>
    <border>
      <left/>
      <right/>
      <top/>
      <bottom style="thin">
        <color auto="1"/>
      </bottom>
      <diagonal/>
    </border>
    <border>
      <left style="medium">
        <color auto="1"/>
      </left>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thin">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bottom style="thin">
        <color auto="1"/>
      </bottom>
      <diagonal/>
    </border>
    <border>
      <left/>
      <right style="medium">
        <color auto="1"/>
      </right>
      <top/>
      <bottom style="thin">
        <color auto="1"/>
      </bottom>
      <diagonal/>
    </border>
    <border>
      <left style="medium">
        <color theme="9" tint="-0.249977111117893"/>
      </left>
      <right/>
      <top style="medium">
        <color theme="9" tint="-0.249977111117893"/>
      </top>
      <bottom/>
      <diagonal/>
    </border>
    <border>
      <left/>
      <right/>
      <top style="medium">
        <color theme="9" tint="-0.249977111117893"/>
      </top>
      <bottom/>
      <diagonal/>
    </border>
    <border>
      <left/>
      <right style="medium">
        <color theme="9" tint="-0.249977111117893"/>
      </right>
      <top style="medium">
        <color theme="9" tint="-0.249977111117893"/>
      </top>
      <bottom/>
      <diagonal/>
    </border>
    <border>
      <left style="medium">
        <color theme="9" tint="-0.249977111117893"/>
      </left>
      <right/>
      <top/>
      <bottom/>
      <diagonal/>
    </border>
    <border>
      <left/>
      <right style="medium">
        <color theme="9" tint="-0.249977111117893"/>
      </right>
      <top/>
      <bottom/>
      <diagonal/>
    </border>
    <border>
      <left style="thin">
        <color auto="1"/>
      </left>
      <right style="medium">
        <color theme="9" tint="-0.249977111117893"/>
      </right>
      <top style="medium">
        <color auto="1"/>
      </top>
      <bottom style="thin">
        <color auto="1"/>
      </bottom>
      <diagonal/>
    </border>
    <border>
      <left style="thin">
        <color auto="1"/>
      </left>
      <right style="medium">
        <color theme="9" tint="-0.249977111117893"/>
      </right>
      <top style="thin">
        <color auto="1"/>
      </top>
      <bottom style="medium">
        <color auto="1"/>
      </bottom>
      <diagonal/>
    </border>
    <border>
      <left style="medium">
        <color theme="9" tint="-0.249977111117893"/>
      </left>
      <right/>
      <top/>
      <bottom style="medium">
        <color theme="9" tint="-0.249977111117893"/>
      </bottom>
      <diagonal/>
    </border>
    <border>
      <left style="medium">
        <color auto="1"/>
      </left>
      <right/>
      <top/>
      <bottom style="medium">
        <color theme="9" tint="-0.249977111117893"/>
      </bottom>
      <diagonal/>
    </border>
    <border>
      <left style="thin">
        <color auto="1"/>
      </left>
      <right style="thin">
        <color auto="1"/>
      </right>
      <top style="thin">
        <color auto="1"/>
      </top>
      <bottom style="medium">
        <color theme="9" tint="-0.249977111117893"/>
      </bottom>
      <diagonal/>
    </border>
    <border>
      <left style="thin">
        <color auto="1"/>
      </left>
      <right style="medium">
        <color theme="9" tint="-0.249977111117893"/>
      </right>
      <top style="thin">
        <color auto="1"/>
      </top>
      <bottom style="medium">
        <color theme="9" tint="-0.249977111117893"/>
      </bottom>
      <diagonal/>
    </border>
    <border>
      <left style="medium">
        <color rgb="FF0070C0"/>
      </left>
      <right/>
      <top style="medium">
        <color rgb="FF0070C0"/>
      </top>
      <bottom/>
      <diagonal/>
    </border>
    <border>
      <left/>
      <right/>
      <top style="medium">
        <color rgb="FF0070C0"/>
      </top>
      <bottom/>
      <diagonal/>
    </border>
    <border>
      <left/>
      <right style="medium">
        <color rgb="FF0070C0"/>
      </right>
      <top/>
      <bottom/>
      <diagonal/>
    </border>
    <border>
      <left style="thin">
        <color auto="1"/>
      </left>
      <right style="medium">
        <color rgb="FF0070C0"/>
      </right>
      <top style="medium">
        <color auto="1"/>
      </top>
      <bottom style="thin">
        <color auto="1"/>
      </bottom>
      <diagonal/>
    </border>
    <border>
      <left style="thin">
        <color auto="1"/>
      </left>
      <right style="medium">
        <color rgb="FF0070C0"/>
      </right>
      <top style="thin">
        <color auto="1"/>
      </top>
      <bottom style="medium">
        <color auto="1"/>
      </bottom>
      <diagonal/>
    </border>
    <border>
      <left style="medium">
        <color auto="1"/>
      </left>
      <right/>
      <top/>
      <bottom style="medium">
        <color rgb="FF0070C0"/>
      </bottom>
      <diagonal/>
    </border>
    <border>
      <left style="thin">
        <color auto="1"/>
      </left>
      <right style="thin">
        <color auto="1"/>
      </right>
      <top style="thin">
        <color auto="1"/>
      </top>
      <bottom style="medium">
        <color rgb="FF0070C0"/>
      </bottom>
      <diagonal/>
    </border>
    <border>
      <left style="thin">
        <color auto="1"/>
      </left>
      <right style="medium">
        <color rgb="FF0070C0"/>
      </right>
      <top style="thin">
        <color auto="1"/>
      </top>
      <bottom style="medium">
        <color rgb="FF0070C0"/>
      </bottom>
      <diagonal/>
    </border>
    <border>
      <left style="medium">
        <color rgb="FFFF3300"/>
      </left>
      <right/>
      <top style="medium">
        <color rgb="FFFF3300"/>
      </top>
      <bottom/>
      <diagonal/>
    </border>
    <border>
      <left/>
      <right/>
      <top style="medium">
        <color rgb="FFFF3300"/>
      </top>
      <bottom/>
      <diagonal/>
    </border>
    <border>
      <left style="thin">
        <color auto="1"/>
      </left>
      <right style="medium">
        <color rgb="FFFF3300"/>
      </right>
      <top style="medium">
        <color auto="1"/>
      </top>
      <bottom style="thin">
        <color auto="1"/>
      </bottom>
      <diagonal/>
    </border>
    <border>
      <left style="thin">
        <color auto="1"/>
      </left>
      <right style="medium">
        <color rgb="FFFF3300"/>
      </right>
      <top style="thin">
        <color auto="1"/>
      </top>
      <bottom style="medium">
        <color auto="1"/>
      </bottom>
      <diagonal/>
    </border>
    <border>
      <left style="medium">
        <color auto="1"/>
      </left>
      <right/>
      <top/>
      <bottom style="medium">
        <color rgb="FFFF3300"/>
      </bottom>
      <diagonal/>
    </border>
    <border>
      <left style="thin">
        <color auto="1"/>
      </left>
      <right style="thin">
        <color auto="1"/>
      </right>
      <top style="thin">
        <color auto="1"/>
      </top>
      <bottom style="medium">
        <color rgb="FFFF3300"/>
      </bottom>
      <diagonal/>
    </border>
    <border>
      <left style="thin">
        <color auto="1"/>
      </left>
      <right style="medium">
        <color rgb="FFFF3300"/>
      </right>
      <top style="thin">
        <color auto="1"/>
      </top>
      <bottom style="medium">
        <color rgb="FFFF3300"/>
      </bottom>
      <diagonal/>
    </border>
    <border>
      <left style="thin">
        <color rgb="FF3F3F3F"/>
      </left>
      <right style="thin">
        <color rgb="FF3F3F3F"/>
      </right>
      <top style="thin">
        <color rgb="FF3F3F3F"/>
      </top>
      <bottom style="thin">
        <color rgb="FF3F3F3F"/>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808080"/>
      </left>
      <right style="thin">
        <color rgb="FF808080"/>
      </right>
      <top style="thin">
        <color rgb="FF000000"/>
      </top>
      <bottom style="thin">
        <color rgb="FF808080"/>
      </bottom>
      <diagonal/>
    </border>
    <border>
      <left/>
      <right style="thin">
        <color rgb="FF000000"/>
      </right>
      <top style="thin">
        <color rgb="FF000000"/>
      </top>
      <bottom/>
      <diagonal/>
    </border>
    <border>
      <left style="thin">
        <color rgb="FF000000"/>
      </left>
      <right/>
      <top/>
      <bottom/>
      <diagonal/>
    </border>
    <border>
      <left style="thin">
        <color rgb="FF808080"/>
      </left>
      <right style="thin">
        <color rgb="FF808080"/>
      </right>
      <top style="thin">
        <color rgb="FF808080"/>
      </top>
      <bottom style="thin">
        <color rgb="FF808080"/>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808080"/>
      </left>
      <right style="thin">
        <color rgb="FF808080"/>
      </right>
      <top style="thin">
        <color rgb="FF808080"/>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FF0000"/>
      </left>
      <right style="thin">
        <color rgb="FF808080"/>
      </right>
      <top style="medium">
        <color rgb="FFFF0000"/>
      </top>
      <bottom style="thin">
        <color rgb="FF808080"/>
      </bottom>
      <diagonal/>
    </border>
    <border>
      <left style="thin">
        <color rgb="FF808080"/>
      </left>
      <right style="thin">
        <color rgb="FF808080"/>
      </right>
      <top style="medium">
        <color rgb="FFFF0000"/>
      </top>
      <bottom style="thin">
        <color rgb="FF808080"/>
      </bottom>
      <diagonal/>
    </border>
    <border>
      <left style="thin">
        <color rgb="FF808080"/>
      </left>
      <right style="medium">
        <color rgb="FFFF0000"/>
      </right>
      <top style="medium">
        <color rgb="FFFF0000"/>
      </top>
      <bottom style="thin">
        <color rgb="FF808080"/>
      </bottom>
      <diagonal/>
    </border>
    <border>
      <left style="medium">
        <color rgb="FFFF0000"/>
      </left>
      <right style="thin">
        <color rgb="FF808080"/>
      </right>
      <top style="thin">
        <color rgb="FF808080"/>
      </top>
      <bottom style="thin">
        <color rgb="FF808080"/>
      </bottom>
      <diagonal/>
    </border>
    <border>
      <left style="thin">
        <color rgb="FF808080"/>
      </left>
      <right style="medium">
        <color rgb="FFFF0000"/>
      </right>
      <top style="thin">
        <color rgb="FF808080"/>
      </top>
      <bottom style="thin">
        <color rgb="FF808080"/>
      </bottom>
      <diagonal/>
    </border>
    <border>
      <left style="medium">
        <color rgb="FFFF0000"/>
      </left>
      <right style="thin">
        <color rgb="FF808080"/>
      </right>
      <top style="thin">
        <color rgb="FF000000"/>
      </top>
      <bottom style="thin">
        <color rgb="FF808080"/>
      </bottom>
      <diagonal/>
    </border>
    <border>
      <left style="thin">
        <color rgb="FF808080"/>
      </left>
      <right style="medium">
        <color rgb="FFFF0000"/>
      </right>
      <top style="thin">
        <color rgb="FF000000"/>
      </top>
      <bottom style="thin">
        <color rgb="FF808080"/>
      </bottom>
      <diagonal/>
    </border>
    <border>
      <left style="medium">
        <color rgb="FFFF0000"/>
      </left>
      <right style="thin">
        <color rgb="FF808080"/>
      </right>
      <top style="thin">
        <color rgb="FF808080"/>
      </top>
      <bottom style="thin">
        <color rgb="FF000000"/>
      </bottom>
      <diagonal/>
    </border>
    <border>
      <left style="thin">
        <color rgb="FF808080"/>
      </left>
      <right style="medium">
        <color rgb="FFFF0000"/>
      </right>
      <top style="thin">
        <color rgb="FF808080"/>
      </top>
      <bottom style="thin">
        <color rgb="FF000000"/>
      </bottom>
      <diagonal/>
    </border>
    <border>
      <left style="medium">
        <color rgb="FFFF0000"/>
      </left>
      <right style="thin">
        <color rgb="FF808080"/>
      </right>
      <top style="thin">
        <color rgb="FF808080"/>
      </top>
      <bottom style="medium">
        <color rgb="FFFF0000"/>
      </bottom>
      <diagonal/>
    </border>
    <border>
      <left style="thin">
        <color rgb="FF808080"/>
      </left>
      <right style="thin">
        <color rgb="FF808080"/>
      </right>
      <top style="thin">
        <color rgb="FF808080"/>
      </top>
      <bottom style="medium">
        <color rgb="FFFF0000"/>
      </bottom>
      <diagonal/>
    </border>
    <border>
      <left style="thin">
        <color rgb="FF808080"/>
      </left>
      <right style="medium">
        <color rgb="FFFF0000"/>
      </right>
      <top style="thin">
        <color rgb="FF808080"/>
      </top>
      <bottom style="medium">
        <color rgb="FFFF0000"/>
      </bottom>
      <diagonal/>
    </border>
    <border>
      <left/>
      <right style="medium">
        <color rgb="FFFF0000"/>
      </right>
      <top style="thin">
        <color rgb="FF000000"/>
      </top>
      <bottom style="thin">
        <color indexed="64"/>
      </bottom>
      <diagonal/>
    </border>
    <border>
      <left/>
      <right style="thin">
        <color auto="1"/>
      </right>
      <top style="medium">
        <color rgb="FF0070C0"/>
      </top>
      <bottom/>
      <diagonal/>
    </border>
    <border>
      <left style="medium">
        <color rgb="FFFF3300"/>
      </left>
      <right/>
      <top/>
      <bottom style="double">
        <color auto="1"/>
      </bottom>
      <diagonal/>
    </border>
    <border>
      <left/>
      <right style="thin">
        <color auto="1"/>
      </right>
      <top style="medium">
        <color rgb="FFFF3300"/>
      </top>
      <bottom/>
      <diagonal/>
    </border>
    <border>
      <left/>
      <right/>
      <top style="medium">
        <color theme="4" tint="-0.249977111117893"/>
      </top>
      <bottom/>
      <diagonal/>
    </border>
    <border>
      <left/>
      <right style="medium">
        <color theme="4" tint="-0.249977111117893"/>
      </right>
      <top style="medium">
        <color theme="4" tint="-0.249977111117893"/>
      </top>
      <bottom/>
      <diagonal/>
    </border>
    <border>
      <left style="medium">
        <color auto="1"/>
      </left>
      <right/>
      <top/>
      <bottom style="double">
        <color auto="1"/>
      </bottom>
      <diagonal/>
    </border>
    <border>
      <left/>
      <right style="thin">
        <color auto="1"/>
      </right>
      <top style="medium">
        <color auto="1"/>
      </top>
      <bottom/>
      <diagonal/>
    </border>
    <border>
      <left/>
      <right/>
      <top style="thin">
        <color auto="1"/>
      </top>
      <bottom/>
      <diagonal/>
    </border>
    <border>
      <left/>
      <right style="thin">
        <color auto="1"/>
      </right>
      <top style="thin">
        <color auto="1"/>
      </top>
      <bottom/>
      <diagonal/>
    </border>
    <border>
      <left/>
      <right style="thin">
        <color auto="1"/>
      </right>
      <top style="thin">
        <color auto="1"/>
      </top>
      <bottom style="thin">
        <color auto="1"/>
      </bottom>
      <diagonal/>
    </border>
    <border>
      <left/>
      <right style="medium">
        <color auto="1"/>
      </right>
      <top style="thin">
        <color auto="1"/>
      </top>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s>
  <cellStyleXfs count="16">
    <xf numFmtId="0" fontId="82" fillId="0" borderId="0"/>
    <xf numFmtId="9" fontId="82" fillId="0" borderId="0"/>
    <xf numFmtId="0" fontId="74" fillId="0" borderId="0"/>
    <xf numFmtId="0" fontId="2" fillId="0" borderId="0"/>
    <xf numFmtId="0" fontId="2" fillId="0" borderId="0"/>
    <xf numFmtId="0" fontId="6" fillId="2" borderId="1"/>
    <xf numFmtId="0" fontId="18" fillId="3" borderId="0"/>
    <xf numFmtId="0" fontId="32" fillId="0" borderId="2"/>
    <xf numFmtId="0" fontId="35" fillId="0" borderId="0"/>
    <xf numFmtId="0" fontId="36" fillId="4" borderId="1"/>
    <xf numFmtId="0" fontId="84" fillId="21" borderId="135"/>
    <xf numFmtId="0" fontId="85" fillId="0" borderId="0"/>
    <xf numFmtId="0" fontId="86" fillId="23" borderId="1"/>
    <xf numFmtId="9" fontId="87" fillId="0" borderId="0"/>
    <xf numFmtId="0" fontId="90" fillId="26" borderId="0"/>
    <xf numFmtId="0" fontId="85" fillId="0" borderId="0"/>
  </cellStyleXfs>
  <cellXfs count="627">
    <xf numFmtId="0" fontId="0" fillId="0" borderId="0" pivotButton="0" quotePrefix="0" xfId="0"/>
    <xf numFmtId="0" fontId="3" fillId="5" borderId="0" pivotButton="0" quotePrefix="0" xfId="0"/>
    <xf numFmtId="0" fontId="0" fillId="5" borderId="0" pivotButton="0" quotePrefix="0" xfId="0"/>
    <xf numFmtId="0" fontId="4" fillId="0" borderId="0" pivotButton="0" quotePrefix="0" xfId="0"/>
    <xf numFmtId="0" fontId="5" fillId="0" borderId="0" pivotButton="0" quotePrefix="0" xfId="0"/>
    <xf numFmtId="0" fontId="0" fillId="0" borderId="0" applyAlignment="1" pivotButton="0" quotePrefix="0" xfId="0">
      <alignment horizontal="center" vertical="center"/>
    </xf>
    <xf numFmtId="0" fontId="6" fillId="6" borderId="1" pivotButton="0" quotePrefix="0" xfId="5"/>
    <xf numFmtId="0" fontId="6" fillId="6" borderId="1" applyAlignment="1" pivotButton="0" quotePrefix="0" xfId="5">
      <alignment horizontal="right"/>
    </xf>
    <xf numFmtId="0" fontId="7" fillId="0" borderId="3" applyAlignment="1" pivotButton="0" quotePrefix="0" xfId="0">
      <alignment horizontal="center" vertical="center"/>
    </xf>
    <xf numFmtId="0" fontId="7" fillId="0" borderId="4" applyAlignment="1" pivotButton="0" quotePrefix="0" xfId="0">
      <alignment horizontal="center" vertical="center"/>
    </xf>
    <xf numFmtId="0" fontId="7" fillId="0" borderId="5" applyAlignment="1" pivotButton="0" quotePrefix="0" xfId="0">
      <alignment horizontal="center" vertical="center"/>
    </xf>
    <xf numFmtId="0" fontId="0" fillId="0" borderId="0" applyAlignment="1" pivotButton="0" quotePrefix="0" xfId="0">
      <alignment vertical="center"/>
    </xf>
    <xf numFmtId="0" fontId="10" fillId="0" borderId="0" pivotButton="0" quotePrefix="0" xfId="0"/>
    <xf numFmtId="0" fontId="0" fillId="9" borderId="10" pivotButton="0" quotePrefix="0" xfId="0"/>
    <xf numFmtId="0" fontId="0" fillId="9" borderId="11" applyAlignment="1" pivotButton="0" quotePrefix="0" xfId="0">
      <alignment horizontal="center" vertical="center"/>
    </xf>
    <xf numFmtId="0" fontId="0" fillId="10" borderId="12" applyAlignment="1" pivotButton="0" quotePrefix="0" xfId="0">
      <alignment vertical="center"/>
    </xf>
    <xf numFmtId="0" fontId="0" fillId="10" borderId="13" applyAlignment="1" pivotButton="0" quotePrefix="0" xfId="0">
      <alignment horizontal="center" vertical="center"/>
    </xf>
    <xf numFmtId="1" fontId="0" fillId="0" borderId="0" pivotButton="0" quotePrefix="0" xfId="0"/>
    <xf numFmtId="1" fontId="0" fillId="9" borderId="11" applyAlignment="1" pivotButton="0" quotePrefix="0" xfId="0">
      <alignment horizontal="center" vertical="center"/>
    </xf>
    <xf numFmtId="1" fontId="0" fillId="10" borderId="13" applyAlignment="1" pivotButton="0" quotePrefix="0" xfId="0">
      <alignment horizontal="center" vertical="center"/>
    </xf>
    <xf numFmtId="0" fontId="0" fillId="9" borderId="14" pivotButton="0" quotePrefix="0" xfId="0"/>
    <xf numFmtId="1" fontId="0" fillId="9" borderId="15" applyAlignment="1" pivotButton="0" quotePrefix="0" xfId="0">
      <alignment horizontal="center" vertical="center"/>
    </xf>
    <xf numFmtId="0" fontId="0" fillId="10" borderId="16" applyAlignment="1" pivotButton="0" quotePrefix="0" xfId="0">
      <alignment vertical="center"/>
    </xf>
    <xf numFmtId="1" fontId="0" fillId="10" borderId="17" applyAlignment="1" pivotButton="0" quotePrefix="0" xfId="0">
      <alignment horizontal="center" vertical="center"/>
    </xf>
    <xf numFmtId="10" fontId="0" fillId="0" borderId="0" pivotButton="0" quotePrefix="0" xfId="0"/>
    <xf numFmtId="0" fontId="11" fillId="6" borderId="0" pivotButton="0" quotePrefix="0" xfId="0"/>
    <xf numFmtId="0" fontId="18" fillId="11" borderId="22" applyAlignment="1" pivotButton="0" quotePrefix="0" xfId="6">
      <alignment horizontal="center" vertical="center"/>
    </xf>
    <xf numFmtId="0" fontId="0" fillId="11" borderId="22" applyAlignment="1" pivotButton="0" quotePrefix="0" xfId="0">
      <alignment horizontal="center" vertical="center"/>
    </xf>
    <xf numFmtId="0" fontId="0" fillId="11" borderId="23" applyAlignment="1" pivotButton="0" quotePrefix="0" xfId="0">
      <alignment horizontal="center" vertical="center"/>
    </xf>
    <xf numFmtId="0" fontId="0" fillId="9" borderId="24" pivotButton="0" quotePrefix="0" xfId="0"/>
    <xf numFmtId="0" fontId="0" fillId="9" borderId="27" pivotButton="0" quotePrefix="0" xfId="0"/>
    <xf numFmtId="0" fontId="18" fillId="6" borderId="28" applyAlignment="1" pivotButton="0" quotePrefix="0" xfId="6">
      <alignment horizontal="center" vertical="center"/>
    </xf>
    <xf numFmtId="0" fontId="18" fillId="6" borderId="29" applyAlignment="1" pivotButton="0" quotePrefix="0" xfId="6">
      <alignment horizontal="center" vertical="center"/>
    </xf>
    <xf numFmtId="0" fontId="18" fillId="6" borderId="30" applyAlignment="1" pivotButton="0" quotePrefix="0" xfId="6">
      <alignment horizontal="center" vertical="center"/>
    </xf>
    <xf numFmtId="0" fontId="18" fillId="6" borderId="31" applyAlignment="1" pivotButton="0" quotePrefix="0" xfId="6">
      <alignment horizontal="center" vertical="center"/>
    </xf>
    <xf numFmtId="0" fontId="0" fillId="0" borderId="32" pivotButton="0" quotePrefix="0" xfId="0"/>
    <xf numFmtId="0" fontId="15" fillId="11" borderId="33" applyAlignment="1" pivotButton="0" quotePrefix="0" xfId="0">
      <alignment horizontal="center" wrapText="1"/>
    </xf>
    <xf numFmtId="0" fontId="0" fillId="11" borderId="34" applyAlignment="1" pivotButton="0" quotePrefix="0" xfId="0">
      <alignment horizontal="center" vertical="center" wrapText="1"/>
    </xf>
    <xf numFmtId="0" fontId="0" fillId="11" borderId="35" applyAlignment="1" pivotButton="0" quotePrefix="0" xfId="0">
      <alignment horizontal="center" vertical="center" wrapText="1"/>
    </xf>
    <xf numFmtId="0" fontId="0" fillId="11" borderId="36" applyAlignment="1" pivotButton="0" quotePrefix="0" xfId="0">
      <alignment horizontal="center" vertical="center" wrapText="1"/>
    </xf>
    <xf numFmtId="0" fontId="15" fillId="11" borderId="18" applyAlignment="1" pivotButton="0" quotePrefix="0" xfId="0">
      <alignment horizontal="center" wrapText="1"/>
    </xf>
    <xf numFmtId="0" fontId="18" fillId="8" borderId="22" applyAlignment="1" pivotButton="0" quotePrefix="0" xfId="6">
      <alignment horizontal="center" vertical="center"/>
    </xf>
    <xf numFmtId="0" fontId="0" fillId="8" borderId="22" applyAlignment="1" pivotButton="0" quotePrefix="0" xfId="0">
      <alignment horizontal="center" vertical="center"/>
    </xf>
    <xf numFmtId="0" fontId="0" fillId="8" borderId="41" applyAlignment="1" pivotButton="0" quotePrefix="0" xfId="0">
      <alignment horizontal="center" vertical="center"/>
    </xf>
    <xf numFmtId="0" fontId="18" fillId="8" borderId="42" applyAlignment="1" pivotButton="0" quotePrefix="0" xfId="6">
      <alignment horizontal="center" vertical="center"/>
    </xf>
    <xf numFmtId="0" fontId="0" fillId="8" borderId="43" applyAlignment="1" pivotButton="0" quotePrefix="0" xfId="0">
      <alignment horizontal="center" vertical="center"/>
    </xf>
    <xf numFmtId="0" fontId="0" fillId="10" borderId="12" pivotButton="0" quotePrefix="0" xfId="0"/>
    <xf numFmtId="0" fontId="0" fillId="10" borderId="16" pivotButton="0" quotePrefix="0" xfId="0"/>
    <xf numFmtId="0" fontId="15" fillId="8" borderId="37" applyAlignment="1" pivotButton="0" quotePrefix="0" xfId="0">
      <alignment horizontal="center" wrapText="1"/>
    </xf>
    <xf numFmtId="0" fontId="0" fillId="8" borderId="49" applyAlignment="1" pivotButton="0" quotePrefix="0" xfId="0">
      <alignment horizontal="center" vertical="center" wrapText="1"/>
    </xf>
    <xf numFmtId="0" fontId="0" fillId="8" borderId="50" applyAlignment="1" pivotButton="0" quotePrefix="0" xfId="0">
      <alignment horizontal="center" vertical="center" wrapText="1"/>
    </xf>
    <xf numFmtId="0" fontId="0" fillId="8" borderId="51" applyAlignment="1" pivotButton="0" quotePrefix="0" xfId="0">
      <alignment horizontal="center" vertical="center" wrapText="1"/>
    </xf>
    <xf numFmtId="0" fontId="0" fillId="0" borderId="0" applyAlignment="1" pivotButton="0" quotePrefix="0" xfId="0">
      <alignment horizontal="left"/>
    </xf>
    <xf numFmtId="164" fontId="6" fillId="6" borderId="1" applyAlignment="1" pivotButton="0" quotePrefix="0" xfId="5">
      <alignment horizontal="left"/>
    </xf>
    <xf numFmtId="0" fontId="6" fillId="6" borderId="1" applyAlignment="1" pivotButton="0" quotePrefix="0" xfId="5">
      <alignment horizontal="left"/>
    </xf>
    <xf numFmtId="0" fontId="22" fillId="0" borderId="0" applyAlignment="1" pivotButton="0" quotePrefix="0" xfId="0">
      <alignment horizontal="left"/>
    </xf>
    <xf numFmtId="0" fontId="24" fillId="0" borderId="0" applyAlignment="1" pivotButton="0" quotePrefix="0" xfId="0">
      <alignment horizontal="left"/>
    </xf>
    <xf numFmtId="0" fontId="25" fillId="6" borderId="1" applyAlignment="1" pivotButton="0" quotePrefix="0" xfId="5">
      <alignment horizontal="right"/>
    </xf>
    <xf numFmtId="0" fontId="26" fillId="0" borderId="0" pivotButton="0" quotePrefix="0" xfId="0"/>
    <xf numFmtId="0" fontId="22" fillId="0" borderId="0" pivotButton="0" quotePrefix="0" xfId="0"/>
    <xf numFmtId="0" fontId="6" fillId="0" borderId="0" applyAlignment="1" pivotButton="0" quotePrefix="0" xfId="5">
      <alignment horizontal="right"/>
    </xf>
    <xf numFmtId="0" fontId="29" fillId="11" borderId="0" pivotButton="0" quotePrefix="0" xfId="0"/>
    <xf numFmtId="0" fontId="0" fillId="11" borderId="0"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0" fillId="0" borderId="57" pivotButton="0" quotePrefix="0" xfId="0"/>
    <xf numFmtId="0" fontId="18" fillId="0" borderId="22" applyAlignment="1" pivotButton="0" quotePrefix="0" xfId="6">
      <alignment horizontal="center" vertical="center"/>
    </xf>
    <xf numFmtId="0" fontId="0" fillId="0" borderId="22" applyAlignment="1" pivotButton="0" quotePrefix="0" xfId="0">
      <alignment horizontal="center" vertical="center"/>
    </xf>
    <xf numFmtId="0" fontId="0" fillId="0" borderId="41" applyAlignment="1" pivotButton="0" quotePrefix="0" xfId="0">
      <alignment horizontal="center" vertical="center"/>
    </xf>
    <xf numFmtId="0" fontId="18" fillId="0" borderId="42" applyAlignment="1" pivotButton="0" quotePrefix="0" xfId="6">
      <alignment horizontal="center" vertical="center"/>
    </xf>
    <xf numFmtId="0" fontId="0" fillId="0" borderId="61" applyAlignment="1" pivotButton="0" quotePrefix="0" xfId="0">
      <alignment horizontal="center" vertical="center"/>
    </xf>
    <xf numFmtId="0" fontId="0" fillId="0" borderId="62" pivotButton="0" quotePrefix="0" xfId="0"/>
    <xf numFmtId="0" fontId="18" fillId="3" borderId="25" applyAlignment="1" pivotButton="0" quotePrefix="0" xfId="6">
      <alignment horizontal="center" vertical="center"/>
    </xf>
    <xf numFmtId="0" fontId="18" fillId="3" borderId="4" applyAlignment="1" pivotButton="0" quotePrefix="0" xfId="6">
      <alignment horizontal="center" vertical="center"/>
    </xf>
    <xf numFmtId="0" fontId="18" fillId="3" borderId="0" applyAlignment="1" pivotButton="0" quotePrefix="0" xfId="6">
      <alignment horizontal="center" vertical="center"/>
    </xf>
    <xf numFmtId="0" fontId="18" fillId="3" borderId="63" applyAlignment="1" pivotButton="0" quotePrefix="0" xfId="6">
      <alignment horizontal="center" vertical="center"/>
    </xf>
    <xf numFmtId="0" fontId="18" fillId="3" borderId="64" applyAlignment="1" pivotButton="0" quotePrefix="0" xfId="6">
      <alignment horizontal="center" vertical="center"/>
    </xf>
    <xf numFmtId="0" fontId="18" fillId="3" borderId="65" applyAlignment="1" pivotButton="0" quotePrefix="0" xfId="6">
      <alignment horizontal="center" vertical="center"/>
    </xf>
    <xf numFmtId="0" fontId="18" fillId="3" borderId="56" applyAlignment="1" pivotButton="0" quotePrefix="0" xfId="6">
      <alignment horizontal="center" vertical="center"/>
    </xf>
    <xf numFmtId="0" fontId="18" fillId="3" borderId="66" applyAlignment="1" pivotButton="0" quotePrefix="0" xfId="6">
      <alignment horizontal="center" vertical="center"/>
    </xf>
    <xf numFmtId="0" fontId="15" fillId="0" borderId="58" applyAlignment="1" pivotButton="0" quotePrefix="0" xfId="0">
      <alignment horizontal="center" wrapText="1"/>
    </xf>
    <xf numFmtId="0" fontId="0" fillId="0" borderId="67" applyAlignment="1" pivotButton="0" quotePrefix="0" xfId="0">
      <alignment horizontal="center" vertical="center" wrapText="1"/>
    </xf>
    <xf numFmtId="0" fontId="0" fillId="0" borderId="68" applyAlignment="1" pivotButton="0" quotePrefix="0" xfId="0">
      <alignment horizontal="center" vertical="center" wrapText="1"/>
    </xf>
    <xf numFmtId="0" fontId="0" fillId="0" borderId="69" applyAlignment="1" pivotButton="0" quotePrefix="0" xfId="0">
      <alignment horizontal="center" vertical="center" wrapText="1"/>
    </xf>
    <xf numFmtId="0" fontId="30" fillId="0" borderId="0" pivotButton="0" quotePrefix="0" xfId="0"/>
    <xf numFmtId="0" fontId="35" fillId="0" borderId="0" applyAlignment="1" pivotButton="0" quotePrefix="0" xfId="8">
      <alignment horizontal="center" vertical="center"/>
    </xf>
    <xf numFmtId="0" fontId="35" fillId="0" borderId="0" applyAlignment="1" pivotButton="0" quotePrefix="0" xfId="8">
      <alignment horizontal="center" vertical="center" wrapText="1"/>
    </xf>
    <xf numFmtId="165" fontId="36" fillId="4" borderId="1" pivotButton="0" quotePrefix="0" xfId="9"/>
    <xf numFmtId="165" fontId="0" fillId="0" borderId="0" pivotButton="0" quotePrefix="0" xfId="0"/>
    <xf numFmtId="0" fontId="37" fillId="0" borderId="53" pivotButton="0" quotePrefix="0" xfId="0"/>
    <xf numFmtId="0" fontId="0" fillId="0" borderId="70" pivotButton="0" quotePrefix="0" xfId="0"/>
    <xf numFmtId="0" fontId="40" fillId="3" borderId="73" applyAlignment="1" pivotButton="0" quotePrefix="0" xfId="6">
      <alignment horizontal="center" vertical="center"/>
    </xf>
    <xf numFmtId="0" fontId="41" fillId="3" borderId="73" applyAlignment="1" pivotButton="0" quotePrefix="0" xfId="6">
      <alignment horizontal="center" vertical="center"/>
    </xf>
    <xf numFmtId="0" fontId="41" fillId="3" borderId="74" applyAlignment="1" pivotButton="0" quotePrefix="0" xfId="6">
      <alignment horizontal="center" vertical="center"/>
    </xf>
    <xf numFmtId="0" fontId="0" fillId="0" borderId="75" applyAlignment="1" pivotButton="0" quotePrefix="0" xfId="0">
      <alignment horizontal="center"/>
    </xf>
    <xf numFmtId="0" fontId="27" fillId="12" borderId="62" applyAlignment="1" pivotButton="0" quotePrefix="0" xfId="0">
      <alignment horizontal="center" vertical="center"/>
    </xf>
    <xf numFmtId="166" fontId="18" fillId="3" borderId="76" applyAlignment="1" pivotButton="0" quotePrefix="0" xfId="6">
      <alignment horizontal="center" vertical="center"/>
    </xf>
    <xf numFmtId="166" fontId="18" fillId="3" borderId="77" applyAlignment="1" pivotButton="0" quotePrefix="0" xfId="6">
      <alignment horizontal="center" vertical="center"/>
    </xf>
    <xf numFmtId="10" fontId="27" fillId="12" borderId="78" applyAlignment="1" pivotButton="0" quotePrefix="0" xfId="0">
      <alignment horizontal="center" vertical="center"/>
    </xf>
    <xf numFmtId="0" fontId="27" fillId="4" borderId="62" applyAlignment="1" pivotButton="0" quotePrefix="0" xfId="0">
      <alignment horizontal="center" vertical="center"/>
    </xf>
    <xf numFmtId="10" fontId="27" fillId="4" borderId="78" applyAlignment="1" pivotButton="0" quotePrefix="0" xfId="0">
      <alignment horizontal="center" vertical="center"/>
    </xf>
    <xf numFmtId="0" fontId="27" fillId="4" borderId="55" applyAlignment="1" pivotButton="0" quotePrefix="0" xfId="0">
      <alignment horizontal="center" vertical="center"/>
    </xf>
    <xf numFmtId="166" fontId="18" fillId="3" borderId="79" applyAlignment="1" pivotButton="0" quotePrefix="0" xfId="6">
      <alignment horizontal="center" vertical="center"/>
    </xf>
    <xf numFmtId="166" fontId="18" fillId="3" borderId="80" applyAlignment="1" pivotButton="0" quotePrefix="0" xfId="6">
      <alignment horizontal="center" vertical="center"/>
    </xf>
    <xf numFmtId="0" fontId="0" fillId="4" borderId="81" applyAlignment="1" pivotButton="0" quotePrefix="0" xfId="0">
      <alignment horizontal="center" vertical="center"/>
    </xf>
    <xf numFmtId="0" fontId="42" fillId="3" borderId="73" applyAlignment="1" pivotButton="0" quotePrefix="0" xfId="6">
      <alignment horizontal="center" vertical="center"/>
    </xf>
    <xf numFmtId="0" fontId="41" fillId="3" borderId="82" applyAlignment="1" pivotButton="0" quotePrefix="0" xfId="6">
      <alignment horizontal="center" vertical="center"/>
    </xf>
    <xf numFmtId="0" fontId="2" fillId="0" borderId="0" pivotButton="0" quotePrefix="0" xfId="3"/>
    <xf numFmtId="0" fontId="41" fillId="3" borderId="79" applyAlignment="1" pivotButton="0" quotePrefix="0" xfId="6">
      <alignment horizontal="center" vertical="center"/>
    </xf>
    <xf numFmtId="166" fontId="18" fillId="3" borderId="83" applyAlignment="1" pivotButton="0" quotePrefix="0" xfId="6">
      <alignment horizontal="center" vertical="center"/>
    </xf>
    <xf numFmtId="0" fontId="43" fillId="13" borderId="55" applyAlignment="1" pivotButton="0" quotePrefix="0" xfId="0">
      <alignment horizontal="center" vertical="center"/>
    </xf>
    <xf numFmtId="167" fontId="44" fillId="13" borderId="83" applyAlignment="1" pivotButton="0" quotePrefix="0" xfId="6">
      <alignment horizontal="center" vertical="center"/>
    </xf>
    <xf numFmtId="167" fontId="44" fillId="13" borderId="80" applyAlignment="1" pivotButton="0" quotePrefix="0" xfId="6">
      <alignment horizontal="center" vertical="center"/>
    </xf>
    <xf numFmtId="168" fontId="18" fillId="3" borderId="83" applyAlignment="1" pivotButton="0" quotePrefix="0" xfId="6">
      <alignment horizontal="center" vertical="center"/>
    </xf>
    <xf numFmtId="168" fontId="18" fillId="3" borderId="80" applyAlignment="1" pivotButton="0" quotePrefix="0" xfId="6">
      <alignment horizontal="center" vertical="center"/>
    </xf>
    <xf numFmtId="168" fontId="44" fillId="13" borderId="83" applyAlignment="1" pivotButton="0" quotePrefix="0" xfId="6">
      <alignment horizontal="center" vertical="center"/>
    </xf>
    <xf numFmtId="168" fontId="44" fillId="13" borderId="80" applyAlignment="1" pivotButton="0" quotePrefix="0" xfId="6">
      <alignment horizontal="center" vertical="center"/>
    </xf>
    <xf numFmtId="0" fontId="43" fillId="13" borderId="62" applyAlignment="1" pivotButton="0" quotePrefix="0" xfId="0">
      <alignment horizontal="center" vertical="center"/>
    </xf>
    <xf numFmtId="169" fontId="44" fillId="13" borderId="3" applyAlignment="1" pivotButton="0" quotePrefix="0" xfId="6">
      <alignment horizontal="center" vertical="center"/>
    </xf>
    <xf numFmtId="169" fontId="44" fillId="13" borderId="84" applyAlignment="1" pivotButton="0" quotePrefix="0" xfId="6">
      <alignment horizontal="center" vertical="center"/>
    </xf>
    <xf numFmtId="0" fontId="16" fillId="0" borderId="58" applyAlignment="1" pivotButton="0" quotePrefix="0" xfId="0">
      <alignment horizontal="center" vertical="center" wrapText="1"/>
    </xf>
    <xf numFmtId="0" fontId="22" fillId="14" borderId="67" applyAlignment="1" pivotButton="0" quotePrefix="0" xfId="0">
      <alignment horizontal="center" vertical="center" wrapText="1"/>
    </xf>
    <xf numFmtId="2" fontId="22" fillId="0" borderId="67" applyAlignment="1" pivotButton="0" quotePrefix="0" xfId="0">
      <alignment horizontal="center" vertical="center" wrapText="1"/>
    </xf>
    <xf numFmtId="0" fontId="22" fillId="15" borderId="67" applyAlignment="1" pivotButton="0" quotePrefix="0" xfId="0">
      <alignment horizontal="center" vertical="center"/>
    </xf>
    <xf numFmtId="0" fontId="22" fillId="16" borderId="67" applyAlignment="1" pivotButton="0" quotePrefix="0" xfId="0">
      <alignment horizontal="center" vertical="center"/>
    </xf>
    <xf numFmtId="0" fontId="22" fillId="0" borderId="67" applyAlignment="1" pivotButton="0" quotePrefix="0" xfId="0">
      <alignment horizontal="center" vertical="center" wrapText="1"/>
    </xf>
    <xf numFmtId="2" fontId="22" fillId="0" borderId="67" applyAlignment="1" pivotButton="0" quotePrefix="0" xfId="0">
      <alignment horizontal="center" vertical="center"/>
    </xf>
    <xf numFmtId="0" fontId="22" fillId="16" borderId="67" applyAlignment="1" pivotButton="0" quotePrefix="0" xfId="0">
      <alignment horizontal="center" vertical="center" wrapText="1"/>
    </xf>
    <xf numFmtId="0" fontId="22" fillId="0" borderId="85" applyAlignment="1" pivotButton="0" quotePrefix="0" xfId="0">
      <alignment horizontal="center" vertical="center" wrapText="1"/>
    </xf>
    <xf numFmtId="0" fontId="0" fillId="14" borderId="0" pivotButton="0" quotePrefix="0" xfId="0"/>
    <xf numFmtId="165" fontId="0" fillId="5" borderId="0" pivotButton="0" quotePrefix="0" xfId="0"/>
    <xf numFmtId="169" fontId="0" fillId="16" borderId="0" pivotButton="0" quotePrefix="0" xfId="0"/>
    <xf numFmtId="165" fontId="0" fillId="0" borderId="0" pivotButton="0" quotePrefix="0" xfId="1"/>
    <xf numFmtId="166" fontId="0" fillId="0" borderId="0" pivotButton="0" quotePrefix="0" xfId="0"/>
    <xf numFmtId="165" fontId="0" fillId="0" borderId="70" pivotButton="0" quotePrefix="0" xfId="1"/>
    <xf numFmtId="1" fontId="0" fillId="14" borderId="0" pivotButton="0" quotePrefix="0" xfId="0"/>
    <xf numFmtId="1" fontId="0" fillId="14" borderId="56" pivotButton="0" quotePrefix="0" xfId="0"/>
    <xf numFmtId="165" fontId="0" fillId="0" borderId="56" pivotButton="0" quotePrefix="0" xfId="0"/>
    <xf numFmtId="165" fontId="0" fillId="5" borderId="56" pivotButton="0" quotePrefix="0" xfId="0"/>
    <xf numFmtId="169" fontId="0" fillId="16" borderId="56" pivotButton="0" quotePrefix="0" xfId="0"/>
    <xf numFmtId="165" fontId="0" fillId="0" borderId="56" pivotButton="0" quotePrefix="0" xfId="1"/>
    <xf numFmtId="166" fontId="0" fillId="0" borderId="56" pivotButton="0" quotePrefix="0" xfId="0"/>
    <xf numFmtId="165" fontId="0" fillId="0" borderId="57" pivotButton="0" quotePrefix="0" xfId="1"/>
    <xf numFmtId="169" fontId="44" fillId="13" borderId="83" applyAlignment="1" pivotButton="0" quotePrefix="0" xfId="6">
      <alignment horizontal="center" vertical="center"/>
    </xf>
    <xf numFmtId="169" fontId="44" fillId="13" borderId="80" applyAlignment="1" pivotButton="0" quotePrefix="0" xfId="6">
      <alignment horizontal="center" vertical="center"/>
    </xf>
    <xf numFmtId="0" fontId="42" fillId="3" borderId="86" applyAlignment="1" pivotButton="0" quotePrefix="0" xfId="6">
      <alignment horizontal="center" vertical="center"/>
    </xf>
    <xf numFmtId="0" fontId="41" fillId="3" borderId="68" applyAlignment="1" pivotButton="0" quotePrefix="0" xfId="6">
      <alignment horizontal="center" vertical="center"/>
    </xf>
    <xf numFmtId="0" fontId="41" fillId="3" borderId="69" applyAlignment="1" pivotButton="0" quotePrefix="0" xfId="6">
      <alignment horizontal="center" vertical="center"/>
    </xf>
    <xf numFmtId="0" fontId="50" fillId="0" borderId="0" pivotButton="0" quotePrefix="0" xfId="0"/>
    <xf numFmtId="2" fontId="0" fillId="0" borderId="0" pivotButton="0" quotePrefix="0" xfId="0"/>
    <xf numFmtId="0" fontId="41" fillId="3" borderId="87" applyAlignment="1" pivotButton="0" quotePrefix="0" xfId="6">
      <alignment horizontal="center" vertical="center"/>
    </xf>
    <xf numFmtId="168" fontId="18" fillId="3" borderId="88" applyAlignment="1" pivotButton="0" quotePrefix="0" xfId="6">
      <alignment horizontal="center" vertical="center"/>
    </xf>
    <xf numFmtId="168" fontId="18" fillId="3" borderId="89" applyAlignment="1" pivotButton="0" quotePrefix="0" xfId="6">
      <alignment horizontal="center" vertical="center"/>
    </xf>
    <xf numFmtId="0" fontId="41" fillId="3" borderId="90" applyAlignment="1" pivotButton="0" quotePrefix="0" xfId="6">
      <alignment horizontal="center" vertical="center"/>
    </xf>
    <xf numFmtId="166" fontId="18" fillId="3" borderId="5" applyAlignment="1" pivotButton="0" quotePrefix="0" xfId="6">
      <alignment horizontal="center" vertical="center"/>
    </xf>
    <xf numFmtId="166" fontId="18" fillId="3" borderId="91" applyAlignment="1" pivotButton="0" quotePrefix="0" xfId="6">
      <alignment horizontal="center" vertical="center"/>
    </xf>
    <xf numFmtId="168" fontId="44" fillId="13" borderId="65" applyAlignment="1" pivotButton="0" quotePrefix="0" xfId="6">
      <alignment horizontal="center" vertical="center"/>
    </xf>
    <xf numFmtId="168" fontId="44" fillId="13" borderId="66" applyAlignment="1" pivotButton="0" quotePrefix="0" xfId="6">
      <alignment horizontal="center" vertical="center"/>
    </xf>
    <xf numFmtId="167" fontId="44" fillId="13" borderId="65" applyAlignment="1" pivotButton="0" quotePrefix="0" xfId="6">
      <alignment horizontal="center" vertical="center"/>
    </xf>
    <xf numFmtId="2" fontId="44" fillId="13" borderId="66" applyAlignment="1" pivotButton="0" quotePrefix="0" xfId="6">
      <alignment horizontal="center" vertical="center"/>
    </xf>
    <xf numFmtId="0" fontId="51" fillId="0" borderId="0" pivotButton="0" quotePrefix="0" xfId="0"/>
    <xf numFmtId="0" fontId="0" fillId="5" borderId="92" applyAlignment="1" pivotButton="0" quotePrefix="0" xfId="0">
      <alignment horizontal="center" vertical="center"/>
    </xf>
    <xf numFmtId="0" fontId="0" fillId="5" borderId="93" applyAlignment="1" pivotButton="0" quotePrefix="0" xfId="0">
      <alignment horizontal="center" vertical="center"/>
    </xf>
    <xf numFmtId="0" fontId="0" fillId="4" borderId="82" applyAlignment="1" pivotButton="0" quotePrefix="0" xfId="0">
      <alignment horizontal="center" vertical="center"/>
    </xf>
    <xf numFmtId="0" fontId="0" fillId="5" borderId="74" applyAlignment="1" pivotButton="0" quotePrefix="0" xfId="0">
      <alignment horizontal="center" vertical="center"/>
    </xf>
    <xf numFmtId="0" fontId="0" fillId="5" borderId="73" applyAlignment="1" pivotButton="0" quotePrefix="0" xfId="0">
      <alignment horizontal="center" vertical="center"/>
    </xf>
    <xf numFmtId="0" fontId="0" fillId="4" borderId="0" pivotButton="0" quotePrefix="0" xfId="0"/>
    <xf numFmtId="0" fontId="0" fillId="5" borderId="78" applyAlignment="1" pivotButton="0" quotePrefix="0" xfId="0">
      <alignment horizontal="center" vertical="center"/>
    </xf>
    <xf numFmtId="0" fontId="0" fillId="5" borderId="94" applyAlignment="1" pivotButton="0" quotePrefix="0" xfId="0">
      <alignment horizontal="center" vertical="center"/>
    </xf>
    <xf numFmtId="0" fontId="0" fillId="4" borderId="4" applyAlignment="1" pivotButton="0" quotePrefix="0" xfId="0">
      <alignment horizontal="center" vertical="center"/>
    </xf>
    <xf numFmtId="0" fontId="0" fillId="5" borderId="63" applyAlignment="1" pivotButton="0" quotePrefix="0" xfId="0">
      <alignment horizontal="center" vertical="center"/>
    </xf>
    <xf numFmtId="0" fontId="0" fillId="5" borderId="95" applyAlignment="1" pivotButton="0" quotePrefix="0" xfId="0">
      <alignment horizontal="center" vertical="center"/>
    </xf>
    <xf numFmtId="0" fontId="0" fillId="0" borderId="96" pivotButton="0" quotePrefix="0" xfId="0"/>
    <xf numFmtId="0" fontId="35" fillId="0" borderId="96" applyAlignment="1" pivotButton="0" quotePrefix="0" xfId="8">
      <alignment horizontal="center" vertical="center" wrapText="1"/>
    </xf>
    <xf numFmtId="0" fontId="0" fillId="5" borderId="97" applyAlignment="1" pivotButton="0" quotePrefix="0" xfId="0">
      <alignment horizontal="center" vertical="center"/>
    </xf>
    <xf numFmtId="0" fontId="0" fillId="5" borderId="98" applyAlignment="1" pivotButton="0" quotePrefix="0" xfId="0">
      <alignment horizontal="center" vertical="center"/>
    </xf>
    <xf numFmtId="0" fontId="0" fillId="4" borderId="83" applyAlignment="1" pivotButton="0" quotePrefix="0" xfId="0">
      <alignment horizontal="center" vertical="center"/>
    </xf>
    <xf numFmtId="0" fontId="0" fillId="5" borderId="80" applyAlignment="1" pivotButton="0" quotePrefix="0" xfId="0">
      <alignment horizontal="center" vertical="center"/>
    </xf>
    <xf numFmtId="0" fontId="0" fillId="5" borderId="79" applyAlignment="1" pivotButton="0" quotePrefix="0" xfId="0">
      <alignment horizontal="center" vertical="center"/>
    </xf>
    <xf numFmtId="0" fontId="52" fillId="0" borderId="0" pivotButton="0" quotePrefix="0" xfId="3"/>
    <xf numFmtId="169" fontId="26" fillId="0" borderId="0" pivotButton="0" quotePrefix="0" xfId="3"/>
    <xf numFmtId="0" fontId="26" fillId="0" borderId="0" pivotButton="0" quotePrefix="0" xfId="3"/>
    <xf numFmtId="0" fontId="0" fillId="17" borderId="0" applyAlignment="1" pivotButton="0" quotePrefix="0" xfId="0">
      <alignment horizontal="center" vertical="center"/>
    </xf>
    <xf numFmtId="165" fontId="6" fillId="17" borderId="1" applyAlignment="1" pivotButton="0" quotePrefix="0" xfId="5">
      <alignment horizontal="center" vertical="center"/>
    </xf>
    <xf numFmtId="169" fontId="0" fillId="0" borderId="0" applyAlignment="1" pivotButton="0" quotePrefix="0" xfId="0">
      <alignment horizontal="center" vertical="center"/>
    </xf>
    <xf numFmtId="169" fontId="0" fillId="0" borderId="0" pivotButton="0" quotePrefix="0" xfId="0"/>
    <xf numFmtId="1" fontId="26" fillId="0" borderId="0" pivotButton="0" quotePrefix="0" xfId="3"/>
    <xf numFmtId="1" fontId="0" fillId="17" borderId="0" applyAlignment="1" pivotButton="0" quotePrefix="0" xfId="0">
      <alignment horizontal="center" vertical="center"/>
    </xf>
    <xf numFmtId="165" fontId="0" fillId="0" borderId="99" applyAlignment="1" pivotButton="0" quotePrefix="0" xfId="0">
      <alignment horizontal="center" vertical="center"/>
    </xf>
    <xf numFmtId="0" fontId="52" fillId="0" borderId="100" pivotButton="0" quotePrefix="0" xfId="3"/>
    <xf numFmtId="169" fontId="26" fillId="0" borderId="100" pivotButton="0" quotePrefix="0" xfId="3"/>
    <xf numFmtId="1" fontId="26" fillId="0" borderId="100" pivotButton="0" quotePrefix="0" xfId="3"/>
    <xf numFmtId="0" fontId="53" fillId="0" borderId="0" pivotButton="0" quotePrefix="0" xfId="3"/>
    <xf numFmtId="0" fontId="0" fillId="0" borderId="101" applyAlignment="1" pivotButton="0" quotePrefix="0" xfId="0">
      <alignment horizontal="center" vertical="center"/>
    </xf>
    <xf numFmtId="0" fontId="0" fillId="0" borderId="102" applyAlignment="1" pivotButton="0" quotePrefix="0" xfId="0">
      <alignment horizontal="center" vertical="center"/>
    </xf>
    <xf numFmtId="0" fontId="0" fillId="0" borderId="102" pivotButton="0" quotePrefix="0" xfId="0"/>
    <xf numFmtId="0" fontId="0" fillId="0" borderId="103" applyAlignment="1" pivotButton="0" quotePrefix="0" xfId="0">
      <alignment vertical="center"/>
    </xf>
    <xf numFmtId="0" fontId="0" fillId="18" borderId="103" applyAlignment="1" pivotButton="0" quotePrefix="0" xfId="0">
      <alignment vertical="center"/>
    </xf>
    <xf numFmtId="170" fontId="0" fillId="0" borderId="103" applyAlignment="1" pivotButton="0" quotePrefix="0" xfId="0">
      <alignment vertical="center"/>
    </xf>
    <xf numFmtId="0" fontId="0" fillId="0" borderId="103" pivotButton="0" quotePrefix="0" xfId="0"/>
    <xf numFmtId="166" fontId="0" fillId="17" borderId="103" applyAlignment="1" pivotButton="0" quotePrefix="0" xfId="0">
      <alignment vertical="center"/>
    </xf>
    <xf numFmtId="168" fontId="54" fillId="3" borderId="0" applyAlignment="1" pivotButton="0" quotePrefix="0" xfId="6">
      <alignment horizontal="left" vertical="center"/>
    </xf>
    <xf numFmtId="168" fontId="18" fillId="3" borderId="0" applyAlignment="1" pivotButton="0" quotePrefix="0" xfId="6">
      <alignment horizontal="left" vertical="center"/>
    </xf>
    <xf numFmtId="0" fontId="2" fillId="19" borderId="104" applyAlignment="1" pivotButton="0" quotePrefix="0" xfId="0">
      <alignment vertical="center"/>
    </xf>
    <xf numFmtId="0" fontId="2" fillId="19" borderId="105" applyAlignment="1" pivotButton="0" quotePrefix="0" xfId="0">
      <alignment vertical="center"/>
    </xf>
    <xf numFmtId="0" fontId="2" fillId="19" borderId="106" applyAlignment="1" pivotButton="0" quotePrefix="0" xfId="0">
      <alignment vertical="center"/>
    </xf>
    <xf numFmtId="0" fontId="2" fillId="0" borderId="76" applyAlignment="1" pivotButton="0" quotePrefix="0" xfId="0">
      <alignment horizontal="center" vertical="center"/>
    </xf>
    <xf numFmtId="0" fontId="2" fillId="0" borderId="99" applyAlignment="1" pivotButton="0" quotePrefix="0" xfId="0">
      <alignment horizontal="center" wrapText="1"/>
    </xf>
    <xf numFmtId="0" fontId="2" fillId="0" borderId="77" applyAlignment="1" pivotButton="0" quotePrefix="0" xfId="0">
      <alignment horizontal="center" wrapText="1"/>
    </xf>
    <xf numFmtId="0" fontId="2" fillId="0" borderId="76" applyAlignment="1" pivotButton="0" quotePrefix="0" xfId="0">
      <alignment horizontal="center" vertical="center" wrapText="1"/>
    </xf>
    <xf numFmtId="0" fontId="2" fillId="0" borderId="99" applyAlignment="1" pivotButton="0" quotePrefix="0" xfId="0">
      <alignment horizontal="center" vertical="center"/>
    </xf>
    <xf numFmtId="168" fontId="2" fillId="0" borderId="77" applyAlignment="1" pivotButton="0" quotePrefix="0" xfId="0">
      <alignment horizontal="center" vertical="center"/>
    </xf>
    <xf numFmtId="0" fontId="2" fillId="0" borderId="79" applyAlignment="1" pivotButton="0" quotePrefix="0" xfId="0">
      <alignment horizontal="center" vertical="center" wrapText="1"/>
    </xf>
    <xf numFmtId="168" fontId="2" fillId="0" borderId="83" applyAlignment="1" pivotButton="0" quotePrefix="0" xfId="0">
      <alignment horizontal="center" vertical="center"/>
    </xf>
    <xf numFmtId="168" fontId="2" fillId="0" borderId="80" applyAlignment="1" pivotButton="0" quotePrefix="0" xfId="0">
      <alignment horizontal="center" vertical="center"/>
    </xf>
    <xf numFmtId="0" fontId="2" fillId="0" borderId="0" applyAlignment="1" pivotButton="0" quotePrefix="0" xfId="0">
      <alignment horizontal="center" vertical="center"/>
    </xf>
    <xf numFmtId="168" fontId="2" fillId="0" borderId="0" applyAlignment="1" pivotButton="0" quotePrefix="0" xfId="0">
      <alignment horizontal="center" vertical="center"/>
    </xf>
    <xf numFmtId="168" fontId="44" fillId="13" borderId="0" applyAlignment="1" pivotButton="0" quotePrefix="0" xfId="6">
      <alignment horizontal="left" vertical="center"/>
    </xf>
    <xf numFmtId="0" fontId="0" fillId="13" borderId="0" pivotButton="0" quotePrefix="0" xfId="0"/>
    <xf numFmtId="168" fontId="0" fillId="0" borderId="0" pivotButton="0" quotePrefix="0" xfId="0"/>
    <xf numFmtId="0" fontId="26" fillId="0" borderId="0" applyAlignment="1" pivotButton="0" quotePrefix="0" xfId="0">
      <alignment horizontal="center" vertical="center"/>
    </xf>
    <xf numFmtId="0" fontId="62" fillId="19" borderId="52" applyAlignment="1" pivotButton="0" quotePrefix="0" xfId="0">
      <alignment horizontal="center" vertical="center"/>
    </xf>
    <xf numFmtId="0" fontId="62" fillId="19" borderId="53" applyAlignment="1" pivotButton="0" quotePrefix="0" xfId="0">
      <alignment horizontal="center" vertical="center"/>
    </xf>
    <xf numFmtId="0" fontId="62" fillId="19" borderId="54" applyAlignment="1" pivotButton="0" quotePrefix="0" xfId="0">
      <alignment horizontal="center" vertical="center"/>
    </xf>
    <xf numFmtId="0" fontId="62" fillId="20" borderId="0" applyAlignment="1" pivotButton="0" quotePrefix="0" xfId="0">
      <alignment vertical="center"/>
    </xf>
    <xf numFmtId="0" fontId="62" fillId="19" borderId="107" applyAlignment="1" pivotButton="0" quotePrefix="0" xfId="0">
      <alignment horizontal="center" vertical="center"/>
    </xf>
    <xf numFmtId="0" fontId="62" fillId="19" borderId="100" applyAlignment="1" pivotButton="0" quotePrefix="0" xfId="0">
      <alignment horizontal="center" vertical="center"/>
    </xf>
    <xf numFmtId="0" fontId="62" fillId="19" borderId="108" applyAlignment="1" pivotButton="0" quotePrefix="0" xfId="0">
      <alignment horizontal="center" vertical="center"/>
    </xf>
    <xf numFmtId="0" fontId="62" fillId="20" borderId="0" applyAlignment="1" pivotButton="0" quotePrefix="0" xfId="0">
      <alignment horizontal="center" vertical="center"/>
    </xf>
    <xf numFmtId="0" fontId="62" fillId="0" borderId="90" applyAlignment="1" pivotButton="0" quotePrefix="0" xfId="0">
      <alignment horizontal="center" vertical="center"/>
    </xf>
    <xf numFmtId="171" fontId="62" fillId="0" borderId="5" applyAlignment="1" pivotButton="0" quotePrefix="0" xfId="0">
      <alignment horizontal="center" vertical="center"/>
    </xf>
    <xf numFmtId="171" fontId="62" fillId="0" borderId="91" applyAlignment="1" pivotButton="0" quotePrefix="0" xfId="0">
      <alignment horizontal="center" vertical="center"/>
    </xf>
    <xf numFmtId="0" fontId="62" fillId="0" borderId="0" applyAlignment="1" pivotButton="0" quotePrefix="0" xfId="0">
      <alignment horizontal="right" vertical="center"/>
    </xf>
    <xf numFmtId="1" fontId="62" fillId="0" borderId="76" applyAlignment="1" pivotButton="0" quotePrefix="0" xfId="0">
      <alignment horizontal="center" vertical="center"/>
    </xf>
    <xf numFmtId="166" fontId="62" fillId="0" borderId="77" applyAlignment="1" pivotButton="0" quotePrefix="0" xfId="0">
      <alignment horizontal="center" vertical="center"/>
    </xf>
    <xf numFmtId="171" fontId="2" fillId="0" borderId="99" applyAlignment="1" pivotButton="0" quotePrefix="0" xfId="0">
      <alignment horizontal="center" vertical="center"/>
    </xf>
    <xf numFmtId="171" fontId="62" fillId="0" borderId="99" applyAlignment="1" pivotButton="0" quotePrefix="0" xfId="0">
      <alignment horizontal="center" vertical="center"/>
    </xf>
    <xf numFmtId="171" fontId="62" fillId="0" borderId="77" applyAlignment="1" pivotButton="0" quotePrefix="0" xfId="0">
      <alignment horizontal="center" vertical="center"/>
    </xf>
    <xf numFmtId="1" fontId="62" fillId="0" borderId="79" applyAlignment="1" pivotButton="0" quotePrefix="0" xfId="0">
      <alignment horizontal="center" vertical="center"/>
    </xf>
    <xf numFmtId="166" fontId="62" fillId="0" borderId="80" applyAlignment="1" pivotButton="0" quotePrefix="0" xfId="0">
      <alignment horizontal="center" vertical="center"/>
    </xf>
    <xf numFmtId="171" fontId="62" fillId="0" borderId="83" applyAlignment="1" pivotButton="0" quotePrefix="0" xfId="0">
      <alignment horizontal="center" vertical="center"/>
    </xf>
    <xf numFmtId="171" fontId="62" fillId="0" borderId="80" applyAlignment="1" pivotButton="0" quotePrefix="0" xfId="0">
      <alignment horizontal="center" vertical="center"/>
    </xf>
    <xf numFmtId="0" fontId="62" fillId="0" borderId="0" applyAlignment="1" pivotButton="0" quotePrefix="0" xfId="0">
      <alignment horizontal="center" vertical="center"/>
    </xf>
    <xf numFmtId="0" fontId="29" fillId="8" borderId="0" pivotButton="0" quotePrefix="0" xfId="0"/>
    <xf numFmtId="0" fontId="0" fillId="8" borderId="0" pivotButton="0" quotePrefix="0" xfId="0"/>
    <xf numFmtId="169" fontId="6" fillId="17" borderId="1" applyAlignment="1" pivotButton="0" quotePrefix="0" xfId="5">
      <alignment horizontal="center" vertical="center"/>
    </xf>
    <xf numFmtId="169" fontId="0" fillId="0" borderId="99" applyAlignment="1" pivotButton="0" quotePrefix="0" xfId="0">
      <alignment horizontal="center" vertical="center"/>
    </xf>
    <xf numFmtId="0" fontId="0" fillId="0" borderId="101" pivotButton="0" quotePrefix="0" xfId="0"/>
    <xf numFmtId="0" fontId="35" fillId="0" borderId="0" pivotButton="0" quotePrefix="0" xfId="8"/>
    <xf numFmtId="0" fontId="63" fillId="16" borderId="109" pivotButton="0" quotePrefix="0" xfId="0"/>
    <xf numFmtId="0" fontId="64" fillId="16" borderId="110" pivotButton="0" quotePrefix="0" xfId="0"/>
    <xf numFmtId="0" fontId="64" fillId="16" borderId="111" pivotButton="0" quotePrefix="0" xfId="0"/>
    <xf numFmtId="0" fontId="0" fillId="9" borderId="0" pivotButton="0" quotePrefix="0" xfId="0"/>
    <xf numFmtId="165" fontId="0" fillId="9" borderId="0" pivotButton="0" quotePrefix="0" xfId="0"/>
    <xf numFmtId="0" fontId="0" fillId="15" borderId="112" pivotButton="0" quotePrefix="0" xfId="0"/>
    <xf numFmtId="0" fontId="0" fillId="15" borderId="113" pivotButton="0" quotePrefix="0" xfId="0"/>
    <xf numFmtId="1" fontId="0" fillId="11" borderId="0" pivotButton="0" quotePrefix="0" xfId="0"/>
    <xf numFmtId="0" fontId="17" fillId="15" borderId="112" applyAlignment="1" pivotButton="0" quotePrefix="0" xfId="0">
      <alignment horizontal="right"/>
    </xf>
    <xf numFmtId="0" fontId="2" fillId="15" borderId="0" pivotButton="0" quotePrefix="0" xfId="3"/>
    <xf numFmtId="0" fontId="0" fillId="15" borderId="0" pivotButton="0" quotePrefix="0" xfId="0"/>
    <xf numFmtId="0" fontId="23" fillId="14" borderId="52" pivotButton="0" quotePrefix="0" xfId="0"/>
    <xf numFmtId="0" fontId="0" fillId="14" borderId="53" pivotButton="0" quotePrefix="0" xfId="0"/>
    <xf numFmtId="0" fontId="0" fillId="14" borderId="54" pivotButton="0" quotePrefix="0" xfId="0"/>
    <xf numFmtId="0" fontId="41" fillId="3" borderId="114" applyAlignment="1" pivotButton="0" quotePrefix="0" xfId="6">
      <alignment horizontal="center" vertical="center"/>
    </xf>
    <xf numFmtId="0" fontId="0" fillId="14" borderId="62" pivotButton="0" quotePrefix="0" xfId="0"/>
    <xf numFmtId="0" fontId="0" fillId="14" borderId="70" pivotButton="0" quotePrefix="0" xfId="0"/>
    <xf numFmtId="168" fontId="18" fillId="3" borderId="115" applyAlignment="1" pivotButton="0" quotePrefix="0" xfId="6">
      <alignment horizontal="center" vertical="center"/>
    </xf>
    <xf numFmtId="11" fontId="2" fillId="14" borderId="0" pivotButton="0" quotePrefix="0" xfId="0"/>
    <xf numFmtId="0" fontId="17" fillId="15" borderId="116" applyAlignment="1" pivotButton="0" quotePrefix="0" xfId="0">
      <alignment horizontal="right"/>
    </xf>
    <xf numFmtId="0" fontId="43" fillId="13" borderId="117" applyAlignment="1" pivotButton="0" quotePrefix="0" xfId="0">
      <alignment horizontal="center" vertical="center"/>
    </xf>
    <xf numFmtId="168" fontId="44" fillId="13" borderId="118" applyAlignment="1" pivotButton="0" quotePrefix="0" xfId="6">
      <alignment horizontal="center" vertical="center"/>
    </xf>
    <xf numFmtId="168" fontId="44" fillId="13" borderId="119" applyAlignment="1" pivotButton="0" quotePrefix="0" xfId="6">
      <alignment horizontal="center" vertical="center"/>
    </xf>
    <xf numFmtId="0" fontId="0" fillId="14" borderId="55" pivotButton="0" quotePrefix="0" xfId="0"/>
    <xf numFmtId="10" fontId="0" fillId="14" borderId="56" pivotButton="0" quotePrefix="0" xfId="0"/>
    <xf numFmtId="10" fontId="0" fillId="14" borderId="57" pivotButton="0" quotePrefix="0" xfId="0"/>
    <xf numFmtId="0" fontId="67" fillId="7" borderId="120" pivotButton="0" quotePrefix="0" xfId="0"/>
    <xf numFmtId="0" fontId="68" fillId="7" borderId="121" pivotButton="0" quotePrefix="0" xfId="0"/>
    <xf numFmtId="0" fontId="68" fillId="7" borderId="21" pivotButton="0" quotePrefix="0" xfId="0"/>
    <xf numFmtId="0" fontId="0" fillId="9" borderId="122" pivotButton="0" quotePrefix="0" xfId="0"/>
    <xf numFmtId="0" fontId="17" fillId="9" borderId="24" applyAlignment="1" pivotButton="0" quotePrefix="0" xfId="0">
      <alignment horizontal="right"/>
    </xf>
    <xf numFmtId="172" fontId="0" fillId="0" borderId="0" pivotButton="0" quotePrefix="0" xfId="0"/>
    <xf numFmtId="0" fontId="0" fillId="10" borderId="0" pivotButton="0" quotePrefix="0" xfId="0"/>
    <xf numFmtId="165" fontId="0" fillId="10" borderId="0" pivotButton="0" quotePrefix="0" xfId="0"/>
    <xf numFmtId="0" fontId="2" fillId="9" borderId="0" pivotButton="0" quotePrefix="0" xfId="3"/>
    <xf numFmtId="1" fontId="0" fillId="8" borderId="0" pivotButton="0" quotePrefix="0" xfId="0"/>
    <xf numFmtId="0" fontId="41" fillId="3" borderId="123" applyAlignment="1" pivotButton="0" quotePrefix="0" xfId="6">
      <alignment horizontal="center" vertical="center"/>
    </xf>
    <xf numFmtId="168" fontId="18" fillId="3" borderId="124" applyAlignment="1" pivotButton="0" quotePrefix="0" xfId="6">
      <alignment horizontal="center" vertical="center"/>
    </xf>
    <xf numFmtId="0" fontId="17" fillId="9" borderId="27" applyAlignment="1" pivotButton="0" quotePrefix="0" xfId="0">
      <alignment horizontal="right"/>
    </xf>
    <xf numFmtId="0" fontId="43" fillId="13" borderId="125" applyAlignment="1" pivotButton="0" quotePrefix="0" xfId="0">
      <alignment horizontal="center" vertical="center"/>
    </xf>
    <xf numFmtId="168" fontId="44" fillId="13" borderId="126" applyAlignment="1" pivotButton="0" quotePrefix="0" xfId="6">
      <alignment horizontal="center" vertical="center"/>
    </xf>
    <xf numFmtId="168" fontId="44" fillId="13" borderId="127" applyAlignment="1" pivotButton="0" quotePrefix="0" xfId="6">
      <alignment horizontal="center" vertical="center"/>
    </xf>
    <xf numFmtId="0" fontId="71" fillId="8" borderId="128" pivotButton="0" quotePrefix="0" xfId="0"/>
    <xf numFmtId="0" fontId="68" fillId="8" borderId="129" pivotButton="0" quotePrefix="0" xfId="0"/>
    <xf numFmtId="0" fontId="68" fillId="8" borderId="40" pivotButton="0" quotePrefix="0" xfId="0"/>
    <xf numFmtId="0" fontId="0" fillId="10" borderId="13" pivotButton="0" quotePrefix="0" xfId="0"/>
    <xf numFmtId="0" fontId="17" fillId="10" borderId="12" applyAlignment="1" pivotButton="0" quotePrefix="0" xfId="0">
      <alignment horizontal="right"/>
    </xf>
    <xf numFmtId="0" fontId="2" fillId="10" borderId="0" pivotButton="0" quotePrefix="0" xfId="3"/>
    <xf numFmtId="0" fontId="41" fillId="3" borderId="130" applyAlignment="1" pivotButton="0" quotePrefix="0" xfId="6">
      <alignment horizontal="center" vertical="center"/>
    </xf>
    <xf numFmtId="168" fontId="18" fillId="3" borderId="131" applyAlignment="1" pivotButton="0" quotePrefix="0" xfId="6">
      <alignment horizontal="center" vertical="center"/>
    </xf>
    <xf numFmtId="0" fontId="17" fillId="10" borderId="16" applyAlignment="1" pivotButton="0" quotePrefix="0" xfId="0">
      <alignment horizontal="right"/>
    </xf>
    <xf numFmtId="0" fontId="43" fillId="13" borderId="132" applyAlignment="1" pivotButton="0" quotePrefix="0" xfId="0">
      <alignment horizontal="center" vertical="center"/>
    </xf>
    <xf numFmtId="168" fontId="44" fillId="13" borderId="133" applyAlignment="1" pivotButton="0" quotePrefix="0" xfId="6">
      <alignment horizontal="center" vertical="center"/>
    </xf>
    <xf numFmtId="168" fontId="44" fillId="13" borderId="134" applyAlignment="1" pivotButton="0" quotePrefix="0" xfId="6">
      <alignment horizontal="center" vertical="center"/>
    </xf>
    <xf numFmtId="0" fontId="72" fillId="0" borderId="0" applyAlignment="1" pivotButton="0" quotePrefix="0" xfId="0">
      <alignment horizontal="right" vertical="center"/>
    </xf>
    <xf numFmtId="0" fontId="73" fillId="0" borderId="0" applyAlignment="1" pivotButton="0" quotePrefix="0" xfId="2">
      <alignment horizontal="right"/>
    </xf>
    <xf numFmtId="0" fontId="26" fillId="0" borderId="0" applyAlignment="1" pivotButton="0" quotePrefix="0" xfId="0">
      <alignment horizontal="left"/>
    </xf>
    <xf numFmtId="0" fontId="26" fillId="4" borderId="0" applyAlignment="1" pivotButton="0" quotePrefix="0" xfId="0">
      <alignment horizontal="left"/>
    </xf>
    <xf numFmtId="0" fontId="26" fillId="4" borderId="0" pivotButton="0" quotePrefix="0" xfId="0"/>
    <xf numFmtId="0" fontId="26" fillId="0" borderId="0" applyAlignment="1" pivotButton="0" quotePrefix="0" xfId="0">
      <alignment vertical="center"/>
    </xf>
    <xf numFmtId="171" fontId="62" fillId="0" borderId="0" applyAlignment="1" pivotButton="0" quotePrefix="0" xfId="0">
      <alignment horizontal="center" vertical="center"/>
    </xf>
    <xf numFmtId="11" fontId="2" fillId="0" borderId="0" applyAlignment="1" pivotButton="0" quotePrefix="0" xfId="0">
      <alignment horizontal="center" vertical="center"/>
    </xf>
    <xf numFmtId="0" fontId="62" fillId="7" borderId="52" applyAlignment="1" pivotButton="0" quotePrefix="0" xfId="0">
      <alignment horizontal="center" vertical="center"/>
    </xf>
    <xf numFmtId="0" fontId="62" fillId="7" borderId="53" applyAlignment="1" pivotButton="0" quotePrefix="0" xfId="0">
      <alignment horizontal="center" vertical="center"/>
    </xf>
    <xf numFmtId="0" fontId="62" fillId="7" borderId="54" applyAlignment="1" pivotButton="0" quotePrefix="0" xfId="0">
      <alignment horizontal="center" vertical="center"/>
    </xf>
    <xf numFmtId="0" fontId="62" fillId="7" borderId="107" applyAlignment="1" pivotButton="0" quotePrefix="0" xfId="0">
      <alignment horizontal="center" vertical="center"/>
    </xf>
    <xf numFmtId="0" fontId="62" fillId="7" borderId="100" applyAlignment="1" pivotButton="0" quotePrefix="0" xfId="0">
      <alignment horizontal="center" vertical="center"/>
    </xf>
    <xf numFmtId="0" fontId="62" fillId="7" borderId="108" applyAlignment="1" pivotButton="0" quotePrefix="0" xfId="0">
      <alignment horizontal="center" vertical="center"/>
    </xf>
    <xf numFmtId="0" fontId="62" fillId="8" borderId="52" applyAlignment="1" pivotButton="0" quotePrefix="0" xfId="0">
      <alignment horizontal="center" vertical="center"/>
    </xf>
    <xf numFmtId="0" fontId="62" fillId="8" borderId="53" applyAlignment="1" pivotButton="0" quotePrefix="0" xfId="0">
      <alignment horizontal="center" vertical="center"/>
    </xf>
    <xf numFmtId="0" fontId="62" fillId="8" borderId="54" applyAlignment="1" pivotButton="0" quotePrefix="0" xfId="0">
      <alignment horizontal="center" vertical="center"/>
    </xf>
    <xf numFmtId="0" fontId="62" fillId="8" borderId="107" applyAlignment="1" pivotButton="0" quotePrefix="0" xfId="0">
      <alignment horizontal="center" vertical="center"/>
    </xf>
    <xf numFmtId="0" fontId="62" fillId="8" borderId="100" applyAlignment="1" pivotButton="0" quotePrefix="0" xfId="0">
      <alignment horizontal="center" vertical="center"/>
    </xf>
    <xf numFmtId="0" fontId="62" fillId="8" borderId="108" applyAlignment="1" pivotButton="0" quotePrefix="0" xfId="0">
      <alignment horizontal="center" vertical="center"/>
    </xf>
    <xf numFmtId="0" fontId="26" fillId="0" borderId="0" applyAlignment="1" pivotButton="0" quotePrefix="0" xfId="0">
      <alignment horizontal="right"/>
    </xf>
    <xf numFmtId="0" fontId="85" fillId="0" borderId="0" pivotButton="0" quotePrefix="0" xfId="11"/>
    <xf numFmtId="0" fontId="0" fillId="0" borderId="136" pivotButton="0" quotePrefix="0" xfId="11"/>
    <xf numFmtId="0" fontId="0" fillId="0" borderId="137" applyAlignment="1" pivotButton="0" quotePrefix="0" xfId="11">
      <alignment horizontal="center"/>
    </xf>
    <xf numFmtId="0" fontId="0" fillId="0" borderId="137" pivotButton="0" quotePrefix="0" xfId="11"/>
    <xf numFmtId="0" fontId="0" fillId="0" borderId="138" pivotButton="0" quotePrefix="0" xfId="11"/>
    <xf numFmtId="0" fontId="0" fillId="22" borderId="139" pivotButton="0" quotePrefix="0" xfId="11"/>
    <xf numFmtId="10" fontId="0" fillId="0" borderId="140" applyAlignment="1" pivotButton="0" quotePrefix="0" xfId="11">
      <alignment horizontal="center"/>
    </xf>
    <xf numFmtId="0" fontId="0" fillId="0" borderId="140" pivotButton="0" quotePrefix="0" xfId="11"/>
    <xf numFmtId="172" fontId="87" fillId="0" borderId="140" pivotButton="0" quotePrefix="0" xfId="13"/>
    <xf numFmtId="172" fontId="87" fillId="0" borderId="142" pivotButton="0" quotePrefix="0" xfId="13"/>
    <xf numFmtId="0" fontId="0" fillId="22" borderId="143" pivotButton="0" quotePrefix="0" xfId="11"/>
    <xf numFmtId="10" fontId="0" fillId="0" borderId="0" applyAlignment="1" pivotButton="0" quotePrefix="0" xfId="11">
      <alignment horizontal="center"/>
    </xf>
    <xf numFmtId="0" fontId="86" fillId="24" borderId="144" pivotButton="0" quotePrefix="0" xfId="12"/>
    <xf numFmtId="0" fontId="0" fillId="0" borderId="0" pivotButton="0" quotePrefix="0" xfId="11"/>
    <xf numFmtId="172" fontId="87" fillId="0" borderId="0" pivotButton="0" quotePrefix="0" xfId="13"/>
    <xf numFmtId="172" fontId="87" fillId="0" borderId="145" pivotButton="0" quotePrefix="0" xfId="13"/>
    <xf numFmtId="0" fontId="86" fillId="23" borderId="141" pivotButton="0" quotePrefix="0" xfId="12"/>
    <xf numFmtId="0" fontId="86" fillId="23" borderId="144" pivotButton="0" quotePrefix="0" xfId="12"/>
    <xf numFmtId="0" fontId="0" fillId="22" borderId="146" pivotButton="0" quotePrefix="0" xfId="11"/>
    <xf numFmtId="10" fontId="0" fillId="0" borderId="147" applyAlignment="1" pivotButton="0" quotePrefix="0" xfId="11">
      <alignment horizontal="center"/>
    </xf>
    <xf numFmtId="0" fontId="0" fillId="0" borderId="147" pivotButton="0" quotePrefix="0" xfId="11"/>
    <xf numFmtId="0" fontId="86" fillId="23" borderId="148" pivotButton="0" quotePrefix="0" xfId="12"/>
    <xf numFmtId="172" fontId="87" fillId="0" borderId="147" pivotButton="0" quotePrefix="0" xfId="13"/>
    <xf numFmtId="172" fontId="87" fillId="0" borderId="149" pivotButton="0" quotePrefix="0" xfId="13"/>
    <xf numFmtId="0" fontId="0" fillId="25" borderId="136" pivotButton="0" quotePrefix="0" xfId="11"/>
    <xf numFmtId="0" fontId="0" fillId="25" borderId="139" pivotButton="0" quotePrefix="0" xfId="11"/>
    <xf numFmtId="0" fontId="0" fillId="25" borderId="143" pivotButton="0" quotePrefix="0" xfId="11"/>
    <xf numFmtId="0" fontId="0" fillId="25" borderId="146" pivotButton="0" quotePrefix="0" xfId="11"/>
    <xf numFmtId="0" fontId="0" fillId="0" borderId="145" pivotButton="0" quotePrefix="0" xfId="11"/>
    <xf numFmtId="0" fontId="88" fillId="22" borderId="136" applyAlignment="1" pivotButton="0" quotePrefix="0" xfId="11">
      <alignment horizontal="center"/>
    </xf>
    <xf numFmtId="0" fontId="0" fillId="0" borderId="0" pivotButton="0" quotePrefix="0" xfId="11"/>
    <xf numFmtId="0" fontId="0" fillId="0" borderId="143" pivotButton="0" quotePrefix="0" xfId="11"/>
    <xf numFmtId="0" fontId="90" fillId="26" borderId="0" pivotButton="0" quotePrefix="0" xfId="14"/>
    <xf numFmtId="0" fontId="90" fillId="26" borderId="0" pivotButton="0" quotePrefix="0" xfId="14"/>
    <xf numFmtId="0" fontId="0" fillId="0" borderId="146" pivotButton="0" quotePrefix="0" xfId="11"/>
    <xf numFmtId="0" fontId="0" fillId="0" borderId="149" pivotButton="0" quotePrefix="0" xfId="11"/>
    <xf numFmtId="0" fontId="85" fillId="0" borderId="0" pivotButton="0" quotePrefix="0" xfId="15"/>
    <xf numFmtId="0" fontId="6" fillId="0" borderId="140" pivotButton="0" quotePrefix="0" xfId="5"/>
    <xf numFmtId="0" fontId="6" fillId="0" borderId="0" pivotButton="0" quotePrefix="0" xfId="5"/>
    <xf numFmtId="0" fontId="6" fillId="0" borderId="147" pivotButton="0" quotePrefix="0" xfId="5"/>
    <xf numFmtId="0" fontId="84" fillId="27" borderId="135" pivotButton="0" quotePrefix="0" xfId="10"/>
    <xf numFmtId="0" fontId="84" fillId="28" borderId="135" pivotButton="0" quotePrefix="0" xfId="10"/>
    <xf numFmtId="2" fontId="84" fillId="28" borderId="135" pivotButton="0" quotePrefix="0" xfId="10"/>
    <xf numFmtId="2" fontId="84" fillId="27" borderId="135" pivotButton="0" quotePrefix="0" xfId="10"/>
    <xf numFmtId="2" fontId="18" fillId="6" borderId="28" applyAlignment="1" pivotButton="0" quotePrefix="0" xfId="6">
      <alignment horizontal="center" vertical="center"/>
    </xf>
    <xf numFmtId="2" fontId="18" fillId="6" borderId="29" applyAlignment="1" pivotButton="0" quotePrefix="0" xfId="6">
      <alignment horizontal="center" vertical="center"/>
    </xf>
    <xf numFmtId="2" fontId="18" fillId="6" borderId="25" applyAlignment="1" pivotButton="0" quotePrefix="0" xfId="6">
      <alignment horizontal="center" vertical="center"/>
    </xf>
    <xf numFmtId="2" fontId="18" fillId="6" borderId="45" applyAlignment="1" pivotButton="0" quotePrefix="0" xfId="6">
      <alignment horizontal="center" vertical="center"/>
    </xf>
    <xf numFmtId="2" fontId="18" fillId="6" borderId="26" applyAlignment="1" pivotButton="0" quotePrefix="0" xfId="6">
      <alignment horizontal="center" vertical="center"/>
    </xf>
    <xf numFmtId="2" fontId="18" fillId="6" borderId="4" applyAlignment="1" pivotButton="0" quotePrefix="0" xfId="6">
      <alignment horizontal="center" vertical="center"/>
    </xf>
    <xf numFmtId="2" fontId="18" fillId="6" borderId="0" applyAlignment="1" pivotButton="0" quotePrefix="0" xfId="6">
      <alignment horizontal="center" vertical="center"/>
    </xf>
    <xf numFmtId="2" fontId="18" fillId="6" borderId="44" applyAlignment="1" pivotButton="0" quotePrefix="0" xfId="6">
      <alignment horizontal="center" vertical="center"/>
    </xf>
    <xf numFmtId="2" fontId="18" fillId="6" borderId="46" applyAlignment="1" pivotButton="0" quotePrefix="0" xfId="6">
      <alignment horizontal="center" vertical="center"/>
    </xf>
    <xf numFmtId="2" fontId="18" fillId="6" borderId="47" applyAlignment="1" pivotButton="0" quotePrefix="0" xfId="6">
      <alignment horizontal="center" vertical="center"/>
    </xf>
    <xf numFmtId="2" fontId="18" fillId="6" borderId="48" applyAlignment="1" pivotButton="0" quotePrefix="0" xfId="6">
      <alignment horizontal="center" vertical="center"/>
    </xf>
    <xf numFmtId="0" fontId="91" fillId="29" borderId="52" pivotButton="0" quotePrefix="0" xfId="0"/>
    <xf numFmtId="0" fontId="68" fillId="29" borderId="53" pivotButton="0" quotePrefix="0" xfId="0"/>
    <xf numFmtId="0" fontId="68" fillId="29" borderId="54" pivotButton="0" quotePrefix="0" xfId="0"/>
    <xf numFmtId="0" fontId="0" fillId="30" borderId="62" pivotButton="0" quotePrefix="0" xfId="0"/>
    <xf numFmtId="0" fontId="0" fillId="30" borderId="70" pivotButton="0" quotePrefix="0" xfId="0"/>
    <xf numFmtId="0" fontId="17" fillId="30" borderId="62" applyAlignment="1" pivotButton="0" quotePrefix="0" xfId="0">
      <alignment horizontal="right"/>
    </xf>
    <xf numFmtId="0" fontId="2" fillId="30" borderId="0" pivotButton="0" quotePrefix="0" xfId="3"/>
    <xf numFmtId="0" fontId="0" fillId="30" borderId="0" pivotButton="0" quotePrefix="0" xfId="0"/>
    <xf numFmtId="0" fontId="17" fillId="30" borderId="55" applyAlignment="1" pivotButton="0" quotePrefix="0" xfId="0">
      <alignment horizontal="right"/>
    </xf>
    <xf numFmtId="0" fontId="92" fillId="0" borderId="0" pivotButton="0" quotePrefix="0" xfId="0"/>
    <xf numFmtId="1" fontId="62" fillId="0" borderId="82" applyAlignment="1" pivotButton="0" quotePrefix="0" xfId="0">
      <alignment horizontal="center" vertical="center"/>
    </xf>
    <xf numFmtId="1" fontId="62" fillId="0" borderId="74" applyAlignment="1" pivotButton="0" quotePrefix="0" xfId="0">
      <alignment horizontal="center" vertical="center"/>
    </xf>
    <xf numFmtId="1" fontId="62" fillId="0" borderId="93" applyAlignment="1" pivotButton="0" quotePrefix="0" xfId="0">
      <alignment horizontal="center" vertical="center"/>
    </xf>
    <xf numFmtId="172" fontId="93" fillId="0" borderId="83" pivotButton="0" quotePrefix="0" xfId="1"/>
    <xf numFmtId="172" fontId="93" fillId="0" borderId="80" pivotButton="0" quotePrefix="0" xfId="1"/>
    <xf numFmtId="172" fontId="93" fillId="0" borderId="98" pivotButton="0" quotePrefix="0" xfId="1"/>
    <xf numFmtId="172" fontId="82" fillId="0" borderId="70" pivotButton="0" quotePrefix="0" xfId="1"/>
    <xf numFmtId="172" fontId="82" fillId="0" borderId="57" pivotButton="0" quotePrefix="0" xfId="1"/>
    <xf numFmtId="166" fontId="0" fillId="18" borderId="103" applyAlignment="1" pivotButton="0" quotePrefix="0" xfId="0">
      <alignment vertical="center"/>
    </xf>
    <xf numFmtId="173" fontId="18" fillId="3" borderId="83" applyAlignment="1" pivotButton="0" quotePrefix="0" xfId="6">
      <alignment horizontal="center" vertical="center"/>
    </xf>
    <xf numFmtId="0" fontId="0" fillId="32" borderId="0" pivotButton="0" quotePrefix="0" xfId="0"/>
    <xf numFmtId="10" fontId="82" fillId="32" borderId="0" pivotButton="0" quotePrefix="0" xfId="1"/>
    <xf numFmtId="0" fontId="0" fillId="34" borderId="62" pivotButton="0" quotePrefix="0" xfId="0"/>
    <xf numFmtId="0" fontId="17" fillId="34" borderId="62" applyAlignment="1" pivotButton="0" quotePrefix="0" xfId="0">
      <alignment horizontal="right"/>
    </xf>
    <xf numFmtId="0" fontId="0" fillId="35" borderId="70" pivotButton="0" quotePrefix="0" xfId="0"/>
    <xf numFmtId="0" fontId="0" fillId="35" borderId="62" pivotButton="0" quotePrefix="0" xfId="0"/>
    <xf numFmtId="0" fontId="0" fillId="35" borderId="0" pivotButton="0" quotePrefix="0" xfId="0"/>
    <xf numFmtId="0" fontId="17" fillId="36" borderId="62" applyAlignment="1" pivotButton="0" quotePrefix="0" xfId="0">
      <alignment horizontal="right"/>
    </xf>
    <xf numFmtId="173" fontId="18" fillId="3" borderId="80" applyAlignment="1" pivotButton="0" quotePrefix="0" xfId="6">
      <alignment horizontal="center" vertical="center"/>
    </xf>
    <xf numFmtId="0" fontId="17" fillId="36" borderId="55" applyAlignment="1" pivotButton="0" quotePrefix="0" xfId="0">
      <alignment horizontal="right"/>
    </xf>
    <xf numFmtId="173" fontId="44" fillId="13" borderId="83" applyAlignment="1" pivotButton="0" quotePrefix="0" xfId="6">
      <alignment horizontal="center" vertical="center"/>
    </xf>
    <xf numFmtId="173" fontId="44" fillId="13" borderId="80" applyAlignment="1" pivotButton="0" quotePrefix="0" xfId="6">
      <alignment horizontal="center" vertical="center"/>
    </xf>
    <xf numFmtId="0" fontId="0" fillId="0" borderId="0" pivotButton="0" quotePrefix="0" xfId="11"/>
    <xf numFmtId="0" fontId="3" fillId="37" borderId="101" pivotButton="0" quotePrefix="0" xfId="0"/>
    <xf numFmtId="0" fontId="0" fillId="37" borderId="151" pivotButton="0" quotePrefix="0" xfId="0"/>
    <xf numFmtId="0" fontId="0" fillId="37" borderId="152" pivotButton="0" quotePrefix="0" xfId="0"/>
    <xf numFmtId="0" fontId="86" fillId="24" borderId="153" pivotButton="0" quotePrefix="0" xfId="12"/>
    <xf numFmtId="0" fontId="86" fillId="24" borderId="154" pivotButton="0" quotePrefix="0" xfId="12"/>
    <xf numFmtId="0" fontId="86" fillId="24" borderId="155" pivotButton="0" quotePrefix="0" xfId="12"/>
    <xf numFmtId="0" fontId="86" fillId="24" borderId="156" pivotButton="0" quotePrefix="0" xfId="12"/>
    <xf numFmtId="0" fontId="86" fillId="24" borderId="157" pivotButton="0" quotePrefix="0" xfId="12"/>
    <xf numFmtId="0" fontId="86" fillId="23" borderId="158" pivotButton="0" quotePrefix="0" xfId="12"/>
    <xf numFmtId="0" fontId="86" fillId="23" borderId="159" pivotButton="0" quotePrefix="0" xfId="12"/>
    <xf numFmtId="0" fontId="86" fillId="23" borderId="156" pivotButton="0" quotePrefix="0" xfId="12"/>
    <xf numFmtId="0" fontId="86" fillId="23" borderId="157" pivotButton="0" quotePrefix="0" xfId="12"/>
    <xf numFmtId="0" fontId="86" fillId="23" borderId="160" pivotButton="0" quotePrefix="0" xfId="12"/>
    <xf numFmtId="0" fontId="86" fillId="23" borderId="161" pivotButton="0" quotePrefix="0" xfId="12"/>
    <xf numFmtId="0" fontId="86" fillId="23" borderId="162" pivotButton="0" quotePrefix="0" xfId="12"/>
    <xf numFmtId="0" fontId="86" fillId="23" borderId="163" pivotButton="0" quotePrefix="0" xfId="12"/>
    <xf numFmtId="0" fontId="86" fillId="23" borderId="164" pivotButton="0" quotePrefix="0" xfId="12"/>
    <xf numFmtId="0" fontId="98" fillId="0" borderId="0" pivotButton="0" quotePrefix="0" xfId="11"/>
    <xf numFmtId="0" fontId="0" fillId="38" borderId="0" pivotButton="0" quotePrefix="0" xfId="11"/>
    <xf numFmtId="0" fontId="85" fillId="38" borderId="0" pivotButton="0" quotePrefix="0" xfId="11"/>
    <xf numFmtId="0" fontId="0" fillId="0" borderId="165" pivotButton="0" quotePrefix="0" xfId="11"/>
    <xf numFmtId="14" fontId="0" fillId="0" borderId="0" pivotButton="0" quotePrefix="0" xfId="0"/>
    <xf numFmtId="174" fontId="50" fillId="0" borderId="0" applyAlignment="1" pivotButton="0" quotePrefix="0" xfId="0">
      <alignment horizontal="center" vertical="center"/>
    </xf>
    <xf numFmtId="0" fontId="50" fillId="0" borderId="0" applyAlignment="1" pivotButton="0" quotePrefix="0" xfId="0">
      <alignment horizontal="center" vertical="center"/>
    </xf>
    <xf numFmtId="0" fontId="20" fillId="8" borderId="0" applyAlignment="1" pivotButton="0" quotePrefix="0" xfId="0">
      <alignment horizontal="center" vertical="center" wrapText="1"/>
    </xf>
    <xf numFmtId="0" fontId="15" fillId="8" borderId="37" applyAlignment="1" pivotButton="0" quotePrefix="0" xfId="0">
      <alignment horizontal="center" vertical="center" wrapText="1"/>
    </xf>
    <xf numFmtId="0" fontId="17" fillId="8" borderId="38" applyAlignment="1" pivotButton="0" quotePrefix="0" xfId="0">
      <alignment horizontal="center" vertical="center"/>
    </xf>
    <xf numFmtId="0" fontId="17" fillId="8" borderId="39" applyAlignment="1" pivotButton="0" quotePrefix="0" xfId="0">
      <alignment horizontal="center" vertical="center"/>
    </xf>
    <xf numFmtId="0" fontId="17" fillId="8" borderId="40" applyAlignment="1" pivotButton="0" quotePrefix="0" xfId="0">
      <alignment horizontal="center" vertical="center"/>
    </xf>
    <xf numFmtId="0" fontId="88" fillId="22" borderId="136" applyAlignment="1" pivotButton="0" quotePrefix="0" xfId="11">
      <alignment horizontal="center"/>
    </xf>
    <xf numFmtId="0" fontId="89" fillId="25" borderId="150" applyAlignment="1" pivotButton="0" quotePrefix="0" xfId="11">
      <alignment horizontal="center"/>
    </xf>
    <xf numFmtId="0" fontId="13" fillId="7" borderId="0" applyAlignment="1" pivotButton="0" quotePrefix="0" xfId="0">
      <alignment horizontal="center" vertical="center" wrapText="1"/>
    </xf>
    <xf numFmtId="0" fontId="15" fillId="11" borderId="18" applyAlignment="1" pivotButton="0" quotePrefix="0" xfId="0">
      <alignment horizontal="center" vertical="center" wrapText="1"/>
    </xf>
    <xf numFmtId="0" fontId="17" fillId="11" borderId="19" applyAlignment="1" pivotButton="0" quotePrefix="0" xfId="0">
      <alignment horizontal="center" vertical="center"/>
    </xf>
    <xf numFmtId="0" fontId="17" fillId="11" borderId="20" applyAlignment="1" pivotButton="0" quotePrefix="0" xfId="0">
      <alignment horizontal="center" vertical="center"/>
    </xf>
    <xf numFmtId="0" fontId="17" fillId="11" borderId="21" applyAlignment="1" pivotButton="0" quotePrefix="0" xfId="0">
      <alignment horizontal="center" vertical="center"/>
    </xf>
    <xf numFmtId="0" fontId="95" fillId="31" borderId="0" applyAlignment="1" pivotButton="0" quotePrefix="0" xfId="0">
      <alignment horizontal="center" vertical="center" wrapText="1"/>
    </xf>
    <xf numFmtId="0" fontId="8" fillId="7" borderId="6" applyAlignment="1" pivotButton="0" quotePrefix="0" xfId="0">
      <alignment horizontal="center" wrapText="1"/>
    </xf>
    <xf numFmtId="0" fontId="9" fillId="8" borderId="7" applyAlignment="1" pivotButton="0" quotePrefix="0" xfId="0">
      <alignment horizontal="center" vertical="center" wrapText="1"/>
    </xf>
    <xf numFmtId="0" fontId="10" fillId="9" borderId="8" applyAlignment="1" pivotButton="0" quotePrefix="0" xfId="0">
      <alignment horizontal="center"/>
    </xf>
    <xf numFmtId="0" fontId="10" fillId="10" borderId="9" applyAlignment="1" pivotButton="0" quotePrefix="0" xfId="0">
      <alignment horizontal="center" vertical="center"/>
    </xf>
    <xf numFmtId="0" fontId="62" fillId="7" borderId="79" applyAlignment="1" pivotButton="0" quotePrefix="0" xfId="0">
      <alignment horizontal="center" vertical="center" wrapText="1"/>
    </xf>
    <xf numFmtId="0" fontId="62" fillId="7" borderId="83" applyAlignment="1" pivotButton="0" quotePrefix="0" xfId="0">
      <alignment horizontal="center" vertical="center" wrapText="1"/>
    </xf>
    <xf numFmtId="0" fontId="0" fillId="5" borderId="0" applyAlignment="1" pivotButton="0" quotePrefix="0" xfId="0">
      <alignment horizontal="center" vertical="center" wrapText="1"/>
    </xf>
    <xf numFmtId="0" fontId="32" fillId="0" borderId="2" applyAlignment="1" pivotButton="0" quotePrefix="0" xfId="7">
      <alignment horizontal="center"/>
    </xf>
    <xf numFmtId="0" fontId="62" fillId="7" borderId="73" applyAlignment="1" pivotButton="0" quotePrefix="0" xfId="0">
      <alignment horizontal="center" vertical="center" wrapText="1"/>
    </xf>
    <xf numFmtId="0" fontId="62" fillId="7" borderId="82" applyAlignment="1" pivotButton="0" quotePrefix="0" xfId="0">
      <alignment horizontal="center" vertical="center" wrapText="1"/>
    </xf>
    <xf numFmtId="0" fontId="0" fillId="4" borderId="62" applyAlignment="1" pivotButton="0" quotePrefix="0" xfId="0">
      <alignment horizontal="center" vertical="center" wrapText="1"/>
    </xf>
    <xf numFmtId="0" fontId="0" fillId="4" borderId="0" applyAlignment="1" pivotButton="0" quotePrefix="0" xfId="0">
      <alignment horizontal="center" vertical="center" wrapText="1"/>
    </xf>
    <xf numFmtId="0" fontId="15" fillId="0" borderId="58" applyAlignment="1" pivotButton="0" quotePrefix="0" xfId="0">
      <alignment horizontal="center" vertical="center" wrapText="1"/>
    </xf>
    <xf numFmtId="0" fontId="17" fillId="0" borderId="59" applyAlignment="1" pivotButton="0" quotePrefix="0" xfId="0">
      <alignment horizontal="center" vertical="center"/>
    </xf>
    <xf numFmtId="0" fontId="17" fillId="0" borderId="60" applyAlignment="1" pivotButton="0" quotePrefix="0" xfId="0">
      <alignment horizontal="center" vertical="center"/>
    </xf>
    <xf numFmtId="0" fontId="17" fillId="0" borderId="54" applyAlignment="1" pivotButton="0" quotePrefix="0" xfId="0">
      <alignment horizontal="center" vertical="center"/>
    </xf>
    <xf numFmtId="0" fontId="31" fillId="0" borderId="2" applyAlignment="1" pivotButton="0" quotePrefix="0" xfId="7">
      <alignment horizontal="center"/>
    </xf>
    <xf numFmtId="0" fontId="62" fillId="19" borderId="104" applyAlignment="1" pivotButton="0" quotePrefix="0" xfId="0">
      <alignment horizontal="center" vertical="center" wrapText="1"/>
    </xf>
    <xf numFmtId="0" fontId="62" fillId="19" borderId="74" applyAlignment="1" pivotButton="0" quotePrefix="0" xfId="0">
      <alignment horizontal="center" vertical="center" wrapText="1"/>
    </xf>
    <xf numFmtId="0" fontId="38" fillId="0" borderId="71" applyAlignment="1" pivotButton="0" quotePrefix="0" xfId="7">
      <alignment horizontal="center"/>
    </xf>
    <xf numFmtId="0" fontId="38" fillId="0" borderId="72" applyAlignment="1" pivotButton="0" quotePrefix="0" xfId="7">
      <alignment horizontal="center"/>
    </xf>
    <xf numFmtId="0" fontId="91" fillId="33" borderId="52" applyAlignment="1" pivotButton="0" quotePrefix="0" xfId="0">
      <alignment horizontal="left"/>
    </xf>
    <xf numFmtId="0" fontId="91" fillId="33" borderId="53" applyAlignment="1" pivotButton="0" quotePrefix="0" xfId="0">
      <alignment horizontal="left"/>
    </xf>
    <xf numFmtId="0" fontId="91" fillId="33" borderId="54" applyAlignment="1" pivotButton="0" quotePrefix="0" xfId="0">
      <alignment horizontal="left"/>
    </xf>
    <xf numFmtId="0" fontId="65" fillId="11" borderId="0" applyAlignment="1" pivotButton="0" quotePrefix="0" xfId="0">
      <alignment horizontal="center" vertical="center" textRotation="255" wrapText="1"/>
    </xf>
    <xf numFmtId="0" fontId="69" fillId="8" borderId="0" applyAlignment="1" pivotButton="0" quotePrefix="0" xfId="0">
      <alignment horizontal="center" vertical="center" textRotation="255" wrapText="1"/>
    </xf>
    <xf numFmtId="0" fontId="62" fillId="8" borderId="73" applyAlignment="1" pivotButton="0" quotePrefix="0" xfId="0">
      <alignment horizontal="center" vertical="center"/>
    </xf>
    <xf numFmtId="0" fontId="62" fillId="8" borderId="74" applyAlignment="1" pivotButton="0" quotePrefix="0" xfId="0">
      <alignment horizontal="center" vertical="center"/>
    </xf>
    <xf numFmtId="0" fontId="62" fillId="8" borderId="79" applyAlignment="1" pivotButton="0" quotePrefix="0" xfId="0">
      <alignment horizontal="center" vertical="center"/>
    </xf>
    <xf numFmtId="0" fontId="62" fillId="8" borderId="80" applyAlignment="1" pivotButton="0" quotePrefix="0" xfId="0">
      <alignment horizontal="center" vertical="center"/>
    </xf>
    <xf numFmtId="0" fontId="75" fillId="0" borderId="0" applyAlignment="1" pivotButton="0" quotePrefix="0" xfId="0">
      <alignment horizontal="left" vertical="center"/>
    </xf>
    <xf numFmtId="164" fontId="26" fillId="0" borderId="0" applyAlignment="1" pivotButton="0" quotePrefix="0" xfId="0">
      <alignment horizontal="right"/>
    </xf>
    <xf numFmtId="0" fontId="26" fillId="4" borderId="0" applyAlignment="1" pivotButton="0" quotePrefix="0" xfId="0">
      <alignment horizontal="right"/>
    </xf>
    <xf numFmtId="0" fontId="26" fillId="0" borderId="0" applyAlignment="1" pivotButton="0" quotePrefix="0" xfId="0">
      <alignment horizontal="right"/>
    </xf>
    <xf numFmtId="0" fontId="76" fillId="0" borderId="75" applyAlignment="1" pivotButton="0" quotePrefix="0" xfId="0">
      <alignment horizontal="center" wrapText="1"/>
    </xf>
    <xf numFmtId="0" fontId="77" fillId="0" borderId="0" applyAlignment="1" pivotButton="0" quotePrefix="0" xfId="0">
      <alignment horizontal="left" vertical="center"/>
    </xf>
    <xf numFmtId="0" fontId="26" fillId="0" borderId="0" applyAlignment="1" pivotButton="0" quotePrefix="0" xfId="0">
      <alignment horizontal="right" vertical="center"/>
    </xf>
    <xf numFmtId="0" fontId="26" fillId="0" borderId="78" applyAlignment="1" pivotButton="0" quotePrefix="0" xfId="0">
      <alignment horizontal="right" vertical="center"/>
    </xf>
    <xf numFmtId="0" fontId="26" fillId="0" borderId="81" applyAlignment="1" pivotButton="0" quotePrefix="0" xfId="0">
      <alignment horizontal="right" vertical="center"/>
    </xf>
    <xf numFmtId="0" fontId="2" fillId="7" borderId="92" applyAlignment="1" pivotButton="0" quotePrefix="0" xfId="0">
      <alignment horizontal="center" vertical="center" wrapText="1"/>
    </xf>
    <xf numFmtId="0" fontId="2" fillId="0" borderId="99" applyAlignment="1" pivotButton="0" quotePrefix="0" xfId="0">
      <alignment horizontal="center" vertical="center" wrapText="1"/>
    </xf>
    <xf numFmtId="0" fontId="2" fillId="0" borderId="77" applyAlignment="1" pivotButton="0" quotePrefix="0" xfId="0">
      <alignment horizontal="center" vertical="center" wrapText="1"/>
    </xf>
    <xf numFmtId="0" fontId="2" fillId="0" borderId="99" applyAlignment="1" pivotButton="0" quotePrefix="0" xfId="0">
      <alignment horizontal="center" vertical="center"/>
    </xf>
    <xf numFmtId="168" fontId="2" fillId="0" borderId="77" applyAlignment="1" pivotButton="0" quotePrefix="0" xfId="0">
      <alignment horizontal="center" vertical="center"/>
    </xf>
    <xf numFmtId="168" fontId="2" fillId="0" borderId="83" applyAlignment="1" pivotButton="0" quotePrefix="0" xfId="0">
      <alignment horizontal="center" vertical="center"/>
    </xf>
    <xf numFmtId="168" fontId="2" fillId="0" borderId="80" applyAlignment="1" pivotButton="0" quotePrefix="0" xfId="0">
      <alignment horizontal="center" vertical="center"/>
    </xf>
    <xf numFmtId="0" fontId="62" fillId="7" borderId="104" applyAlignment="1" pivotButton="0" quotePrefix="0" xfId="0">
      <alignment horizontal="center" vertical="center" wrapText="1"/>
    </xf>
    <xf numFmtId="0" fontId="62" fillId="7" borderId="74" applyAlignment="1" pivotButton="0" quotePrefix="0" xfId="0">
      <alignment horizontal="center" vertical="center" wrapText="1"/>
    </xf>
    <xf numFmtId="0" fontId="2" fillId="8" borderId="92" applyAlignment="1" pivotButton="0" quotePrefix="0" xfId="0">
      <alignment horizontal="center" vertical="center" wrapText="1"/>
    </xf>
    <xf numFmtId="0" fontId="62" fillId="8" borderId="74" applyAlignment="1" pivotButton="0" quotePrefix="0" xfId="0">
      <alignment horizontal="center" vertical="center" wrapText="1"/>
    </xf>
    <xf numFmtId="0" fontId="62" fillId="8" borderId="104" applyAlignment="1" pivotButton="0" quotePrefix="0" xfId="0">
      <alignment horizontal="center" vertical="center" wrapText="1"/>
    </xf>
    <xf numFmtId="172" fontId="87" fillId="0" borderId="140" pivotButton="0" quotePrefix="0" xfId="13"/>
    <xf numFmtId="172" fontId="87" fillId="0" borderId="142" pivotButton="0" quotePrefix="0" xfId="13"/>
    <xf numFmtId="172" fontId="87" fillId="0" borderId="0" pivotButton="0" quotePrefix="0" xfId="13"/>
    <xf numFmtId="172" fontId="87" fillId="0" borderId="145" pivotButton="0" quotePrefix="0" xfId="13"/>
    <xf numFmtId="172" fontId="87" fillId="0" borderId="147" pivotButton="0" quotePrefix="0" xfId="13"/>
    <xf numFmtId="172" fontId="87" fillId="0" borderId="149" pivotButton="0" quotePrefix="0" xfId="13"/>
    <xf numFmtId="0" fontId="0" fillId="0" borderId="140" pivotButton="0" quotePrefix="0" xfId="0"/>
    <xf numFmtId="0" fontId="0" fillId="0" borderId="142" pivotButton="0" quotePrefix="0" xfId="0"/>
    <xf numFmtId="0" fontId="0" fillId="0" borderId="146" pivotButton="0" quotePrefix="0" xfId="0"/>
    <xf numFmtId="0" fontId="0" fillId="0" borderId="147" pivotButton="0" quotePrefix="0" xfId="0"/>
    <xf numFmtId="0" fontId="0" fillId="0" borderId="149" pivotButton="0" quotePrefix="0" xfId="0"/>
    <xf numFmtId="0" fontId="0" fillId="0" borderId="121" pivotButton="0" quotePrefix="0" xfId="0"/>
    <xf numFmtId="0" fontId="0" fillId="0" borderId="166" pivotButton="0" quotePrefix="0" xfId="0"/>
    <xf numFmtId="0" fontId="0" fillId="0" borderId="21" pivotButton="0" quotePrefix="0" xfId="0"/>
    <xf numFmtId="0" fontId="0" fillId="0" borderId="33" pivotButton="0" quotePrefix="0" xfId="0"/>
    <xf numFmtId="0" fontId="0" fillId="0" borderId="129" pivotButton="0" quotePrefix="0" xfId="0"/>
    <xf numFmtId="0" fontId="0" fillId="0" borderId="168" pivotButton="0" quotePrefix="0" xfId="0"/>
    <xf numFmtId="0" fontId="0" fillId="0" borderId="40" pivotButton="0" quotePrefix="0" xfId="0"/>
    <xf numFmtId="0" fontId="0" fillId="0" borderId="167" pivotButton="0" quotePrefix="0" xfId="0"/>
    <xf numFmtId="174" fontId="50" fillId="0" borderId="0" applyAlignment="1" pivotButton="0" quotePrefix="0" xfId="0">
      <alignment horizontal="center" vertical="center"/>
    </xf>
    <xf numFmtId="0" fontId="0" fillId="0" borderId="170" pivotButton="0" quotePrefix="0" xfId="0"/>
    <xf numFmtId="0" fontId="0" fillId="0" borderId="11" pivotButton="0" quotePrefix="0" xfId="0"/>
    <xf numFmtId="0" fontId="0" fillId="0" borderId="13" pivotButton="0" quotePrefix="0" xfId="0"/>
    <xf numFmtId="164" fontId="6" fillId="6" borderId="1" applyAlignment="1" pivotButton="0" quotePrefix="0" xfId="5">
      <alignment horizontal="left"/>
    </xf>
    <xf numFmtId="0" fontId="0" fillId="0" borderId="172" pivotButton="0" quotePrefix="0" xfId="0"/>
    <xf numFmtId="0" fontId="0" fillId="0" borderId="171" pivotButton="0" quotePrefix="0" xfId="0"/>
    <xf numFmtId="0" fontId="0" fillId="0" borderId="2" pivotButton="0" quotePrefix="0" xfId="0"/>
    <xf numFmtId="165" fontId="36" fillId="4" borderId="1" pivotButton="0" quotePrefix="0" xfId="9"/>
    <xf numFmtId="165" fontId="0" fillId="0" borderId="0" pivotButton="0" quotePrefix="0" xfId="0"/>
    <xf numFmtId="0" fontId="0" fillId="0" borderId="72" pivotButton="0" quotePrefix="0" xfId="0"/>
    <xf numFmtId="166" fontId="18" fillId="3" borderId="76" applyAlignment="1" pivotButton="0" quotePrefix="0" xfId="6">
      <alignment horizontal="center" vertical="center"/>
    </xf>
    <xf numFmtId="166" fontId="18" fillId="3" borderId="77" applyAlignment="1" pivotButton="0" quotePrefix="0" xfId="6">
      <alignment horizontal="center" vertical="center"/>
    </xf>
    <xf numFmtId="166" fontId="18" fillId="3" borderId="79" applyAlignment="1" pivotButton="0" quotePrefix="0" xfId="6">
      <alignment horizontal="center" vertical="center"/>
    </xf>
    <xf numFmtId="166" fontId="18" fillId="3" borderId="80" applyAlignment="1" pivotButton="0" quotePrefix="0" xfId="6">
      <alignment horizontal="center" vertical="center"/>
    </xf>
    <xf numFmtId="166" fontId="18" fillId="3" borderId="83" applyAlignment="1" pivotButton="0" quotePrefix="0" xfId="6">
      <alignment horizontal="center" vertical="center"/>
    </xf>
    <xf numFmtId="167" fontId="44" fillId="13" borderId="83" applyAlignment="1" pivotButton="0" quotePrefix="0" xfId="6">
      <alignment horizontal="center" vertical="center"/>
    </xf>
    <xf numFmtId="167" fontId="44" fillId="13" borderId="80" applyAlignment="1" pivotButton="0" quotePrefix="0" xfId="6">
      <alignment horizontal="center" vertical="center"/>
    </xf>
    <xf numFmtId="168" fontId="18" fillId="3" borderId="83" applyAlignment="1" pivotButton="0" quotePrefix="0" xfId="6">
      <alignment horizontal="center" vertical="center"/>
    </xf>
    <xf numFmtId="168" fontId="18" fillId="3" borderId="80" applyAlignment="1" pivotButton="0" quotePrefix="0" xfId="6">
      <alignment horizontal="center" vertical="center"/>
    </xf>
    <xf numFmtId="168" fontId="44" fillId="13" borderId="83" applyAlignment="1" pivotButton="0" quotePrefix="0" xfId="6">
      <alignment horizontal="center" vertical="center"/>
    </xf>
    <xf numFmtId="168" fontId="44" fillId="13" borderId="80" applyAlignment="1" pivotButton="0" quotePrefix="0" xfId="6">
      <alignment horizontal="center" vertical="center"/>
    </xf>
    <xf numFmtId="169" fontId="44" fillId="13" borderId="3" applyAlignment="1" pivotButton="0" quotePrefix="0" xfId="6">
      <alignment horizontal="center" vertical="center"/>
    </xf>
    <xf numFmtId="169" fontId="44" fillId="13" borderId="84" applyAlignment="1" pivotButton="0" quotePrefix="0" xfId="6">
      <alignment horizontal="center" vertical="center"/>
    </xf>
    <xf numFmtId="165" fontId="0" fillId="5" borderId="0" pivotButton="0" quotePrefix="0" xfId="0"/>
    <xf numFmtId="169" fontId="0" fillId="16" borderId="0" pivotButton="0" quotePrefix="0" xfId="0"/>
    <xf numFmtId="165" fontId="0" fillId="0" borderId="0" pivotButton="0" quotePrefix="0" xfId="1"/>
    <xf numFmtId="166" fontId="0" fillId="0" borderId="0" pivotButton="0" quotePrefix="0" xfId="0"/>
    <xf numFmtId="172" fontId="82" fillId="0" borderId="70" pivotButton="0" quotePrefix="0" xfId="1"/>
    <xf numFmtId="165" fontId="0" fillId="0" borderId="56" pivotButton="0" quotePrefix="0" xfId="0"/>
    <xf numFmtId="165" fontId="0" fillId="5" borderId="56" pivotButton="0" quotePrefix="0" xfId="0"/>
    <xf numFmtId="169" fontId="0" fillId="16" borderId="56" pivotButton="0" quotePrefix="0" xfId="0"/>
    <xf numFmtId="165" fontId="0" fillId="0" borderId="56" pivotButton="0" quotePrefix="0" xfId="1"/>
    <xf numFmtId="166" fontId="0" fillId="0" borderId="56" pivotButton="0" quotePrefix="0" xfId="0"/>
    <xf numFmtId="172" fontId="82" fillId="0" borderId="57" pivotButton="0" quotePrefix="0" xfId="1"/>
    <xf numFmtId="169" fontId="44" fillId="13" borderId="83" applyAlignment="1" pivotButton="0" quotePrefix="0" xfId="6">
      <alignment horizontal="center" vertical="center"/>
    </xf>
    <xf numFmtId="169" fontId="44" fillId="13" borderId="80" applyAlignment="1" pivotButton="0" quotePrefix="0" xfId="6">
      <alignment horizontal="center" vertical="center"/>
    </xf>
    <xf numFmtId="168" fontId="18" fillId="3" borderId="88" applyAlignment="1" pivotButton="0" quotePrefix="0" xfId="6">
      <alignment horizontal="center" vertical="center"/>
    </xf>
    <xf numFmtId="168" fontId="18" fillId="3" borderId="89" applyAlignment="1" pivotButton="0" quotePrefix="0" xfId="6">
      <alignment horizontal="center" vertical="center"/>
    </xf>
    <xf numFmtId="166" fontId="18" fillId="3" borderId="5" applyAlignment="1" pivotButton="0" quotePrefix="0" xfId="6">
      <alignment horizontal="center" vertical="center"/>
    </xf>
    <xf numFmtId="166" fontId="18" fillId="3" borderId="91" applyAlignment="1" pivotButton="0" quotePrefix="0" xfId="6">
      <alignment horizontal="center" vertical="center"/>
    </xf>
    <xf numFmtId="168" fontId="44" fillId="13" borderId="65" applyAlignment="1" pivotButton="0" quotePrefix="0" xfId="6">
      <alignment horizontal="center" vertical="center"/>
    </xf>
    <xf numFmtId="168" fontId="44" fillId="13" borderId="66" applyAlignment="1" pivotButton="0" quotePrefix="0" xfId="6">
      <alignment horizontal="center" vertical="center"/>
    </xf>
    <xf numFmtId="167" fontId="44" fillId="13" borderId="65" applyAlignment="1" pivotButton="0" quotePrefix="0" xfId="6">
      <alignment horizontal="center" vertical="center"/>
    </xf>
    <xf numFmtId="169" fontId="26" fillId="0" borderId="0" pivotButton="0" quotePrefix="0" xfId="3"/>
    <xf numFmtId="165" fontId="6" fillId="17" borderId="1" applyAlignment="1" pivotButton="0" quotePrefix="0" xfId="5">
      <alignment horizontal="center" vertical="center"/>
    </xf>
    <xf numFmtId="169" fontId="0" fillId="0" borderId="0" applyAlignment="1" pivotButton="0" quotePrefix="0" xfId="0">
      <alignment horizontal="center" vertical="center"/>
    </xf>
    <xf numFmtId="169" fontId="0" fillId="0" borderId="0" pivotButton="0" quotePrefix="0" xfId="0"/>
    <xf numFmtId="165" fontId="0" fillId="0" borderId="99" applyAlignment="1" pivotButton="0" quotePrefix="0" xfId="0">
      <alignment horizontal="center" vertical="center"/>
    </xf>
    <xf numFmtId="169" fontId="26" fillId="0" borderId="100" pivotButton="0" quotePrefix="0" xfId="3"/>
    <xf numFmtId="170" fontId="0" fillId="0" borderId="103" applyAlignment="1" pivotButton="0" quotePrefix="0" xfId="0">
      <alignment vertical="center"/>
    </xf>
    <xf numFmtId="166" fontId="0" fillId="18" borderId="103" applyAlignment="1" pivotButton="0" quotePrefix="0" xfId="0">
      <alignment vertical="center"/>
    </xf>
    <xf numFmtId="166" fontId="0" fillId="17" borderId="103" applyAlignment="1" pivotButton="0" quotePrefix="0" xfId="0">
      <alignment vertical="center"/>
    </xf>
    <xf numFmtId="168" fontId="54" fillId="3" borderId="0" applyAlignment="1" pivotButton="0" quotePrefix="0" xfId="6">
      <alignment horizontal="left" vertical="center"/>
    </xf>
    <xf numFmtId="168" fontId="18" fillId="3" borderId="0" applyAlignment="1" pivotButton="0" quotePrefix="0" xfId="6">
      <alignment horizontal="left" vertical="center"/>
    </xf>
    <xf numFmtId="168" fontId="2" fillId="0" borderId="77" applyAlignment="1" pivotButton="0" quotePrefix="0" xfId="0">
      <alignment horizontal="center" vertical="center"/>
    </xf>
    <xf numFmtId="168" fontId="2" fillId="0" borderId="83" applyAlignment="1" pivotButton="0" quotePrefix="0" xfId="0">
      <alignment horizontal="center" vertical="center"/>
    </xf>
    <xf numFmtId="168" fontId="2" fillId="0" borderId="80" applyAlignment="1" pivotButton="0" quotePrefix="0" xfId="0">
      <alignment horizontal="center" vertical="center"/>
    </xf>
    <xf numFmtId="168" fontId="2" fillId="0" borderId="0" applyAlignment="1" pivotButton="0" quotePrefix="0" xfId="0">
      <alignment horizontal="center" vertical="center"/>
    </xf>
    <xf numFmtId="168" fontId="44" fillId="13" borderId="0" applyAlignment="1" pivotButton="0" quotePrefix="0" xfId="6">
      <alignment horizontal="left" vertical="center"/>
    </xf>
    <xf numFmtId="168" fontId="0" fillId="0" borderId="0" pivotButton="0" quotePrefix="0" xfId="0"/>
    <xf numFmtId="0" fontId="0" fillId="0" borderId="107" pivotButton="0" quotePrefix="0" xfId="0"/>
    <xf numFmtId="0" fontId="0" fillId="0" borderId="91" pivotButton="0" quotePrefix="0" xfId="0"/>
    <xf numFmtId="171" fontId="62" fillId="0" borderId="5" applyAlignment="1" pivotButton="0" quotePrefix="0" xfId="0">
      <alignment horizontal="center" vertical="center"/>
    </xf>
    <xf numFmtId="171" fontId="62" fillId="0" borderId="91" applyAlignment="1" pivotButton="0" quotePrefix="0" xfId="0">
      <alignment horizontal="center" vertical="center"/>
    </xf>
    <xf numFmtId="166" fontId="62" fillId="0" borderId="77" applyAlignment="1" pivotButton="0" quotePrefix="0" xfId="0">
      <alignment horizontal="center" vertical="center"/>
    </xf>
    <xf numFmtId="171" fontId="2" fillId="0" borderId="99" applyAlignment="1" pivotButton="0" quotePrefix="0" xfId="0">
      <alignment horizontal="center" vertical="center"/>
    </xf>
    <xf numFmtId="171" fontId="62" fillId="0" borderId="99" applyAlignment="1" pivotButton="0" quotePrefix="0" xfId="0">
      <alignment horizontal="center" vertical="center"/>
    </xf>
    <xf numFmtId="171" fontId="62" fillId="0" borderId="77" applyAlignment="1" pivotButton="0" quotePrefix="0" xfId="0">
      <alignment horizontal="center" vertical="center"/>
    </xf>
    <xf numFmtId="166" fontId="62" fillId="0" borderId="80" applyAlignment="1" pivotButton="0" quotePrefix="0" xfId="0">
      <alignment horizontal="center" vertical="center"/>
    </xf>
    <xf numFmtId="171" fontId="62" fillId="0" borderId="83" applyAlignment="1" pivotButton="0" quotePrefix="0" xfId="0">
      <alignment horizontal="center" vertical="center"/>
    </xf>
    <xf numFmtId="171" fontId="62" fillId="0" borderId="80" applyAlignment="1" pivotButton="0" quotePrefix="0" xfId="0">
      <alignment horizontal="center" vertical="center"/>
    </xf>
    <xf numFmtId="169" fontId="6" fillId="17" borderId="1" applyAlignment="1" pivotButton="0" quotePrefix="0" xfId="5">
      <alignment horizontal="center" vertical="center"/>
    </xf>
    <xf numFmtId="169" fontId="0" fillId="0" borderId="99" applyAlignment="1" pivotButton="0" quotePrefix="0" xfId="0">
      <alignment horizontal="center" vertical="center"/>
    </xf>
    <xf numFmtId="0" fontId="0" fillId="0" borderId="93" pivotButton="0" quotePrefix="0" xfId="0"/>
    <xf numFmtId="0" fontId="0" fillId="0" borderId="98" pivotButton="0" quotePrefix="0" xfId="0"/>
    <xf numFmtId="172" fontId="93" fillId="0" borderId="83" pivotButton="0" quotePrefix="0" xfId="1"/>
    <xf numFmtId="172" fontId="93" fillId="0" borderId="80" pivotButton="0" quotePrefix="0" xfId="1"/>
    <xf numFmtId="165" fontId="0" fillId="0" borderId="70" pivotButton="0" quotePrefix="0" xfId="1"/>
    <xf numFmtId="165" fontId="0" fillId="0" borderId="57" pivotButton="0" quotePrefix="0" xfId="1"/>
    <xf numFmtId="165" fontId="0" fillId="9" borderId="0" pivotButton="0" quotePrefix="0" xfId="0"/>
    <xf numFmtId="168" fontId="18" fillId="3" borderId="115" applyAlignment="1" pivotButton="0" quotePrefix="0" xfId="6">
      <alignment horizontal="center" vertical="center"/>
    </xf>
    <xf numFmtId="168" fontId="44" fillId="13" borderId="118" applyAlignment="1" pivotButton="0" quotePrefix="0" xfId="6">
      <alignment horizontal="center" vertical="center"/>
    </xf>
    <xf numFmtId="168" fontId="44" fillId="13" borderId="119" applyAlignment="1" pivotButton="0" quotePrefix="0" xfId="6">
      <alignment horizontal="center" vertical="center"/>
    </xf>
    <xf numFmtId="0" fontId="91" fillId="33" borderId="75" applyAlignment="1" pivotButton="0" quotePrefix="0" xfId="0">
      <alignment horizontal="left"/>
    </xf>
    <xf numFmtId="172" fontId="0" fillId="0" borderId="0" pivotButton="0" quotePrefix="0" xfId="0"/>
    <xf numFmtId="165" fontId="0" fillId="10" borderId="0" pivotButton="0" quotePrefix="0" xfId="0"/>
    <xf numFmtId="168" fontId="18" fillId="3" borderId="124" applyAlignment="1" pivotButton="0" quotePrefix="0" xfId="6">
      <alignment horizontal="center" vertical="center"/>
    </xf>
    <xf numFmtId="173" fontId="18" fillId="3" borderId="83" applyAlignment="1" pivotButton="0" quotePrefix="0" xfId="6">
      <alignment horizontal="center" vertical="center"/>
    </xf>
    <xf numFmtId="173" fontId="18" fillId="3" borderId="80" applyAlignment="1" pivotButton="0" quotePrefix="0" xfId="6">
      <alignment horizontal="center" vertical="center"/>
    </xf>
    <xf numFmtId="168" fontId="44" fillId="13" borderId="126" applyAlignment="1" pivotButton="0" quotePrefix="0" xfId="6">
      <alignment horizontal="center" vertical="center"/>
    </xf>
    <xf numFmtId="168" fontId="44" fillId="13" borderId="127" applyAlignment="1" pivotButton="0" quotePrefix="0" xfId="6">
      <alignment horizontal="center" vertical="center"/>
    </xf>
    <xf numFmtId="173" fontId="44" fillId="13" borderId="83" applyAlignment="1" pivotButton="0" quotePrefix="0" xfId="6">
      <alignment horizontal="center" vertical="center"/>
    </xf>
    <xf numFmtId="173" fontId="44" fillId="13" borderId="80" applyAlignment="1" pivotButton="0" quotePrefix="0" xfId="6">
      <alignment horizontal="center" vertical="center"/>
    </xf>
    <xf numFmtId="168" fontId="18" fillId="3" borderId="131" applyAlignment="1" pivotButton="0" quotePrefix="0" xfId="6">
      <alignment horizontal="center" vertical="center"/>
    </xf>
    <xf numFmtId="168" fontId="44" fillId="13" borderId="133" applyAlignment="1" pivotButton="0" quotePrefix="0" xfId="6">
      <alignment horizontal="center" vertical="center"/>
    </xf>
    <xf numFmtId="168" fontId="44" fillId="13" borderId="134" applyAlignment="1" pivotButton="0" quotePrefix="0" xfId="6">
      <alignment horizontal="center" vertical="center"/>
    </xf>
    <xf numFmtId="164" fontId="26" fillId="0" borderId="0" applyAlignment="1" pivotButton="0" quotePrefix="0" xfId="0">
      <alignment horizontal="right"/>
    </xf>
    <xf numFmtId="171" fontId="62" fillId="0" borderId="0" applyAlignment="1" pivotButton="0" quotePrefix="0" xfId="0">
      <alignment horizontal="center" vertical="center"/>
    </xf>
    <xf numFmtId="172" fontId="93" fillId="0" borderId="98" pivotButton="0" quotePrefix="0" xfId="1"/>
    <xf numFmtId="0" fontId="0" fillId="0" borderId="105" pivotButton="0" quotePrefix="0" xfId="0"/>
    <xf numFmtId="0" fontId="0" fillId="0" borderId="106" pivotButton="0" quotePrefix="0" xfId="0"/>
    <xf numFmtId="0" fontId="0" fillId="0" borderId="175" pivotButton="0" quotePrefix="0" xfId="0"/>
    <xf numFmtId="0" fontId="0" fillId="0" borderId="177" pivotButton="0" quotePrefix="0" xfId="0"/>
    <xf numFmtId="0" fontId="0" fillId="0" borderId="178" pivotButton="0" quotePrefix="0" xfId="0"/>
  </cellXfs>
  <cellStyles count="16">
    <cellStyle name="Normal" xfId="0" builtinId="0"/>
    <cellStyle name="Percent" xfId="1" builtinId="5"/>
    <cellStyle name="Hyperlink" xfId="2" builtinId="8"/>
    <cellStyle name="Normale 2" xfId="3"/>
    <cellStyle name="Normale 2 2" xfId="4"/>
    <cellStyle name="Excel Built-in Input" xfId="5"/>
    <cellStyle name="Excel Built-in Good" xfId="6"/>
    <cellStyle name="Excel Built-in Heading 1" xfId="7"/>
    <cellStyle name="Excel Built-in Heading 4" xfId="8"/>
    <cellStyle name="Excel Built-in Calculation" xfId="9"/>
    <cellStyle name="Output" xfId="10" builtinId="21"/>
    <cellStyle name="Default" xfId="11"/>
    <cellStyle name="Excel Built-in Input 2" xfId="12"/>
    <cellStyle name="Excel Built-in Percent" xfId="13"/>
    <cellStyle name="Excel Built-in Good 2" xfId="14"/>
    <cellStyle name="Normale 3" xfId="15"/>
  </cellStyles>
  <dxfs count="24">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s>
  <tableStyles count="0" defaultTableStyle="TableStyleMedium2" defaultPivotStyle="PivotStyleLight16"/>
  <colors>
    <indexedColors>
      <rgbColor rgb="FF000000"/>
      <rgbColor rgb="FFFFFFFF"/>
      <rgbColor rgb="FFFF0000"/>
      <rgbColor rgb="FF66FF33"/>
      <rgbColor rgb="FF0000FF"/>
      <rgbColor rgb="FFFFFF00"/>
      <rgbColor rgb="FFFF00FF"/>
      <rgbColor rgb="FF00FFFF"/>
      <rgbColor rgb="FF800000"/>
      <rgbColor rgb="FF006100"/>
      <rgbColor rgb="FF000080"/>
      <rgbColor rgb="FF548235"/>
      <rgbColor rgb="FF800080"/>
      <rgbColor rgb="FF0070C0"/>
      <rgbColor rgb="FFBFBFBF"/>
      <rgbColor rgb="FF808080"/>
      <rgbColor rgb="FF5B9BD5"/>
      <rgbColor rgb="FF993366"/>
      <rgbColor rgb="FFFFF2CC"/>
      <rgbColor rgb="FFDEEBF7"/>
      <rgbColor rgb="FF660066"/>
      <rgbColor rgb="FFD9D9D9"/>
      <rgbColor rgb="FF0563C1"/>
      <rgbColor rgb="FFBDD7EE"/>
      <rgbColor rgb="FF000080"/>
      <rgbColor rgb="FFFF00FF"/>
      <rgbColor rgb="FFF2F2F2"/>
      <rgbColor rgb="FF00FFFF"/>
      <rgbColor rgb="FF800080"/>
      <rgbColor rgb="FF800000"/>
      <rgbColor rgb="FF2C6EAB"/>
      <rgbColor rgb="FF0000FF"/>
      <rgbColor rgb="FF00B0F0"/>
      <rgbColor rgb="FFE2F0D9"/>
      <rgbColor rgb="FFC6EFCE"/>
      <rgbColor rgb="FFFFE699"/>
      <rgbColor rgb="FF9DC3E6"/>
      <rgbColor rgb="FFFCBABF"/>
      <rgbColor rgb="FFD0CECE"/>
      <rgbColor rgb="FFFFCC99"/>
      <rgbColor rgb="FF2E75B6"/>
      <rgbColor rgb="FFDAE3F3"/>
      <rgbColor rgb="FFA9D18E"/>
      <rgbColor rgb="FFFDD7DA"/>
      <rgbColor rgb="FFBF9000"/>
      <rgbColor rgb="FFFA7D00"/>
      <rgbColor rgb="FF595959"/>
      <rgbColor rgb="FF7F7F7F"/>
      <rgbColor rgb="FF1F4E79"/>
      <rgbColor rgb="FF00B050"/>
      <rgbColor rgb="FF003300"/>
      <rgbColor rgb="FF44546A"/>
      <rgbColor rgb="FFFF3300"/>
      <rgbColor rgb="FF993366"/>
      <rgbColor rgb="FF3F3F76"/>
      <rgbColor rgb="FF385623"/>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comments/comment1.xml><?xml version="1.0" encoding="utf-8"?>
<comments xmlns="http://schemas.openxmlformats.org/spreadsheetml/2006/main">
  <authors>
    <author>Autore sconosciuto</author>
  </authors>
  <commentList>
    <comment ref="B12" authorId="0" shapeId="0">
      <text>
        <t>lorenzo:
Indicare la grandezza fiscia in uscita dal canale analogico della telemetria.
Es: 
- Easting esce già in Nm, secondo il fondo scala desiderato ed indicato in fase di calibrazione
- KMT esce in tensione e quindi il guadagno va ricercato attraverso la taratura.</t>
      </text>
    </comment>
    <comment ref="B13" authorId="0" shapeId="0">
      <text>
        <t>lorenzo:
indicare la sensibilità di targa del sistema di misura.
Se ignoto si suggerisce il valore unitario ex 1V/V</t>
      </text>
    </comment>
  </commentList>
</comments>
</file>

<file path=xl/comments/comment2.xml><?xml version="1.0" encoding="utf-8"?>
<comments xmlns="http://schemas.openxmlformats.org/spreadsheetml/2006/main">
  <authors>
    <author>Emanuele Viviani</author>
  </authors>
  <commentList>
    <comment ref="L121" authorId="0" shapeId="0">
      <text>
        <t>Emanuele Viviani:
Differenza della lettura di coppia con UUT tra due salite fatte con orientamento 0°</t>
      </text>
    </comment>
    <comment ref="M121" authorId="0" shapeId="0">
      <text>
        <t>Emanuele Viviani:
Differenza della lettura di coppia con UUT piazzata su banco con diverse posizioni angolari: 0°-90° o 0°-120°-240°
ATTENZIONE: per classe 1% usare almeno 0°-90°</t>
      </text>
    </comment>
    <comment ref="N121" authorId="0" shapeId="0">
      <text>
        <t>Emanuele Viviani:
Emanuele Viviani:
Differenza della lettura di coppia con UUT tra salita e discesa (inversione di gradiente di coppia)</t>
      </text>
    </comment>
    <comment ref="N132" authorId="0" shapeId="0">
      <text>
        <t>Emanuele Viviani:
Incertezza dell'attuatore di coppia</t>
      </text>
    </comment>
  </commentList>
</comment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4.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6.xml.rels><Relationships xmlns="http://schemas.openxmlformats.org/package/2006/relationships"><Relationship Type="http://schemas.openxmlformats.org/officeDocument/2006/relationships/hyperlink" Target="http://www.eastingelectronics.com/" TargetMode="External" Id="rId1" /><Relationship Type="http://schemas.openxmlformats.org/officeDocument/2006/relationships/hyperlink" Target="http://www.eastingelectronics.com/" TargetMode="External" Id="rId2" /></Relationships>
</file>

<file path=xl/worksheets/sheet1.xml><?xml version="1.0" encoding="utf-8"?>
<worksheet xmlns="http://schemas.openxmlformats.org/spreadsheetml/2006/main">
  <sheetPr>
    <outlinePr summaryBelow="1" summaryRight="1"/>
    <pageSetUpPr/>
  </sheetPr>
  <dimension ref="A1:S85"/>
  <sheetViews>
    <sheetView zoomScale="85" zoomScaleNormal="85" workbookViewId="0">
      <selection activeCell="C19" sqref="C19"/>
    </sheetView>
  </sheetViews>
  <sheetFormatPr baseColWidth="8" defaultColWidth="9" defaultRowHeight="13.2"/>
  <cols>
    <col width="9" customWidth="1" style="363" min="1" max="1"/>
    <col width="10.33203125" customWidth="1" style="363" min="2" max="2"/>
    <col width="12.44140625" bestFit="1" customWidth="1" style="363" min="3" max="3"/>
    <col width="16.33203125" customWidth="1" style="363" min="4" max="4"/>
    <col width="11.6640625" customWidth="1" style="363" min="5" max="5"/>
    <col width="11.44140625" customWidth="1" style="363" min="6" max="6"/>
    <col width="18" customWidth="1" style="363" min="7" max="7"/>
    <col width="10" customWidth="1" style="363" min="8" max="8"/>
    <col width="13.44140625" bestFit="1" customWidth="1" style="363" min="9" max="9"/>
    <col width="14" bestFit="1" customWidth="1" style="363" min="10" max="10"/>
    <col width="13.44140625" bestFit="1" customWidth="1" style="363" min="11" max="11"/>
    <col width="19.44140625" bestFit="1" customWidth="1" style="363" min="12" max="12"/>
    <col width="20.6640625" customWidth="1" style="363" min="13" max="13"/>
    <col width="11.6640625" customWidth="1" style="363" min="14" max="14"/>
    <col width="15.109375" customWidth="1" style="363" min="15" max="15"/>
    <col width="16" customWidth="1" style="363" min="16" max="16"/>
    <col width="10.88671875" customWidth="1" style="363" min="17" max="17"/>
    <col width="10.44140625" customWidth="1" style="363" min="18" max="18"/>
    <col width="9" customWidth="1" style="363" min="19" max="19"/>
    <col width="9" customWidth="1" style="363" min="20" max="16384"/>
  </cols>
  <sheetData>
    <row r="1" ht="21.6" customHeight="1" thickBot="1">
      <c r="A1" s="415" t="inlineStr">
        <is>
          <t xml:space="preserve">1. Inzializzare parametri in "Istruzioni Uso" e inserire misure nei due riquadri rossi della tabella sottostante </t>
        </is>
      </c>
      <c r="B1" s="416" t="n"/>
      <c r="C1" s="416" t="n"/>
      <c r="D1" s="416" t="n"/>
      <c r="E1" s="416" t="n"/>
      <c r="F1" s="416" t="n"/>
      <c r="G1" s="416" t="n"/>
      <c r="H1" s="416" t="n"/>
      <c r="I1" s="416" t="n"/>
      <c r="J1" s="416" t="n"/>
      <c r="K1" s="416" t="n"/>
      <c r="L1" s="416" t="n"/>
      <c r="M1" s="416" t="n"/>
      <c r="N1" s="416" t="n"/>
      <c r="O1" s="416" t="n"/>
      <c r="P1" s="416" t="n"/>
      <c r="Q1" s="416" t="n"/>
      <c r="R1" s="416" t="n"/>
      <c r="S1" s="417" t="n"/>
    </row>
    <row r="2" ht="14.4" customFormat="1" customHeight="1" s="327">
      <c r="B2" s="414" t="n"/>
      <c r="C2" s="414" t="n"/>
      <c r="G2" s="327" t="inlineStr">
        <is>
          <t>Out Zero [V]</t>
        </is>
      </c>
      <c r="H2" s="327">
        <f>'Istruzioni Uso'!B14</f>
        <v/>
      </c>
    </row>
    <row r="3" customFormat="1" s="327">
      <c r="G3" s="327" t="inlineStr">
        <is>
          <t>Out Sens [Nm/V]</t>
        </is>
      </c>
      <c r="H3" s="327">
        <f>'Istruzioni Uso'!B13</f>
        <v/>
      </c>
    </row>
    <row r="4" customFormat="1" s="327">
      <c r="D4" s="327" t="inlineStr">
        <is>
          <t>Href</t>
        </is>
      </c>
      <c r="E4" s="327">
        <f>AVERAGE(E7,E9,E25,E11,E13,E19)</f>
        <v/>
      </c>
    </row>
    <row r="5" customFormat="1" s="327">
      <c r="D5" s="327" t="inlineStr">
        <is>
          <t>Zero</t>
        </is>
      </c>
      <c r="E5" s="327">
        <f>AVERAGE(H7,H9,H25,H11,H13,H19)</f>
        <v/>
      </c>
    </row>
    <row r="6" ht="15" customFormat="1" customHeight="1" s="327" thickBot="1">
      <c r="A6" s="328" t="inlineStr">
        <is>
          <t>Q</t>
        </is>
      </c>
      <c r="B6" s="329" t="inlineStr">
        <is>
          <t>Step</t>
        </is>
      </c>
      <c r="C6" s="330" t="inlineStr">
        <is>
          <t>Carico [N]</t>
        </is>
      </c>
      <c r="D6" s="334" t="inlineStr">
        <is>
          <t>hm mozzo [mm]</t>
        </is>
      </c>
      <c r="E6" s="334" t="inlineStr">
        <is>
          <t>hr ref [mm]</t>
        </is>
      </c>
      <c r="F6" s="334" t="inlineStr">
        <is>
          <t>Laumas [N]</t>
        </is>
      </c>
      <c r="G6" s="334" t="inlineStr">
        <is>
          <t>Torsiometro [Nm]</t>
        </is>
      </c>
      <c r="H6" s="334" t="inlineStr">
        <is>
          <t>SG600 [V]</t>
        </is>
      </c>
      <c r="I6" s="330" t="inlineStr">
        <is>
          <t>Corr</t>
        </is>
      </c>
      <c r="J6" s="368" t="inlineStr">
        <is>
          <t>SG600 [Nm]</t>
        </is>
      </c>
      <c r="K6" s="330" t="inlineStr">
        <is>
          <t>Braccio [m]</t>
        </is>
      </c>
      <c r="L6" s="367" t="inlineStr">
        <is>
          <t>Coppia Laumas [Nm]</t>
        </is>
      </c>
      <c r="M6" s="330" t="inlineStr">
        <is>
          <t>SG600 reg [V]</t>
        </is>
      </c>
      <c r="N6" s="330" t="inlineStr">
        <is>
          <t>Errore</t>
        </is>
      </c>
      <c r="O6" s="330" t="inlineStr">
        <is>
          <t>Errore %</t>
        </is>
      </c>
      <c r="P6" s="330" t="inlineStr">
        <is>
          <t>SG600 reg [V]</t>
        </is>
      </c>
      <c r="Q6" s="330" t="inlineStr">
        <is>
          <t>Errore</t>
        </is>
      </c>
      <c r="R6" s="331" t="inlineStr">
        <is>
          <t>Errore %</t>
        </is>
      </c>
    </row>
    <row r="7" ht="14.4" customFormat="1" customHeight="1" s="327">
      <c r="A7" s="332" t="inlineStr">
        <is>
          <t>Q3</t>
        </is>
      </c>
      <c r="B7" s="333" t="n">
        <v>0</v>
      </c>
      <c r="C7" s="435">
        <f>SetPnt_N_0</f>
        <v/>
      </c>
      <c r="D7" s="418" t="n">
        <v>837</v>
      </c>
      <c r="E7" s="419" t="n">
        <v>989</v>
      </c>
      <c r="F7" s="419" t="n">
        <v>-0.3</v>
      </c>
      <c r="G7" s="419" t="n">
        <v>-2.4</v>
      </c>
      <c r="H7" s="420" t="n">
        <v>2.42215</v>
      </c>
      <c r="I7" s="364">
        <f>(H7-$E$5)+$H$2</f>
        <v/>
      </c>
      <c r="J7" s="369">
        <f>(I7-$H$2)*$H$3</f>
        <v/>
      </c>
      <c r="K7" s="334">
        <f>COS(ASIN((E7-D7)/800))</f>
        <v/>
      </c>
      <c r="L7" s="370">
        <f>-F7*K7</f>
        <v/>
      </c>
      <c r="M7" s="334">
        <f>L7*$D$54+$E$54</f>
        <v/>
      </c>
      <c r="N7" s="334">
        <f>H7-M7</f>
        <v/>
      </c>
      <c r="O7" s="503">
        <f>N7/4</f>
        <v/>
      </c>
      <c r="P7" s="334">
        <f>L7*$J$49+$E$54</f>
        <v/>
      </c>
      <c r="Q7" s="334">
        <f>M7-P7</f>
        <v/>
      </c>
      <c r="R7" s="504">
        <f>Q7/4</f>
        <v/>
      </c>
    </row>
    <row r="8" ht="14.4" customFormat="1" customHeight="1" s="327">
      <c r="A8" s="337" t="inlineStr">
        <is>
          <t>Q3</t>
        </is>
      </c>
      <c r="B8" s="338" t="n">
        <v>1</v>
      </c>
      <c r="C8" s="327">
        <f>C_Tar_min</f>
        <v/>
      </c>
      <c r="D8" s="421" t="n">
        <v>837</v>
      </c>
      <c r="E8" s="339" t="n">
        <v>883</v>
      </c>
      <c r="F8" s="339" t="n">
        <v>257</v>
      </c>
      <c r="G8" s="339" t="n">
        <v>-253.9</v>
      </c>
      <c r="H8" s="422" t="n">
        <v>1.90669</v>
      </c>
      <c r="I8" s="365">
        <f>(H8-$E$5)+$H$2</f>
        <v/>
      </c>
      <c r="J8" s="369">
        <f>(I8-$H$2)*$H$3</f>
        <v/>
      </c>
      <c r="K8" s="414">
        <f>COS(ASIN((E8-D8)/800))</f>
        <v/>
      </c>
      <c r="L8" s="370">
        <f>-F8*K8</f>
        <v/>
      </c>
      <c r="M8" s="327">
        <f>L8*$D$54+$E$54</f>
        <v/>
      </c>
      <c r="N8" s="327">
        <f>H8-M8</f>
        <v/>
      </c>
      <c r="O8" s="505">
        <f>N8/4</f>
        <v/>
      </c>
      <c r="P8" s="327">
        <f>L8*$J$49+$E$54</f>
        <v/>
      </c>
      <c r="Q8" s="327">
        <f>M8-P8</f>
        <v/>
      </c>
      <c r="R8" s="506">
        <f>Q8/4</f>
        <v/>
      </c>
    </row>
    <row r="9" ht="14.4" customFormat="1" customHeight="1" s="327">
      <c r="A9" s="337" t="inlineStr">
        <is>
          <t>Q3</t>
        </is>
      </c>
      <c r="B9" s="338" t="n">
        <v>0</v>
      </c>
      <c r="C9" s="435">
        <f>SetPnt_N_0</f>
        <v/>
      </c>
      <c r="D9" s="421" t="n"/>
      <c r="E9" s="339" t="n"/>
      <c r="F9" s="339" t="n"/>
      <c r="G9" s="339" t="n"/>
      <c r="H9" s="422" t="n"/>
      <c r="I9" s="365">
        <f>(H9-$E$5)+$H$2</f>
        <v/>
      </c>
      <c r="J9" s="369">
        <f>(I9-$H$2)*$H$3</f>
        <v/>
      </c>
      <c r="K9" s="414">
        <f>COS(ASIN((E9-D9)/800))</f>
        <v/>
      </c>
      <c r="L9" s="370">
        <f>-F9*K9</f>
        <v/>
      </c>
      <c r="M9" s="327">
        <f>L9*$D$54+$E$54</f>
        <v/>
      </c>
      <c r="N9" s="327">
        <f>H9-M9</f>
        <v/>
      </c>
      <c r="O9" s="505">
        <f>N9/4</f>
        <v/>
      </c>
      <c r="P9" s="327">
        <f>L9*$J$49+$E$54</f>
        <v/>
      </c>
      <c r="Q9" s="327">
        <f>M9-P9</f>
        <v/>
      </c>
      <c r="R9" s="506">
        <f>Q9/4</f>
        <v/>
      </c>
    </row>
    <row r="10" ht="14.4" customFormat="1" customHeight="1" s="327">
      <c r="A10" s="337" t="inlineStr">
        <is>
          <t>Q3</t>
        </is>
      </c>
      <c r="B10" s="338" t="n">
        <v>1</v>
      </c>
      <c r="C10" s="327">
        <f>C_Tar_min</f>
        <v/>
      </c>
      <c r="D10" s="421" t="n"/>
      <c r="E10" s="339" t="n"/>
      <c r="F10" s="339" t="n"/>
      <c r="G10" s="339" t="n"/>
      <c r="H10" s="422" t="n"/>
      <c r="I10" s="365">
        <f>(H10-$E$5)+$H$2</f>
        <v/>
      </c>
      <c r="J10" s="369">
        <f>(I10-$H$2)*$H$3</f>
        <v/>
      </c>
      <c r="K10" s="414">
        <f>COS(ASIN((E10-D10)/800))</f>
        <v/>
      </c>
      <c r="L10" s="370">
        <f>-F10*K10</f>
        <v/>
      </c>
      <c r="M10" s="327">
        <f>L10*$D$54+$E$54</f>
        <v/>
      </c>
      <c r="N10" s="327">
        <f>H10-M10</f>
        <v/>
      </c>
      <c r="O10" s="505">
        <f>N10/4</f>
        <v/>
      </c>
      <c r="P10" s="327">
        <f>L10*$J$49+$E$54</f>
        <v/>
      </c>
      <c r="Q10" s="327">
        <f>M10-P10</f>
        <v/>
      </c>
      <c r="R10" s="506">
        <f>Q10/4</f>
        <v/>
      </c>
    </row>
    <row r="11" ht="14.4" customFormat="1" customHeight="1" s="327">
      <c r="A11" s="337" t="inlineStr">
        <is>
          <t>Q3</t>
        </is>
      </c>
      <c r="B11" s="338" t="n">
        <v>0</v>
      </c>
      <c r="C11" s="435">
        <f>SetPnt_N_0</f>
        <v/>
      </c>
      <c r="D11" s="421" t="n"/>
      <c r="E11" s="339" t="n"/>
      <c r="F11" s="339" t="n"/>
      <c r="G11" s="339" t="n"/>
      <c r="H11" s="422" t="n"/>
      <c r="I11" s="365">
        <f>(H11-$E$5)+$H$2</f>
        <v/>
      </c>
      <c r="J11" s="369">
        <f>(I11-$H$2)*$H$3</f>
        <v/>
      </c>
      <c r="K11" s="414">
        <f>COS(ASIN((E11-D11)/800))</f>
        <v/>
      </c>
      <c r="L11" s="370">
        <f>-F11*K11</f>
        <v/>
      </c>
      <c r="M11" s="327">
        <f>L11*$D$54+$E$54</f>
        <v/>
      </c>
      <c r="N11" s="327">
        <f>H11-M11</f>
        <v/>
      </c>
      <c r="O11" s="505">
        <f>N11/4</f>
        <v/>
      </c>
      <c r="P11" s="327">
        <f>L11*$J$49+$E$54</f>
        <v/>
      </c>
      <c r="Q11" s="327">
        <f>M11-P11</f>
        <v/>
      </c>
      <c r="R11" s="506">
        <f>Q11/4</f>
        <v/>
      </c>
    </row>
    <row r="12" ht="14.4" customFormat="1" customHeight="1" s="327">
      <c r="A12" s="337" t="inlineStr">
        <is>
          <t>Q3</t>
        </is>
      </c>
      <c r="B12" s="338" t="n">
        <v>1</v>
      </c>
      <c r="C12" s="327">
        <f>C_Tar_min</f>
        <v/>
      </c>
      <c r="D12" s="421" t="n"/>
      <c r="E12" s="339" t="n"/>
      <c r="F12" s="339" t="n"/>
      <c r="G12" s="339" t="n"/>
      <c r="H12" s="422" t="n"/>
      <c r="I12" s="365">
        <f>(H12-$E$5)+$H$2</f>
        <v/>
      </c>
      <c r="J12" s="369">
        <f>(I12-$H$2)*$H$3</f>
        <v/>
      </c>
      <c r="K12" s="414">
        <f>COS(ASIN((E12-D12)/800))</f>
        <v/>
      </c>
      <c r="L12" s="370">
        <f>-F12*K12</f>
        <v/>
      </c>
      <c r="M12" s="327">
        <f>L12*$D$54+$E$54</f>
        <v/>
      </c>
      <c r="N12" s="327">
        <f>H12-M12</f>
        <v/>
      </c>
      <c r="O12" s="505">
        <f>N12/4</f>
        <v/>
      </c>
      <c r="P12" s="327">
        <f>L12*$J$49+$E$54</f>
        <v/>
      </c>
      <c r="Q12" s="327">
        <f>M12-P12</f>
        <v/>
      </c>
      <c r="R12" s="506">
        <f>Q12/4</f>
        <v/>
      </c>
    </row>
    <row r="13" ht="14.4" customFormat="1" customHeight="1" s="327">
      <c r="A13" s="332" t="inlineStr">
        <is>
          <t>Q3</t>
        </is>
      </c>
      <c r="B13" s="333" t="n">
        <v>0</v>
      </c>
      <c r="C13" s="334">
        <f>SetPnt_N_0</f>
        <v/>
      </c>
      <c r="D13" s="423" t="n"/>
      <c r="E13" s="343" t="n"/>
      <c r="F13" s="343" t="n"/>
      <c r="G13" s="343" t="n"/>
      <c r="H13" s="424" t="n"/>
      <c r="I13" s="364">
        <f>(H13-$E$5)+$H$2</f>
        <v/>
      </c>
      <c r="J13" s="369">
        <f>(I13-$H$2)*$H$3</f>
        <v/>
      </c>
      <c r="K13" s="334">
        <f>COS(ASIN((E13-D13)/800))</f>
        <v/>
      </c>
      <c r="L13" s="370">
        <f>-F13*K13</f>
        <v/>
      </c>
      <c r="M13" s="334">
        <f>L13*$D$54+$E$54</f>
        <v/>
      </c>
      <c r="N13" s="334">
        <f>H13-M13</f>
        <v/>
      </c>
      <c r="O13" s="503">
        <f>N13/4</f>
        <v/>
      </c>
      <c r="P13" s="334">
        <f>L13*$J$49+$E$54</f>
        <v/>
      </c>
      <c r="Q13" s="334">
        <f>M13-P13</f>
        <v/>
      </c>
      <c r="R13" s="504">
        <f>Q13/4</f>
        <v/>
      </c>
    </row>
    <row r="14" ht="14.4" customFormat="1" customHeight="1" s="327">
      <c r="A14" s="337" t="inlineStr">
        <is>
          <t>Q3</t>
        </is>
      </c>
      <c r="B14" s="338" t="n">
        <v>0.2</v>
      </c>
      <c r="C14" s="334">
        <f>SetPnt_N_1</f>
        <v/>
      </c>
      <c r="D14" s="425" t="n"/>
      <c r="E14" s="344" t="n"/>
      <c r="F14" s="344" t="n"/>
      <c r="G14" s="344" t="n"/>
      <c r="H14" s="426" t="n"/>
      <c r="I14" s="365">
        <f>(H14-$E$5)+$H$2</f>
        <v/>
      </c>
      <c r="J14" s="369">
        <f>(I14-$H$2)*$H$3</f>
        <v/>
      </c>
      <c r="K14" s="414">
        <f>COS(ASIN((E14-D14)/800))</f>
        <v/>
      </c>
      <c r="L14" s="370">
        <f>-F14*K14</f>
        <v/>
      </c>
      <c r="M14" s="327">
        <f>L14*$D$54+$E$54</f>
        <v/>
      </c>
      <c r="N14" s="327">
        <f>H14-M14</f>
        <v/>
      </c>
      <c r="O14" s="505">
        <f>N14/4</f>
        <v/>
      </c>
      <c r="P14" s="327">
        <f>L14*$J$49+$E$54</f>
        <v/>
      </c>
      <c r="Q14" s="327">
        <f>M14-P14</f>
        <v/>
      </c>
      <c r="R14" s="506">
        <f>Q14/4</f>
        <v/>
      </c>
    </row>
    <row r="15" ht="14.4" customFormat="1" customHeight="1" s="327">
      <c r="A15" s="337" t="inlineStr">
        <is>
          <t>Q3</t>
        </is>
      </c>
      <c r="B15" s="338" t="n">
        <v>0.4</v>
      </c>
      <c r="C15" s="334">
        <f>SetPnt_N_2</f>
        <v/>
      </c>
      <c r="D15" s="425" t="n"/>
      <c r="E15" s="344" t="n"/>
      <c r="F15" s="344" t="n"/>
      <c r="G15" s="344" t="n"/>
      <c r="H15" s="426" t="n"/>
      <c r="I15" s="365">
        <f>(H15-$E$5)+$H$2</f>
        <v/>
      </c>
      <c r="J15" s="369">
        <f>(I15-$H$2)*$H$3</f>
        <v/>
      </c>
      <c r="K15" s="414">
        <f>COS(ASIN((E15-D15)/800))</f>
        <v/>
      </c>
      <c r="L15" s="370">
        <f>-F15*K15</f>
        <v/>
      </c>
      <c r="M15" s="327">
        <f>L15*$D$54+$E$54</f>
        <v/>
      </c>
      <c r="N15" s="327">
        <f>H15-M15</f>
        <v/>
      </c>
      <c r="O15" s="505">
        <f>N15/4</f>
        <v/>
      </c>
      <c r="P15" s="327">
        <f>L15*$J$49+$E$54</f>
        <v/>
      </c>
      <c r="Q15" s="327">
        <f>M15-P15</f>
        <v/>
      </c>
      <c r="R15" s="506">
        <f>Q15/4</f>
        <v/>
      </c>
    </row>
    <row r="16" ht="14.4" customFormat="1" customHeight="1" s="327">
      <c r="A16" s="337" t="inlineStr">
        <is>
          <t>Q3</t>
        </is>
      </c>
      <c r="B16" s="338" t="n">
        <v>0.6</v>
      </c>
      <c r="C16" s="334">
        <f>SetPnt_N_3</f>
        <v/>
      </c>
      <c r="D16" s="425" t="n"/>
      <c r="E16" s="344" t="n"/>
      <c r="F16" s="344" t="n"/>
      <c r="G16" s="344" t="n"/>
      <c r="H16" s="426" t="n"/>
      <c r="I16" s="365">
        <f>(H16-$E$5)+$H$2</f>
        <v/>
      </c>
      <c r="J16" s="369">
        <f>(I16-$H$2)*$H$3</f>
        <v/>
      </c>
      <c r="K16" s="414">
        <f>COS(ASIN((E16-D16)/800))</f>
        <v/>
      </c>
      <c r="L16" s="370">
        <f>-F16*K16</f>
        <v/>
      </c>
      <c r="M16" s="327">
        <f>L16*$D$54+$E$54</f>
        <v/>
      </c>
      <c r="N16" s="327">
        <f>H16-M16</f>
        <v/>
      </c>
      <c r="O16" s="505">
        <f>N16/4</f>
        <v/>
      </c>
      <c r="P16" s="327">
        <f>L16*$J$49+$E$54</f>
        <v/>
      </c>
      <c r="Q16" s="327">
        <f>M16-P16</f>
        <v/>
      </c>
      <c r="R16" s="506">
        <f>Q16/4</f>
        <v/>
      </c>
    </row>
    <row r="17" ht="14.4" customFormat="1" customHeight="1" s="327">
      <c r="A17" s="337" t="inlineStr">
        <is>
          <t>Q3</t>
        </is>
      </c>
      <c r="B17" s="338" t="n">
        <v>0.8</v>
      </c>
      <c r="C17" s="334">
        <f>SetPnt_N_4</f>
        <v/>
      </c>
      <c r="D17" s="425" t="n"/>
      <c r="E17" s="344" t="n"/>
      <c r="F17" s="344" t="n"/>
      <c r="G17" s="344" t="n"/>
      <c r="H17" s="426" t="n"/>
      <c r="I17" s="365">
        <f>(H17-$E$5)+$H$2</f>
        <v/>
      </c>
      <c r="J17" s="369">
        <f>(I17-$H$2)*$H$3</f>
        <v/>
      </c>
      <c r="K17" s="414">
        <f>COS(ASIN((E17-D17)/800))</f>
        <v/>
      </c>
      <c r="L17" s="370">
        <f>-F17*K17</f>
        <v/>
      </c>
      <c r="M17" s="327">
        <f>L17*$D$54+$E$54</f>
        <v/>
      </c>
      <c r="N17" s="327">
        <f>H17-M17</f>
        <v/>
      </c>
      <c r="O17" s="505">
        <f>N17/4</f>
        <v/>
      </c>
      <c r="P17" s="327">
        <f>L17*$J$49+$E$54</f>
        <v/>
      </c>
      <c r="Q17" s="327">
        <f>M17-P17</f>
        <v/>
      </c>
      <c r="R17" s="506">
        <f>Q17/4</f>
        <v/>
      </c>
    </row>
    <row r="18" ht="14.4" customFormat="1" customHeight="1" s="327">
      <c r="A18" s="337" t="inlineStr">
        <is>
          <t>Q3</t>
        </is>
      </c>
      <c r="B18" s="338" t="n">
        <v>1</v>
      </c>
      <c r="C18" s="334">
        <f>SetPnt_N_5</f>
        <v/>
      </c>
      <c r="D18" s="425" t="n"/>
      <c r="E18" s="344" t="n"/>
      <c r="F18" s="344" t="n"/>
      <c r="G18" s="344" t="n"/>
      <c r="H18" s="426" t="n"/>
      <c r="I18" s="365">
        <f>(H18-$E$5)+$H$2</f>
        <v/>
      </c>
      <c r="J18" s="369">
        <f>(I18-$H$2)*$H$3</f>
        <v/>
      </c>
      <c r="K18" s="414">
        <f>COS(ASIN((E18-D18)/800))</f>
        <v/>
      </c>
      <c r="L18" s="370">
        <f>-F18*K18</f>
        <v/>
      </c>
      <c r="M18" s="327">
        <f>L18*$D$54+$E$54</f>
        <v/>
      </c>
      <c r="N18" s="327">
        <f>H18-M18</f>
        <v/>
      </c>
      <c r="O18" s="505">
        <f>N18/4</f>
        <v/>
      </c>
      <c r="P18" s="327">
        <f>L18*$J$49+$E$54</f>
        <v/>
      </c>
      <c r="Q18" s="327">
        <f>M18-P18</f>
        <v/>
      </c>
      <c r="R18" s="506">
        <f>Q18/4</f>
        <v/>
      </c>
    </row>
    <row r="19" ht="14.4" customFormat="1" customHeight="1" s="327">
      <c r="A19" s="332" t="inlineStr">
        <is>
          <t>Q3</t>
        </is>
      </c>
      <c r="B19" s="333" t="n">
        <v>0</v>
      </c>
      <c r="C19" s="334">
        <f>SetPnt_N_0</f>
        <v/>
      </c>
      <c r="D19" s="423" t="n"/>
      <c r="E19" s="343" t="n"/>
      <c r="F19" s="343" t="n"/>
      <c r="G19" s="343" t="n"/>
      <c r="H19" s="424" t="n"/>
      <c r="I19" s="364">
        <f>(H19-$E$5)+$H$2</f>
        <v/>
      </c>
      <c r="J19" s="369">
        <f>(I19-$H$2)*$H$3</f>
        <v/>
      </c>
      <c r="K19" s="334">
        <f>COS(ASIN((E19-D19)/800))</f>
        <v/>
      </c>
      <c r="L19" s="370">
        <f>-F19*K19</f>
        <v/>
      </c>
      <c r="M19" s="334">
        <f>L19*$D$54+$E$54</f>
        <v/>
      </c>
      <c r="N19" s="334">
        <f>H19-M19</f>
        <v/>
      </c>
      <c r="O19" s="503">
        <f>N19/4</f>
        <v/>
      </c>
      <c r="P19" s="334">
        <f>L19*$J$49+$E$54</f>
        <v/>
      </c>
      <c r="Q19" s="334">
        <f>M19-P19</f>
        <v/>
      </c>
      <c r="R19" s="504">
        <f>Q19/4</f>
        <v/>
      </c>
    </row>
    <row r="20" ht="14.4" customFormat="1" customHeight="1" s="327">
      <c r="A20" s="337" t="inlineStr">
        <is>
          <t>Q3</t>
        </is>
      </c>
      <c r="B20" s="338" t="n">
        <v>0.2</v>
      </c>
      <c r="C20" s="334">
        <f>SetPnt_N_1</f>
        <v/>
      </c>
      <c r="D20" s="425" t="n"/>
      <c r="E20" s="344" t="n"/>
      <c r="F20" s="344" t="n"/>
      <c r="G20" s="344" t="n"/>
      <c r="H20" s="426" t="n"/>
      <c r="I20" s="365">
        <f>(H20-$E$5)+$H$2</f>
        <v/>
      </c>
      <c r="J20" s="369">
        <f>(I20-$H$2)*$H$3</f>
        <v/>
      </c>
      <c r="K20" s="414">
        <f>COS(ASIN((E20-D20)/800))</f>
        <v/>
      </c>
      <c r="L20" s="370">
        <f>-F20*K20</f>
        <v/>
      </c>
      <c r="M20" s="327">
        <f>L20*$D$54+$E$54</f>
        <v/>
      </c>
      <c r="N20" s="327">
        <f>H20-M20</f>
        <v/>
      </c>
      <c r="O20" s="505">
        <f>N20/4</f>
        <v/>
      </c>
      <c r="P20" s="327">
        <f>L20*$J$49+$E$54</f>
        <v/>
      </c>
      <c r="Q20" s="327">
        <f>M20-P20</f>
        <v/>
      </c>
      <c r="R20" s="506">
        <f>Q20/4</f>
        <v/>
      </c>
    </row>
    <row r="21" ht="14.4" customFormat="1" customHeight="1" s="327">
      <c r="A21" s="337" t="inlineStr">
        <is>
          <t>Q3</t>
        </is>
      </c>
      <c r="B21" s="338" t="n">
        <v>0.4</v>
      </c>
      <c r="C21" s="334">
        <f>SetPnt_N_2</f>
        <v/>
      </c>
      <c r="D21" s="425" t="n"/>
      <c r="E21" s="344" t="n"/>
      <c r="F21" s="344" t="n"/>
      <c r="G21" s="344" t="n"/>
      <c r="H21" s="426" t="n"/>
      <c r="I21" s="365">
        <f>(H21-$E$5)+$H$2</f>
        <v/>
      </c>
      <c r="J21" s="369">
        <f>(I21-$H$2)*$H$3</f>
        <v/>
      </c>
      <c r="K21" s="414">
        <f>COS(ASIN((E21-D21)/800))</f>
        <v/>
      </c>
      <c r="L21" s="370">
        <f>-F21*K21</f>
        <v/>
      </c>
      <c r="M21" s="327">
        <f>L21*$D$54+$E$54</f>
        <v/>
      </c>
      <c r="N21" s="327">
        <f>H21-M21</f>
        <v/>
      </c>
      <c r="O21" s="505">
        <f>N21/4</f>
        <v/>
      </c>
      <c r="P21" s="327">
        <f>L21*$J$49+$E$54</f>
        <v/>
      </c>
      <c r="Q21" s="327">
        <f>M21-P21</f>
        <v/>
      </c>
      <c r="R21" s="506">
        <f>Q21/4</f>
        <v/>
      </c>
    </row>
    <row r="22" ht="14.4" customFormat="1" customHeight="1" s="327">
      <c r="A22" s="337" t="inlineStr">
        <is>
          <t>Q3</t>
        </is>
      </c>
      <c r="B22" s="338" t="n">
        <v>0.6</v>
      </c>
      <c r="C22" s="334">
        <f>SetPnt_N_3</f>
        <v/>
      </c>
      <c r="D22" s="425" t="n"/>
      <c r="E22" s="344" t="n"/>
      <c r="F22" s="344" t="n"/>
      <c r="G22" s="344" t="n"/>
      <c r="H22" s="426" t="n"/>
      <c r="I22" s="365">
        <f>(H22-$E$5)+$H$2</f>
        <v/>
      </c>
      <c r="J22" s="369">
        <f>(I22-$H$2)*$H$3</f>
        <v/>
      </c>
      <c r="K22" s="414">
        <f>COS(ASIN((E22-D22)/800))</f>
        <v/>
      </c>
      <c r="L22" s="370">
        <f>-F22*K22</f>
        <v/>
      </c>
      <c r="M22" s="327">
        <f>L22*$D$54+$E$54</f>
        <v/>
      </c>
      <c r="N22" s="327">
        <f>H22-M22</f>
        <v/>
      </c>
      <c r="O22" s="505">
        <f>N22/4</f>
        <v/>
      </c>
      <c r="P22" s="327">
        <f>L22*$J$49+$E$54</f>
        <v/>
      </c>
      <c r="Q22" s="327">
        <f>M22-P22</f>
        <v/>
      </c>
      <c r="R22" s="506">
        <f>Q22/4</f>
        <v/>
      </c>
    </row>
    <row r="23" ht="14.4" customFormat="1" customHeight="1" s="327">
      <c r="A23" s="337" t="inlineStr">
        <is>
          <t>Q3</t>
        </is>
      </c>
      <c r="B23" s="338" t="n">
        <v>0.8</v>
      </c>
      <c r="C23" s="334">
        <f>SetPnt_N_4</f>
        <v/>
      </c>
      <c r="D23" s="425" t="n"/>
      <c r="E23" s="344" t="n"/>
      <c r="F23" s="344" t="n"/>
      <c r="G23" s="344" t="n"/>
      <c r="H23" s="426" t="n"/>
      <c r="I23" s="365">
        <f>(H23-$E$5)+$H$2</f>
        <v/>
      </c>
      <c r="J23" s="369">
        <f>(I23-$H$2)*$H$3</f>
        <v/>
      </c>
      <c r="K23" s="414">
        <f>COS(ASIN((E23-D23)/800))</f>
        <v/>
      </c>
      <c r="L23" s="370">
        <f>-F23*K23</f>
        <v/>
      </c>
      <c r="M23" s="327">
        <f>L23*$D$54+$E$54</f>
        <v/>
      </c>
      <c r="N23" s="327">
        <f>H23-M23</f>
        <v/>
      </c>
      <c r="O23" s="505">
        <f>N23/4</f>
        <v/>
      </c>
      <c r="P23" s="327">
        <f>L23*$J$49+$E$54</f>
        <v/>
      </c>
      <c r="Q23" s="327">
        <f>M23-P23</f>
        <v/>
      </c>
      <c r="R23" s="506">
        <f>Q23/4</f>
        <v/>
      </c>
    </row>
    <row r="24" ht="14.4" customFormat="1" customHeight="1" s="327">
      <c r="A24" s="345" t="inlineStr">
        <is>
          <t>Q3</t>
        </is>
      </c>
      <c r="B24" s="346" t="n">
        <v>1</v>
      </c>
      <c r="C24" s="334">
        <f>SetPnt_N_5</f>
        <v/>
      </c>
      <c r="D24" s="427" t="n"/>
      <c r="E24" s="348" t="n"/>
      <c r="F24" s="348" t="n"/>
      <c r="G24" s="348" t="n"/>
      <c r="H24" s="428" t="n"/>
      <c r="I24" s="366">
        <f>(H24-$E$5)+$H$2</f>
        <v/>
      </c>
      <c r="J24" s="369">
        <f>(I24-$H$2)*$H$3</f>
        <v/>
      </c>
      <c r="K24" s="347">
        <f>COS(ASIN((E24-D24)/800))</f>
        <v/>
      </c>
      <c r="L24" s="370">
        <f>-F24*K24</f>
        <v/>
      </c>
      <c r="M24" s="347">
        <f>L24*$D$54+$E$54</f>
        <v/>
      </c>
      <c r="N24" s="347">
        <f>H24-M24</f>
        <v/>
      </c>
      <c r="O24" s="507">
        <f>N24/4</f>
        <v/>
      </c>
      <c r="P24" s="347">
        <f>L24*$J$49+$E$54</f>
        <v/>
      </c>
      <c r="Q24" s="347">
        <f>M24-P24</f>
        <v/>
      </c>
      <c r="R24" s="508">
        <f>Q24/4</f>
        <v/>
      </c>
    </row>
    <row r="25" ht="15" customFormat="1" customHeight="1" s="327" thickBot="1">
      <c r="A25" s="345" t="inlineStr">
        <is>
          <t>Q3</t>
        </is>
      </c>
      <c r="B25" s="346" t="n">
        <v>0</v>
      </c>
      <c r="C25" s="435">
        <f>SetPnt_N_0</f>
        <v/>
      </c>
      <c r="D25" s="429" t="n"/>
      <c r="E25" s="430" t="n"/>
      <c r="F25" s="430" t="n"/>
      <c r="G25" s="430" t="n"/>
      <c r="H25" s="431" t="n"/>
      <c r="I25" s="366">
        <f>(H25-$E$5)+$H$2</f>
        <v/>
      </c>
      <c r="J25" s="369">
        <f>(I25-$H$2)*$H$3</f>
        <v/>
      </c>
      <c r="K25" s="347">
        <f>COS(ASIN((E25-D25)/800))</f>
        <v/>
      </c>
      <c r="L25" s="370">
        <f>-F25*K25</f>
        <v/>
      </c>
      <c r="M25" s="347">
        <f>L25*$D$54+$E$54</f>
        <v/>
      </c>
      <c r="N25" s="347">
        <f>H25-M25</f>
        <v/>
      </c>
      <c r="O25" s="507">
        <f>N25/4</f>
        <v/>
      </c>
      <c r="P25" s="347">
        <f>L25*$J$49+$E$54</f>
        <v/>
      </c>
      <c r="Q25" s="347">
        <f>M25-P25</f>
        <v/>
      </c>
      <c r="R25" s="508">
        <f>Q25/4</f>
        <v/>
      </c>
    </row>
    <row r="26" ht="14.4" customFormat="1" customHeight="1" s="327">
      <c r="D26" s="327" t="inlineStr">
        <is>
          <t>Href</t>
        </is>
      </c>
      <c r="E26" s="327">
        <f>AVERAGE(E29,E31,E33,E35,E41,E47)</f>
        <v/>
      </c>
      <c r="O26" s="505" t="n"/>
      <c r="R26" s="505" t="n"/>
    </row>
    <row r="27" ht="14.4" customFormat="1" customHeight="1" s="327">
      <c r="D27" s="327" t="inlineStr">
        <is>
          <t>Zero</t>
        </is>
      </c>
      <c r="E27" s="327">
        <f>AVERAGE(H29,H31,H33,H35,H41,H47)</f>
        <v/>
      </c>
      <c r="R27" s="505" t="n"/>
    </row>
    <row r="28" ht="15" customFormat="1" customHeight="1" s="327" thickBot="1">
      <c r="A28" s="351" t="inlineStr">
        <is>
          <t>Q</t>
        </is>
      </c>
      <c r="B28" s="329" t="inlineStr">
        <is>
          <t>Step</t>
        </is>
      </c>
      <c r="C28" s="330" t="inlineStr">
        <is>
          <t>Carico [N]</t>
        </is>
      </c>
      <c r="D28" s="334" t="inlineStr">
        <is>
          <t>hm mozzo [mm]</t>
        </is>
      </c>
      <c r="E28" s="334" t="inlineStr">
        <is>
          <t>hr ref [mm]</t>
        </is>
      </c>
      <c r="F28" s="334" t="inlineStr">
        <is>
          <t>Laumas [N]</t>
        </is>
      </c>
      <c r="G28" s="334" t="inlineStr">
        <is>
          <t>Torsiometro [Nm]</t>
        </is>
      </c>
      <c r="H28" s="334" t="inlineStr">
        <is>
          <t>SG600 [V]</t>
        </is>
      </c>
      <c r="I28" s="330" t="inlineStr">
        <is>
          <t>Corr</t>
        </is>
      </c>
      <c r="J28" s="368" t="inlineStr">
        <is>
          <t>SG600 [Nm]</t>
        </is>
      </c>
      <c r="K28" s="330" t="inlineStr">
        <is>
          <t>Braccio [m]</t>
        </is>
      </c>
      <c r="L28" s="367" t="inlineStr">
        <is>
          <t>Coppia Laumas [Nm]</t>
        </is>
      </c>
      <c r="M28" s="330" t="inlineStr">
        <is>
          <t>SG600 reg [V]</t>
        </is>
      </c>
      <c r="N28" s="330" t="inlineStr">
        <is>
          <t>Errore</t>
        </is>
      </c>
      <c r="O28" s="330" t="inlineStr">
        <is>
          <t>Errore %</t>
        </is>
      </c>
      <c r="P28" s="330" t="inlineStr">
        <is>
          <t>SG600 reg [V]</t>
        </is>
      </c>
      <c r="Q28" s="330" t="inlineStr">
        <is>
          <t>Errore</t>
        </is>
      </c>
      <c r="R28" s="331" t="inlineStr">
        <is>
          <t>Errore %</t>
        </is>
      </c>
    </row>
    <row r="29" ht="14.4" customFormat="1" customHeight="1" s="327">
      <c r="A29" s="352" t="inlineStr">
        <is>
          <t>Q1</t>
        </is>
      </c>
      <c r="B29" s="333" t="n">
        <v>0</v>
      </c>
      <c r="C29" s="435">
        <f>SetPnt_P_0</f>
        <v/>
      </c>
      <c r="D29" s="418" t="n"/>
      <c r="E29" s="419" t="n"/>
      <c r="F29" s="419" t="n"/>
      <c r="G29" s="419" t="n"/>
      <c r="H29" s="420" t="n"/>
      <c r="I29" s="364">
        <f>(H29-$E$27)+$H$2</f>
        <v/>
      </c>
      <c r="J29" s="368">
        <f>(H29-$E$27)*$H$3</f>
        <v/>
      </c>
      <c r="K29" s="334">
        <f>COS(ASIN((E29-D29)/800))</f>
        <v/>
      </c>
      <c r="L29" s="370">
        <f>F29*K29</f>
        <v/>
      </c>
      <c r="M29" s="334">
        <f>L29*$M$54+$N$54</f>
        <v/>
      </c>
      <c r="N29" s="334">
        <f>H29-M29</f>
        <v/>
      </c>
      <c r="O29" s="503">
        <f>N29/4</f>
        <v/>
      </c>
      <c r="P29" s="334">
        <f>L29*$J$49+$N$54</f>
        <v/>
      </c>
      <c r="Q29" s="334">
        <f>M29-P29</f>
        <v/>
      </c>
      <c r="R29" s="504">
        <f>Q29/4</f>
        <v/>
      </c>
    </row>
    <row r="30" ht="14.4" customFormat="1" customHeight="1" s="327">
      <c r="A30" s="353" t="inlineStr">
        <is>
          <t>Q1</t>
        </is>
      </c>
      <c r="B30" s="338" t="n">
        <v>1</v>
      </c>
      <c r="C30" s="327">
        <f>C_Tar_max</f>
        <v/>
      </c>
      <c r="D30" s="421" t="n"/>
      <c r="E30" s="339" t="n"/>
      <c r="F30" s="339" t="n"/>
      <c r="G30" s="339" t="n"/>
      <c r="H30" s="422" t="n"/>
      <c r="I30" s="365">
        <f>(H30-$E$27)+$H$2</f>
        <v/>
      </c>
      <c r="J30" s="368">
        <f>(H30-$E$27)*$H$3</f>
        <v/>
      </c>
      <c r="K30" s="414">
        <f>COS(ASIN((E30-D30)/800))</f>
        <v/>
      </c>
      <c r="L30" s="370">
        <f>F30*K30</f>
        <v/>
      </c>
      <c r="M30" s="327">
        <f>L30*$M$54+$N$54</f>
        <v/>
      </c>
      <c r="N30" s="327">
        <f>H30-M30</f>
        <v/>
      </c>
      <c r="O30" s="505">
        <f>N30/4</f>
        <v/>
      </c>
      <c r="P30" s="327">
        <f>L30*$J$49+$N$54</f>
        <v/>
      </c>
      <c r="Q30" s="327">
        <f>M30-P30</f>
        <v/>
      </c>
      <c r="R30" s="506">
        <f>Q30/4</f>
        <v/>
      </c>
    </row>
    <row r="31" ht="14.4" customFormat="1" customHeight="1" s="327">
      <c r="A31" s="353" t="inlineStr">
        <is>
          <t>Q1</t>
        </is>
      </c>
      <c r="B31" s="338" t="n">
        <v>0</v>
      </c>
      <c r="C31" s="435">
        <f>SetPnt_P_0</f>
        <v/>
      </c>
      <c r="D31" s="421" t="n"/>
      <c r="E31" s="339" t="n"/>
      <c r="F31" s="339" t="n"/>
      <c r="G31" s="339" t="n"/>
      <c r="H31" s="422" t="n"/>
      <c r="I31" s="365">
        <f>(H31-$E$27)+$H$2</f>
        <v/>
      </c>
      <c r="J31" s="368">
        <f>(H31-$E$27)*$H$3</f>
        <v/>
      </c>
      <c r="K31" s="414">
        <f>COS(ASIN((E31-D31)/800))</f>
        <v/>
      </c>
      <c r="L31" s="370">
        <f>F31*K31</f>
        <v/>
      </c>
      <c r="M31" s="327">
        <f>L31*$M$54+$N$54</f>
        <v/>
      </c>
      <c r="N31" s="327">
        <f>H31-M31</f>
        <v/>
      </c>
      <c r="O31" s="505">
        <f>N31/4</f>
        <v/>
      </c>
      <c r="P31" s="327">
        <f>L31*$J$49+$N$54</f>
        <v/>
      </c>
      <c r="Q31" s="327">
        <f>M31-P31</f>
        <v/>
      </c>
      <c r="R31" s="506">
        <f>Q31/4</f>
        <v/>
      </c>
    </row>
    <row r="32" ht="14.4" customFormat="1" customHeight="1" s="327">
      <c r="A32" s="353" t="inlineStr">
        <is>
          <t>Q1</t>
        </is>
      </c>
      <c r="B32" s="338" t="n">
        <v>1</v>
      </c>
      <c r="C32" s="327">
        <f>C_Tar_max</f>
        <v/>
      </c>
      <c r="D32" s="421" t="n"/>
      <c r="E32" s="339" t="n"/>
      <c r="F32" s="339" t="n"/>
      <c r="G32" s="339" t="n"/>
      <c r="H32" s="422" t="n"/>
      <c r="I32" s="365">
        <f>(H32-$E$27)+$H$2</f>
        <v/>
      </c>
      <c r="J32" s="368">
        <f>(H32-$E$27)*$H$3</f>
        <v/>
      </c>
      <c r="K32" s="414">
        <f>COS(ASIN((E32-D32)/800))</f>
        <v/>
      </c>
      <c r="L32" s="370">
        <f>F32*K32</f>
        <v/>
      </c>
      <c r="M32" s="327">
        <f>L32*$M$54+$N$54</f>
        <v/>
      </c>
      <c r="N32" s="327">
        <f>H32-M32</f>
        <v/>
      </c>
      <c r="O32" s="505">
        <f>N32/4</f>
        <v/>
      </c>
      <c r="P32" s="327">
        <f>L32*$J$49+$N$54</f>
        <v/>
      </c>
      <c r="Q32" s="327">
        <f>M32-P32</f>
        <v/>
      </c>
      <c r="R32" s="506">
        <f>Q32/4</f>
        <v/>
      </c>
    </row>
    <row r="33" ht="14.4" customFormat="1" customHeight="1" s="327">
      <c r="A33" s="353" t="inlineStr">
        <is>
          <t>Q1</t>
        </is>
      </c>
      <c r="B33" s="338" t="n">
        <v>0</v>
      </c>
      <c r="C33" s="435">
        <f>SetPnt_P_0</f>
        <v/>
      </c>
      <c r="D33" s="421" t="n"/>
      <c r="E33" s="339" t="n"/>
      <c r="F33" s="339" t="n"/>
      <c r="G33" s="339" t="n"/>
      <c r="H33" s="422" t="n"/>
      <c r="I33" s="365">
        <f>(H33-$E$27)+$H$2</f>
        <v/>
      </c>
      <c r="J33" s="368">
        <f>(H33-$E$27)*$H$3</f>
        <v/>
      </c>
      <c r="K33" s="414">
        <f>COS(ASIN((E33-D33)/800))</f>
        <v/>
      </c>
      <c r="L33" s="370">
        <f>F33*K33</f>
        <v/>
      </c>
      <c r="M33" s="327">
        <f>L33*$M$54+$N$54</f>
        <v/>
      </c>
      <c r="N33" s="327">
        <f>H33-M33</f>
        <v/>
      </c>
      <c r="O33" s="505">
        <f>N33/4</f>
        <v/>
      </c>
      <c r="P33" s="327">
        <f>L33*$J$49+$N$54</f>
        <v/>
      </c>
      <c r="Q33" s="327">
        <f>M33-P33</f>
        <v/>
      </c>
      <c r="R33" s="506">
        <f>Q33/4</f>
        <v/>
      </c>
    </row>
    <row r="34" ht="14.4" customFormat="1" customHeight="1" s="327">
      <c r="A34" s="353" t="inlineStr">
        <is>
          <t>Q1</t>
        </is>
      </c>
      <c r="B34" s="338" t="n">
        <v>1</v>
      </c>
      <c r="C34" s="327">
        <f>C_Tar_max</f>
        <v/>
      </c>
      <c r="D34" s="421" t="n"/>
      <c r="E34" s="339" t="n"/>
      <c r="F34" s="339" t="n"/>
      <c r="G34" s="339" t="n"/>
      <c r="H34" s="422" t="n"/>
      <c r="I34" s="365">
        <f>(H34-$E$27)+$H$2</f>
        <v/>
      </c>
      <c r="J34" s="368">
        <f>(H34-$E$27)*$H$3</f>
        <v/>
      </c>
      <c r="K34" s="414">
        <f>COS(ASIN((E34-D34)/800))</f>
        <v/>
      </c>
      <c r="L34" s="370">
        <f>F34*K34</f>
        <v/>
      </c>
      <c r="M34" s="327">
        <f>L34*$M$54+$N$54</f>
        <v/>
      </c>
      <c r="N34" s="327">
        <f>H34-M34</f>
        <v/>
      </c>
      <c r="O34" s="505">
        <f>N34/4</f>
        <v/>
      </c>
      <c r="P34" s="327">
        <f>L34*$J$49+$N$54</f>
        <v/>
      </c>
      <c r="Q34" s="327">
        <f>M34-P34</f>
        <v/>
      </c>
      <c r="R34" s="506">
        <f>Q34/4</f>
        <v/>
      </c>
    </row>
    <row r="35" ht="14.4" customFormat="1" customHeight="1" s="327">
      <c r="A35" s="352" t="inlineStr">
        <is>
          <t>Q1</t>
        </is>
      </c>
      <c r="B35" s="333" t="n">
        <v>0</v>
      </c>
      <c r="C35" s="334">
        <f>SetPnt_P_0</f>
        <v/>
      </c>
      <c r="D35" s="423" t="n"/>
      <c r="E35" s="343" t="n"/>
      <c r="F35" s="343" t="n"/>
      <c r="G35" s="343" t="n"/>
      <c r="H35" s="424" t="n"/>
      <c r="I35" s="364">
        <f>(H35-$E$27)+$H$2</f>
        <v/>
      </c>
      <c r="J35" s="368">
        <f>(H35-$E$27)*$H$3</f>
        <v/>
      </c>
      <c r="K35" s="334">
        <f>COS(ASIN((E35-D35)/800))</f>
        <v/>
      </c>
      <c r="L35" s="370">
        <f>F35*K35</f>
        <v/>
      </c>
      <c r="M35" s="334">
        <f>L35*$M$54+$N$54</f>
        <v/>
      </c>
      <c r="N35" s="334">
        <f>H35-M35</f>
        <v/>
      </c>
      <c r="O35" s="503">
        <f>N35/4</f>
        <v/>
      </c>
      <c r="P35" s="334">
        <f>L35*$J$49+$N$54</f>
        <v/>
      </c>
      <c r="Q35" s="334">
        <f>M35-P35</f>
        <v/>
      </c>
      <c r="R35" s="504">
        <f>Q35/4</f>
        <v/>
      </c>
    </row>
    <row r="36" ht="14.4" customFormat="1" customHeight="1" s="327">
      <c r="A36" s="353" t="inlineStr">
        <is>
          <t>Q1</t>
        </is>
      </c>
      <c r="B36" s="338" t="n">
        <v>0.2</v>
      </c>
      <c r="C36" s="334">
        <f>SetPnt_P_1</f>
        <v/>
      </c>
      <c r="D36" s="425" t="n"/>
      <c r="E36" s="344" t="n"/>
      <c r="F36" s="344" t="n"/>
      <c r="G36" s="344" t="n"/>
      <c r="H36" s="426" t="n"/>
      <c r="I36" s="365">
        <f>(H36-$E$27)+$H$2</f>
        <v/>
      </c>
      <c r="J36" s="368">
        <f>(H36-$E$27)*$H$3</f>
        <v/>
      </c>
      <c r="K36" s="414">
        <f>COS(ASIN((E36-D36)/800))</f>
        <v/>
      </c>
      <c r="L36" s="370">
        <f>F36*K36</f>
        <v/>
      </c>
      <c r="M36" s="327">
        <f>L36*$M$54+$N$54</f>
        <v/>
      </c>
      <c r="N36" s="327">
        <f>H36-M36</f>
        <v/>
      </c>
      <c r="O36" s="505">
        <f>N36/4</f>
        <v/>
      </c>
      <c r="P36" s="327">
        <f>L36*$J$49+$N$54</f>
        <v/>
      </c>
      <c r="Q36" s="327">
        <f>M36-P36</f>
        <v/>
      </c>
      <c r="R36" s="506">
        <f>Q36/4</f>
        <v/>
      </c>
    </row>
    <row r="37" ht="14.4" customFormat="1" customHeight="1" s="327">
      <c r="A37" s="353" t="inlineStr">
        <is>
          <t>Q1</t>
        </is>
      </c>
      <c r="B37" s="338" t="n">
        <v>0.4</v>
      </c>
      <c r="C37" s="334">
        <f>SetPnt_P_2</f>
        <v/>
      </c>
      <c r="D37" s="425" t="n"/>
      <c r="E37" s="344" t="n"/>
      <c r="F37" s="344" t="n"/>
      <c r="G37" s="344" t="n"/>
      <c r="H37" s="426" t="n"/>
      <c r="I37" s="365">
        <f>(H37-$E$27)+$H$2</f>
        <v/>
      </c>
      <c r="J37" s="368">
        <f>(H37-$E$27)*$H$3</f>
        <v/>
      </c>
      <c r="K37" s="414">
        <f>COS(ASIN((E37-D37)/800))</f>
        <v/>
      </c>
      <c r="L37" s="370">
        <f>F37*K37</f>
        <v/>
      </c>
      <c r="M37" s="327">
        <f>L37*$M$54+$N$54</f>
        <v/>
      </c>
      <c r="N37" s="327">
        <f>H37-M37</f>
        <v/>
      </c>
      <c r="O37" s="505">
        <f>N37/4</f>
        <v/>
      </c>
      <c r="P37" s="327">
        <f>L37*$J$49+$N$54</f>
        <v/>
      </c>
      <c r="Q37" s="327">
        <f>M37-P37</f>
        <v/>
      </c>
      <c r="R37" s="506">
        <f>Q37/4</f>
        <v/>
      </c>
    </row>
    <row r="38" ht="14.4" customFormat="1" customHeight="1" s="327">
      <c r="A38" s="353" t="inlineStr">
        <is>
          <t>Q1</t>
        </is>
      </c>
      <c r="B38" s="338" t="n">
        <v>0.6</v>
      </c>
      <c r="C38" s="334">
        <f>SetPnt_P_3</f>
        <v/>
      </c>
      <c r="D38" s="425" t="n"/>
      <c r="E38" s="344" t="n"/>
      <c r="F38" s="344" t="n"/>
      <c r="G38" s="344" t="n"/>
      <c r="H38" s="426" t="n"/>
      <c r="I38" s="365">
        <f>(H38-$E$27)+$H$2</f>
        <v/>
      </c>
      <c r="J38" s="368">
        <f>(H38-$E$27)*$H$3</f>
        <v/>
      </c>
      <c r="K38" s="414">
        <f>COS(ASIN((E38-D38)/800))</f>
        <v/>
      </c>
      <c r="L38" s="370">
        <f>F38*K38</f>
        <v/>
      </c>
      <c r="M38" s="327">
        <f>L38*$M$54+$N$54</f>
        <v/>
      </c>
      <c r="N38" s="327">
        <f>H38-M38</f>
        <v/>
      </c>
      <c r="O38" s="505">
        <f>N38/4</f>
        <v/>
      </c>
      <c r="P38" s="327">
        <f>L38*$J$49+$N$54</f>
        <v/>
      </c>
      <c r="Q38" s="327">
        <f>M38-P38</f>
        <v/>
      </c>
      <c r="R38" s="506">
        <f>Q38/4</f>
        <v/>
      </c>
    </row>
    <row r="39" ht="14.4" customFormat="1" customHeight="1" s="327">
      <c r="A39" s="353" t="inlineStr">
        <is>
          <t>Q1</t>
        </is>
      </c>
      <c r="B39" s="338" t="n">
        <v>0.8</v>
      </c>
      <c r="C39" s="334">
        <f>SetPnt_P_4</f>
        <v/>
      </c>
      <c r="D39" s="425" t="n"/>
      <c r="E39" s="344" t="n"/>
      <c r="F39" s="344" t="n"/>
      <c r="G39" s="344" t="n"/>
      <c r="H39" s="426" t="n"/>
      <c r="I39" s="365">
        <f>(H39-$E$27)+$H$2</f>
        <v/>
      </c>
      <c r="J39" s="368">
        <f>(H39-$E$27)*$H$3</f>
        <v/>
      </c>
      <c r="K39" s="414">
        <f>COS(ASIN((E39-D39)/800))</f>
        <v/>
      </c>
      <c r="L39" s="370">
        <f>F39*K39</f>
        <v/>
      </c>
      <c r="M39" s="327">
        <f>L39*$M$54+$N$54</f>
        <v/>
      </c>
      <c r="N39" s="327">
        <f>H39-M39</f>
        <v/>
      </c>
      <c r="O39" s="505">
        <f>N39/4</f>
        <v/>
      </c>
      <c r="P39" s="327">
        <f>L39*$J$49+$N$54</f>
        <v/>
      </c>
      <c r="Q39" s="327">
        <f>M39-P39</f>
        <v/>
      </c>
      <c r="R39" s="506">
        <f>Q39/4</f>
        <v/>
      </c>
    </row>
    <row r="40" ht="14.4" customFormat="1" customHeight="1" s="327">
      <c r="A40" s="353" t="inlineStr">
        <is>
          <t>Q1</t>
        </is>
      </c>
      <c r="B40" s="338" t="n">
        <v>1</v>
      </c>
      <c r="C40" s="334">
        <f>SetPnt_P_5</f>
        <v/>
      </c>
      <c r="D40" s="425" t="n"/>
      <c r="E40" s="344" t="n"/>
      <c r="F40" s="344" t="n"/>
      <c r="G40" s="344" t="n"/>
      <c r="H40" s="426" t="n"/>
      <c r="I40" s="365">
        <f>(H40-$E$27)+$H$2</f>
        <v/>
      </c>
      <c r="J40" s="368">
        <f>(H40-$E$27)*$H$3</f>
        <v/>
      </c>
      <c r="K40" s="414">
        <f>COS(ASIN((E40-D40)/800))</f>
        <v/>
      </c>
      <c r="L40" s="370">
        <f>F40*K40</f>
        <v/>
      </c>
      <c r="M40" s="327">
        <f>L40*$M$54+$N$54</f>
        <v/>
      </c>
      <c r="N40" s="327">
        <f>H40-M40</f>
        <v/>
      </c>
      <c r="O40" s="505">
        <f>N40/4</f>
        <v/>
      </c>
      <c r="P40" s="327">
        <f>L40*$J$49+$N$54</f>
        <v/>
      </c>
      <c r="Q40" s="327">
        <f>M40-P40</f>
        <v/>
      </c>
      <c r="R40" s="506">
        <f>Q40/4</f>
        <v/>
      </c>
    </row>
    <row r="41" ht="14.4" customFormat="1" customHeight="1" s="327">
      <c r="A41" s="352" t="inlineStr">
        <is>
          <t>Q1</t>
        </is>
      </c>
      <c r="B41" s="333" t="n">
        <v>0</v>
      </c>
      <c r="C41" s="334">
        <f>SetPnt_P_0</f>
        <v/>
      </c>
      <c r="D41" s="423" t="n"/>
      <c r="E41" s="343" t="n"/>
      <c r="F41" s="343" t="n"/>
      <c r="G41" s="343" t="n"/>
      <c r="H41" s="424" t="n"/>
      <c r="I41" s="364">
        <f>(H41-$E$27)+$H$2</f>
        <v/>
      </c>
      <c r="J41" s="368">
        <f>(H41-$E$27)*$H$3</f>
        <v/>
      </c>
      <c r="K41" s="334">
        <f>COS(ASIN((E41-D41)/800))</f>
        <v/>
      </c>
      <c r="L41" s="370">
        <f>F41*K41</f>
        <v/>
      </c>
      <c r="M41" s="334">
        <f>L41*$M$54+$N$54</f>
        <v/>
      </c>
      <c r="N41" s="334">
        <f>H41-M41</f>
        <v/>
      </c>
      <c r="O41" s="503">
        <f>N41/4</f>
        <v/>
      </c>
      <c r="P41" s="334">
        <f>L41*$J$49+$N$54</f>
        <v/>
      </c>
      <c r="Q41" s="334">
        <f>M41-P41</f>
        <v/>
      </c>
      <c r="R41" s="504">
        <f>Q41/4</f>
        <v/>
      </c>
    </row>
    <row r="42" ht="14.4" customFormat="1" customHeight="1" s="327">
      <c r="A42" s="353" t="inlineStr">
        <is>
          <t>Q1</t>
        </is>
      </c>
      <c r="B42" s="338" t="n">
        <v>0.2</v>
      </c>
      <c r="C42" s="334">
        <f>SetPnt_P_1</f>
        <v/>
      </c>
      <c r="D42" s="425" t="n"/>
      <c r="E42" s="344" t="n"/>
      <c r="F42" s="344" t="n"/>
      <c r="G42" s="344" t="n"/>
      <c r="H42" s="426" t="n"/>
      <c r="I42" s="365">
        <f>(H42-$E$27)+$H$2</f>
        <v/>
      </c>
      <c r="J42" s="368">
        <f>(H42-$E$27)*$H$3</f>
        <v/>
      </c>
      <c r="K42" s="414">
        <f>COS(ASIN((E42-D42)/800))</f>
        <v/>
      </c>
      <c r="L42" s="370">
        <f>F42*K42</f>
        <v/>
      </c>
      <c r="M42" s="327">
        <f>L42*$M$54+$N$54</f>
        <v/>
      </c>
      <c r="N42" s="327">
        <f>H42-M42</f>
        <v/>
      </c>
      <c r="O42" s="505">
        <f>N42/4</f>
        <v/>
      </c>
      <c r="P42" s="327">
        <f>L42*$J$49+$N$54</f>
        <v/>
      </c>
      <c r="Q42" s="327">
        <f>M42-P42</f>
        <v/>
      </c>
      <c r="R42" s="506">
        <f>Q42/4</f>
        <v/>
      </c>
    </row>
    <row r="43" ht="14.4" customFormat="1" customHeight="1" s="327">
      <c r="A43" s="353" t="inlineStr">
        <is>
          <t>Q1</t>
        </is>
      </c>
      <c r="B43" s="338" t="n">
        <v>0.4</v>
      </c>
      <c r="C43" s="334">
        <f>SetPnt_P_2</f>
        <v/>
      </c>
      <c r="D43" s="425" t="n"/>
      <c r="E43" s="344" t="n"/>
      <c r="F43" s="344" t="n"/>
      <c r="G43" s="344" t="n"/>
      <c r="H43" s="426" t="n"/>
      <c r="I43" s="365">
        <f>(H43-$E$27)+$H$2</f>
        <v/>
      </c>
      <c r="J43" s="368">
        <f>(H43-$E$27)*$H$3</f>
        <v/>
      </c>
      <c r="K43" s="414">
        <f>COS(ASIN((E43-D43)/800))</f>
        <v/>
      </c>
      <c r="L43" s="370">
        <f>F43*K43</f>
        <v/>
      </c>
      <c r="M43" s="327">
        <f>L43*$M$54+$N$54</f>
        <v/>
      </c>
      <c r="N43" s="327">
        <f>H43-M43</f>
        <v/>
      </c>
      <c r="O43" s="505">
        <f>N43/4</f>
        <v/>
      </c>
      <c r="P43" s="327">
        <f>L43*$J$49+$N$54</f>
        <v/>
      </c>
      <c r="Q43" s="327">
        <f>M43-P43</f>
        <v/>
      </c>
      <c r="R43" s="506">
        <f>Q43/4</f>
        <v/>
      </c>
    </row>
    <row r="44" ht="14.4" customFormat="1" customHeight="1" s="327">
      <c r="A44" s="353" t="inlineStr">
        <is>
          <t>Q1</t>
        </is>
      </c>
      <c r="B44" s="338" t="n">
        <v>0.6</v>
      </c>
      <c r="C44" s="334">
        <f>SetPnt_P_3</f>
        <v/>
      </c>
      <c r="D44" s="425" t="n"/>
      <c r="E44" s="344" t="n"/>
      <c r="F44" s="344" t="n"/>
      <c r="G44" s="344" t="n"/>
      <c r="H44" s="426" t="n"/>
      <c r="I44" s="365">
        <f>(H44-$E$27)+$H$2</f>
        <v/>
      </c>
      <c r="J44" s="368">
        <f>(H44-$E$27)*$H$3</f>
        <v/>
      </c>
      <c r="K44" s="414">
        <f>COS(ASIN((E44-D44)/800))</f>
        <v/>
      </c>
      <c r="L44" s="370">
        <f>F44*K44</f>
        <v/>
      </c>
      <c r="M44" s="327">
        <f>L44*$M$54+$N$54</f>
        <v/>
      </c>
      <c r="N44" s="327">
        <f>H44-M44</f>
        <v/>
      </c>
      <c r="O44" s="505">
        <f>N44/4</f>
        <v/>
      </c>
      <c r="P44" s="327">
        <f>L44*$J$49+$N$54</f>
        <v/>
      </c>
      <c r="Q44" s="327">
        <f>M44-P44</f>
        <v/>
      </c>
      <c r="R44" s="506">
        <f>Q44/4</f>
        <v/>
      </c>
    </row>
    <row r="45" ht="14.4" customFormat="1" customHeight="1" s="327">
      <c r="A45" s="353" t="inlineStr">
        <is>
          <t>Q1</t>
        </is>
      </c>
      <c r="B45" s="338" t="n">
        <v>0.8</v>
      </c>
      <c r="C45" s="334">
        <f>SetPnt_P_4</f>
        <v/>
      </c>
      <c r="D45" s="425" t="n"/>
      <c r="E45" s="344" t="n"/>
      <c r="F45" s="344" t="n"/>
      <c r="G45" s="344" t="n"/>
      <c r="H45" s="426" t="n"/>
      <c r="I45" s="365">
        <f>(H45-$E$27)+$H$2</f>
        <v/>
      </c>
      <c r="J45" s="368">
        <f>(H45-$E$27)*$H$3</f>
        <v/>
      </c>
      <c r="K45" s="414">
        <f>COS(ASIN((E45-D45)/800))</f>
        <v/>
      </c>
      <c r="L45" s="370">
        <f>F45*K45</f>
        <v/>
      </c>
      <c r="M45" s="327">
        <f>L45*$M$54+$N$54</f>
        <v/>
      </c>
      <c r="N45" s="327">
        <f>H45-M45</f>
        <v/>
      </c>
      <c r="O45" s="505">
        <f>N45/4</f>
        <v/>
      </c>
      <c r="P45" s="327">
        <f>L45*$J$49+$N$54</f>
        <v/>
      </c>
      <c r="Q45" s="327">
        <f>M45-P45</f>
        <v/>
      </c>
      <c r="R45" s="506">
        <f>Q45/4</f>
        <v/>
      </c>
    </row>
    <row r="46" ht="14.4" customFormat="1" customHeight="1" s="327">
      <c r="A46" s="354" t="inlineStr">
        <is>
          <t>Q1</t>
        </is>
      </c>
      <c r="B46" s="346" t="n">
        <v>1</v>
      </c>
      <c r="C46" s="334">
        <f>SetPnt_P_5</f>
        <v/>
      </c>
      <c r="D46" s="425" t="n"/>
      <c r="E46" s="344" t="n"/>
      <c r="F46" s="344" t="n"/>
      <c r="G46" s="344" t="n"/>
      <c r="H46" s="426" t="n"/>
      <c r="I46" s="366">
        <f>(H46-$E$27)+$H$2</f>
        <v/>
      </c>
      <c r="J46" s="368">
        <f>(H46-$E$27)*$H$3</f>
        <v/>
      </c>
      <c r="K46" s="347">
        <f>COS(ASIN((E46-D46)/800))</f>
        <v/>
      </c>
      <c r="L46" s="370">
        <f>F46*K46</f>
        <v/>
      </c>
      <c r="M46" s="347">
        <f>L46*$M$54+$N$54</f>
        <v/>
      </c>
      <c r="N46" s="347">
        <f>H46-M46</f>
        <v/>
      </c>
      <c r="O46" s="507">
        <f>N46/4</f>
        <v/>
      </c>
      <c r="P46" s="347">
        <f>L46*$J$49+$N$54</f>
        <v/>
      </c>
      <c r="Q46" s="347">
        <f>M46-P46</f>
        <v/>
      </c>
      <c r="R46" s="508">
        <f>Q46/4</f>
        <v/>
      </c>
    </row>
    <row r="47" ht="15" customFormat="1" customHeight="1" s="327" thickBot="1">
      <c r="A47" s="354" t="inlineStr">
        <is>
          <t>Q1</t>
        </is>
      </c>
      <c r="B47" s="346" t="n">
        <v>0</v>
      </c>
      <c r="C47" s="435">
        <f>SetPnt_P_0</f>
        <v/>
      </c>
      <c r="D47" s="429" t="n"/>
      <c r="E47" s="430" t="n"/>
      <c r="F47" s="430" t="n"/>
      <c r="G47" s="430" t="n"/>
      <c r="H47" s="431" t="n"/>
      <c r="I47" s="366">
        <f>(H47-$E$27)+$H$2</f>
        <v/>
      </c>
      <c r="J47" s="368">
        <f>(H47-$E$27)*$H$3</f>
        <v/>
      </c>
      <c r="K47" s="347">
        <f>COS(ASIN((E47-D47)/800))</f>
        <v/>
      </c>
      <c r="L47" s="370">
        <f>F47*K47</f>
        <v/>
      </c>
      <c r="M47" s="347">
        <f>L47*$M$54+$N$54</f>
        <v/>
      </c>
      <c r="N47" s="347">
        <f>H47-M47</f>
        <v/>
      </c>
      <c r="O47" s="507">
        <f>N47/4</f>
        <v/>
      </c>
      <c r="P47" s="347">
        <f>L47*$J$49+$N$54</f>
        <v/>
      </c>
      <c r="Q47" s="347">
        <f>M47-P47</f>
        <v/>
      </c>
      <c r="R47" s="508">
        <f>Q47/4</f>
        <v/>
      </c>
    </row>
    <row r="48" customFormat="1" s="327"/>
    <row r="49" ht="14.4" customFormat="1" customHeight="1" s="327">
      <c r="I49" s="432" t="inlineStr">
        <is>
          <t>m ave [V/Nm]</t>
        </is>
      </c>
      <c r="J49" s="434">
        <f>AVERAGE(D54,M54)</f>
        <v/>
      </c>
      <c r="K49" s="432" t="inlineStr">
        <is>
          <t>m ave [Nm/V]</t>
        </is>
      </c>
      <c r="L49" s="360">
        <f>AVERAGE(D55,M55)</f>
        <v/>
      </c>
    </row>
    <row r="50" ht="24.6" customFormat="1" customHeight="1" s="327">
      <c r="A50" s="355" t="n"/>
      <c r="B50" s="444" t="inlineStr">
        <is>
          <t>Q3</t>
        </is>
      </c>
      <c r="C50" s="509" t="n"/>
      <c r="D50" s="509" t="n"/>
      <c r="E50" s="509" t="n"/>
      <c r="F50" s="509" t="n"/>
      <c r="G50" s="509" t="n"/>
      <c r="H50" s="509" t="n"/>
      <c r="I50" s="444" t="n"/>
      <c r="J50" s="444" t="n"/>
      <c r="K50" s="445" t="inlineStr">
        <is>
          <t>Q1</t>
        </is>
      </c>
      <c r="L50" s="509" t="n"/>
      <c r="M50" s="509" t="n"/>
      <c r="N50" s="509" t="n"/>
      <c r="O50" s="509" t="n"/>
      <c r="P50" s="509" t="n"/>
      <c r="Q50" s="510" t="n"/>
      <c r="R50" s="414" t="n"/>
    </row>
    <row r="51" ht="24.6" customFormat="1" customHeight="1" s="327">
      <c r="A51" s="355" t="n"/>
      <c r="B51" s="511" t="n"/>
      <c r="C51" s="512" t="n"/>
      <c r="D51" s="512" t="n"/>
      <c r="E51" s="512" t="n"/>
      <c r="F51" s="512" t="n"/>
      <c r="G51" s="512" t="n"/>
      <c r="H51" s="512" t="n"/>
      <c r="I51" s="444" t="n"/>
      <c r="J51" s="444" t="n"/>
      <c r="K51" s="511" t="n"/>
      <c r="L51" s="512" t="n"/>
      <c r="M51" s="512" t="n"/>
      <c r="N51" s="512" t="n"/>
      <c r="O51" s="512" t="n"/>
      <c r="P51" s="512" t="n"/>
      <c r="Q51" s="513" t="n"/>
      <c r="R51" s="414" t="n"/>
    </row>
    <row r="52" ht="14.4" customFormat="1" customHeight="1" s="327">
      <c r="A52" s="355" t="n"/>
      <c r="B52" s="414" t="n"/>
      <c r="H52" s="414" t="n"/>
      <c r="I52" s="414" t="n"/>
      <c r="J52" s="414" t="n"/>
      <c r="K52" s="358" t="n"/>
      <c r="Q52" s="355" t="n"/>
      <c r="R52" s="414" t="n"/>
    </row>
    <row r="53" ht="14.4" customFormat="1" customHeight="1" s="327">
      <c r="A53" s="355" t="n"/>
      <c r="B53" s="414" t="n"/>
      <c r="C53" s="414" t="n"/>
      <c r="D53" s="414" t="inlineStr">
        <is>
          <t>m</t>
        </is>
      </c>
      <c r="E53" s="327" t="inlineStr">
        <is>
          <t>q</t>
        </is>
      </c>
      <c r="F53" s="414" t="n"/>
      <c r="G53" s="414" t="n"/>
      <c r="H53" s="414" t="n"/>
      <c r="I53" s="414" t="n"/>
      <c r="J53" s="414" t="n"/>
      <c r="K53" s="358" t="n"/>
      <c r="L53" s="414" t="n"/>
      <c r="M53" s="327" t="inlineStr">
        <is>
          <t>m</t>
        </is>
      </c>
      <c r="N53" s="327" t="inlineStr">
        <is>
          <t>q</t>
        </is>
      </c>
      <c r="Q53" s="355" t="n"/>
      <c r="R53" s="414" t="n"/>
    </row>
    <row r="54" ht="14.4" customFormat="1" customHeight="1" s="327">
      <c r="A54" s="355" t="n"/>
      <c r="B54" s="414" t="n"/>
      <c r="C54" s="414" t="inlineStr">
        <is>
          <t>V/Nm</t>
        </is>
      </c>
      <c r="D54" s="433">
        <f>SLOPE(H7:H24,L7:L24)</f>
        <v/>
      </c>
      <c r="E54" s="414">
        <f>INTERCEPT(H7:H24,L7:L24)</f>
        <v/>
      </c>
      <c r="F54" s="414" t="n"/>
      <c r="G54" s="414" t="n"/>
      <c r="H54" s="414" t="n"/>
      <c r="I54" s="414" t="n"/>
      <c r="J54" s="414" t="n"/>
      <c r="K54" s="358" t="n"/>
      <c r="L54" s="414" t="inlineStr">
        <is>
          <t>V/Nm</t>
        </is>
      </c>
      <c r="M54" s="327">
        <f>SLOPE(H29:H46,L29:L46)</f>
        <v/>
      </c>
      <c r="N54" s="327">
        <f>INTERCEPT(H29:H46,L29:L46)</f>
        <v/>
      </c>
      <c r="Q54" s="355" t="n"/>
      <c r="R54" s="414" t="n"/>
    </row>
    <row r="55" ht="14.4" customFormat="1" customHeight="1" s="327">
      <c r="A55" s="355" t="n"/>
      <c r="B55" s="414" t="n"/>
      <c r="C55" s="414" t="inlineStr">
        <is>
          <t>Nm/V</t>
        </is>
      </c>
      <c r="D55" s="360">
        <f>SLOPE(L7:L25,H7:H25)</f>
        <v/>
      </c>
      <c r="E55" s="414">
        <f>INTERCEPT(L7:L24,H7:H24)</f>
        <v/>
      </c>
      <c r="F55" s="414" t="n"/>
      <c r="G55" s="414" t="n"/>
      <c r="H55" s="414" t="n"/>
      <c r="I55" s="414" t="n"/>
      <c r="J55" s="414" t="n"/>
      <c r="K55" s="358" t="n"/>
      <c r="L55" s="414" t="inlineStr">
        <is>
          <t>Nm/V</t>
        </is>
      </c>
      <c r="M55" s="360">
        <f>SLOPE(L29:L47,H29:H47)</f>
        <v/>
      </c>
      <c r="N55" s="327">
        <f>INTERCEPT(L29:L46,H29:H46)</f>
        <v/>
      </c>
      <c r="Q55" s="355" t="n"/>
      <c r="R55" s="414" t="n"/>
    </row>
    <row r="56" ht="14.4" customFormat="1" customHeight="1" s="327">
      <c r="A56" s="355" t="n"/>
      <c r="B56" s="414" t="n"/>
      <c r="C56" s="414" t="n"/>
      <c r="D56" s="414" t="n"/>
      <c r="E56" s="414" t="n"/>
      <c r="F56" s="414" t="n"/>
      <c r="G56" s="414" t="n"/>
      <c r="H56" s="414" t="n"/>
      <c r="I56" s="414" t="n"/>
      <c r="J56" s="414" t="n"/>
      <c r="K56" s="358" t="n"/>
      <c r="L56" s="414" t="n"/>
      <c r="Q56" s="355" t="n"/>
      <c r="R56" s="414" t="n"/>
    </row>
    <row r="57" ht="14.4" customFormat="1" customHeight="1" s="327">
      <c r="A57" s="355" t="n"/>
      <c r="B57" s="347" t="n"/>
      <c r="C57" s="347" t="n"/>
      <c r="D57" s="347" t="n"/>
      <c r="E57" s="347" t="n"/>
      <c r="F57" s="347" t="n"/>
      <c r="G57" s="347" t="n"/>
      <c r="H57" s="347" t="n"/>
      <c r="I57" s="347" t="n"/>
      <c r="J57" s="347" t="n"/>
      <c r="K57" s="361" t="n"/>
      <c r="L57" s="347" t="n"/>
      <c r="M57" s="347" t="n"/>
      <c r="N57" s="347" t="n"/>
      <c r="O57" s="347" t="n"/>
      <c r="P57" s="347" t="n"/>
      <c r="Q57" s="362" t="n"/>
      <c r="R57" s="414" t="n"/>
    </row>
    <row r="58" customFormat="1" s="327"/>
    <row r="59" ht="13.8" customFormat="1" customHeight="1" s="327" thickBot="1"/>
    <row r="60" ht="15" customFormat="1" customHeight="1" s="327" thickBot="1">
      <c r="A60" s="446" t="inlineStr">
        <is>
          <t>Q1
Positivo</t>
        </is>
      </c>
      <c r="B60" s="447" t="inlineStr">
        <is>
          <t>3 Steps
Precarico</t>
        </is>
      </c>
      <c r="C60" s="448" t="inlineStr">
        <is>
          <t>Precarico 1</t>
        </is>
      </c>
      <c r="D60" s="514" t="n"/>
      <c r="E60" s="449" t="inlineStr">
        <is>
          <t>Precarico 2</t>
        </is>
      </c>
      <c r="F60" s="515" t="n"/>
      <c r="G60" s="450" t="inlineStr">
        <is>
          <t>Precarico 3</t>
        </is>
      </c>
      <c r="H60" s="516" t="n"/>
    </row>
    <row r="61" ht="15.6" customFormat="1" customHeight="1" s="327" thickBot="1" thickTop="1">
      <c r="B61" s="517" t="n"/>
      <c r="C61" s="26" t="n">
        <v>0</v>
      </c>
      <c r="D61" s="27">
        <f>C_Tar_max</f>
        <v/>
      </c>
      <c r="E61" s="26" t="n">
        <v>0</v>
      </c>
      <c r="F61" s="27">
        <f>C_Tar_max</f>
        <v/>
      </c>
      <c r="G61" s="26" t="n">
        <v>0</v>
      </c>
      <c r="H61" s="28">
        <f>C_Tar_max</f>
        <v/>
      </c>
    </row>
    <row r="62" ht="15" customFormat="1" customHeight="1" s="327" thickTop="1">
      <c r="B62" s="29">
        <f>CONCATENATE("Coppia REF [",EUnits,"]")</f>
        <v/>
      </c>
      <c r="C62" s="373">
        <f>L29</f>
        <v/>
      </c>
      <c r="D62" s="373">
        <f>L30</f>
        <v/>
      </c>
      <c r="E62" s="373">
        <f>L31</f>
        <v/>
      </c>
      <c r="F62" s="373">
        <f>L32</f>
        <v/>
      </c>
      <c r="G62" s="373">
        <f>L33</f>
        <v/>
      </c>
      <c r="H62" s="373">
        <f>L34</f>
        <v/>
      </c>
    </row>
    <row r="63" ht="15" customHeight="1" thickBot="1">
      <c r="B63" s="30">
        <f>CONCATENATE("Coppia UUT [",UUT_EUnits,"]")</f>
        <v/>
      </c>
      <c r="C63" s="371">
        <f>J29</f>
        <v/>
      </c>
      <c r="D63" s="371">
        <f>J30</f>
        <v/>
      </c>
      <c r="E63" s="372">
        <f>J31</f>
        <v/>
      </c>
      <c r="F63" s="372">
        <f>J32</f>
        <v/>
      </c>
      <c r="G63" s="372">
        <f>J33</f>
        <v/>
      </c>
      <c r="H63" s="372">
        <f>J34</f>
        <v/>
      </c>
    </row>
    <row r="64" ht="15" customHeight="1" thickBot="1">
      <c r="B64" s="35" t="n"/>
    </row>
    <row r="65" ht="60" customHeight="1" thickBot="1">
      <c r="B65" s="36" t="inlineStr">
        <is>
          <t>1a Rampa
a gradini</t>
        </is>
      </c>
      <c r="C65" s="37" t="inlineStr">
        <is>
          <t>Set Point
0</t>
        </is>
      </c>
      <c r="D65" s="37" t="inlineStr">
        <is>
          <t>Set Point
1</t>
        </is>
      </c>
      <c r="E65" s="38" t="inlineStr">
        <is>
          <t>Set Point
2</t>
        </is>
      </c>
      <c r="F65" s="37" t="inlineStr">
        <is>
          <t>Set Point
3</t>
        </is>
      </c>
      <c r="G65" s="38" t="inlineStr">
        <is>
          <t>Set Point
4</t>
        </is>
      </c>
      <c r="H65" s="37" t="inlineStr">
        <is>
          <t>Set Point
5</t>
        </is>
      </c>
      <c r="I65" s="39" t="inlineStr">
        <is>
          <t>Set Point
0</t>
        </is>
      </c>
    </row>
    <row r="66" ht="15" customHeight="1" thickTop="1">
      <c r="B66" s="29">
        <f>CONCATENATE("Coppia REF [",EUnits,"]")</f>
        <v/>
      </c>
      <c r="C66" s="373">
        <f>L35</f>
        <v/>
      </c>
      <c r="D66" s="373">
        <f>L36</f>
        <v/>
      </c>
      <c r="E66" s="373">
        <f>L37</f>
        <v/>
      </c>
      <c r="F66" s="373">
        <f>L38</f>
        <v/>
      </c>
      <c r="G66" s="373">
        <f>L39</f>
        <v/>
      </c>
      <c r="H66" s="373">
        <f>L40</f>
        <v/>
      </c>
      <c r="I66" s="375">
        <f>L41</f>
        <v/>
      </c>
    </row>
    <row r="67" ht="15" customHeight="1" thickBot="1">
      <c r="B67" s="30">
        <f>CONCATENATE("Coppia UUT [",UUT_EUnits,"]")</f>
        <v/>
      </c>
      <c r="C67" s="371">
        <f>J35</f>
        <v/>
      </c>
      <c r="D67" s="371">
        <f>J36</f>
        <v/>
      </c>
      <c r="E67" s="372">
        <f>J37</f>
        <v/>
      </c>
      <c r="F67" s="372">
        <f>J38</f>
        <v/>
      </c>
      <c r="G67" s="372">
        <f>J39</f>
        <v/>
      </c>
      <c r="H67" s="372">
        <f>J40</f>
        <v/>
      </c>
      <c r="I67" s="34">
        <f>J41</f>
        <v/>
      </c>
    </row>
    <row r="68" ht="15" customHeight="1" thickBot="1"/>
    <row r="69" ht="60" customHeight="1" thickBot="1">
      <c r="B69" s="40" t="inlineStr">
        <is>
          <t>2a Rampa
a gradini</t>
        </is>
      </c>
      <c r="C69" s="37" t="inlineStr">
        <is>
          <t>Set Point
0</t>
        </is>
      </c>
      <c r="D69" s="37" t="inlineStr">
        <is>
          <t>Set Point
1</t>
        </is>
      </c>
      <c r="E69" s="38" t="inlineStr">
        <is>
          <t>Set Point
2</t>
        </is>
      </c>
      <c r="F69" s="37" t="inlineStr">
        <is>
          <t>Set Point
3</t>
        </is>
      </c>
      <c r="G69" s="38" t="inlineStr">
        <is>
          <t>Set Point
4</t>
        </is>
      </c>
      <c r="H69" s="37" t="inlineStr">
        <is>
          <t>Set Point
5</t>
        </is>
      </c>
      <c r="I69" s="39" t="inlineStr">
        <is>
          <t>Set Point
0</t>
        </is>
      </c>
    </row>
    <row r="70" ht="15" customHeight="1" thickTop="1">
      <c r="B70" s="29">
        <f>CONCATENATE("Coppia REF [",EUnits,"]")</f>
        <v/>
      </c>
      <c r="C70" s="373">
        <f>L41</f>
        <v/>
      </c>
      <c r="D70" s="373">
        <f>L42</f>
        <v/>
      </c>
      <c r="E70" s="373">
        <f>L43</f>
        <v/>
      </c>
      <c r="F70" s="376">
        <f>L44</f>
        <v/>
      </c>
      <c r="G70" s="376">
        <f>L45</f>
        <v/>
      </c>
      <c r="H70" s="377">
        <f>L46</f>
        <v/>
      </c>
      <c r="I70" s="375">
        <f>L47</f>
        <v/>
      </c>
    </row>
    <row r="71" ht="15" customHeight="1" thickBot="1">
      <c r="B71" s="30">
        <f>CONCATENATE("Coppia UUT [",UUT_EUnits,"]")</f>
        <v/>
      </c>
      <c r="C71" s="31">
        <f>J41</f>
        <v/>
      </c>
      <c r="D71" s="31">
        <f>J42</f>
        <v/>
      </c>
      <c r="E71" s="31">
        <f>J43</f>
        <v/>
      </c>
      <c r="F71" s="32">
        <f>J44</f>
        <v/>
      </c>
      <c r="G71" s="32">
        <f>J45</f>
        <v/>
      </c>
      <c r="H71" s="33">
        <f>J46</f>
        <v/>
      </c>
      <c r="I71" s="34">
        <f>J47</f>
        <v/>
      </c>
    </row>
    <row r="72" ht="14.4" customHeight="1"/>
    <row r="73" ht="15" customHeight="1" thickBot="1"/>
    <row r="74" ht="15" customHeight="1" thickBot="1">
      <c r="A74" s="439" t="inlineStr">
        <is>
          <t>Q3
Negativo</t>
        </is>
      </c>
      <c r="B74" s="440" t="inlineStr">
        <is>
          <t>3 Steps
Precarico</t>
        </is>
      </c>
      <c r="C74" s="441" t="inlineStr">
        <is>
          <t>Precarico 1</t>
        </is>
      </c>
      <c r="D74" s="518" t="n"/>
      <c r="E74" s="442" t="inlineStr">
        <is>
          <t>Precarico 2</t>
        </is>
      </c>
      <c r="F74" s="519" t="n"/>
      <c r="G74" s="443" t="inlineStr">
        <is>
          <t>Precarico 3</t>
        </is>
      </c>
      <c r="H74" s="520" t="n"/>
    </row>
    <row r="75" ht="15.6" customHeight="1" thickBot="1" thickTop="1">
      <c r="B75" s="521" t="n"/>
      <c r="C75" s="41" t="n">
        <v>0</v>
      </c>
      <c r="D75" s="42">
        <f>C_Tar_min</f>
        <v/>
      </c>
      <c r="E75" s="41" t="n">
        <v>0</v>
      </c>
      <c r="F75" s="43">
        <f>C_Tar_min</f>
        <v/>
      </c>
      <c r="G75" s="44" t="n">
        <v>0</v>
      </c>
      <c r="H75" s="45">
        <f>C_Tar_min</f>
        <v/>
      </c>
    </row>
    <row r="76" ht="15" customHeight="1" thickTop="1">
      <c r="B76" s="46">
        <f>CONCATENATE("Coppia REF [",EUnits,"]")</f>
        <v/>
      </c>
      <c r="C76" s="373">
        <f>L7</f>
        <v/>
      </c>
      <c r="D76" s="373">
        <f>L8</f>
        <v/>
      </c>
      <c r="E76" s="373">
        <f>L9</f>
        <v/>
      </c>
      <c r="F76" s="376">
        <f>L10</f>
        <v/>
      </c>
      <c r="G76" s="377">
        <f>L11</f>
        <v/>
      </c>
      <c r="H76" s="378">
        <f>L12</f>
        <v/>
      </c>
    </row>
    <row r="77" ht="15" customHeight="1" thickBot="1">
      <c r="B77" s="47">
        <f>CONCATENATE("Coppia UUT [",UUT_EUnits,"]")</f>
        <v/>
      </c>
      <c r="C77" s="374">
        <f>J7</f>
        <v/>
      </c>
      <c r="D77" s="374">
        <f>J8</f>
        <v/>
      </c>
      <c r="E77" s="374">
        <f>J9</f>
        <v/>
      </c>
      <c r="F77" s="379">
        <f>J10</f>
        <v/>
      </c>
      <c r="G77" s="380">
        <f>J11</f>
        <v/>
      </c>
      <c r="H77" s="381">
        <f>J12</f>
        <v/>
      </c>
    </row>
    <row r="78" ht="15" customHeight="1" thickBot="1"/>
    <row r="79" ht="60" customHeight="1" thickBot="1">
      <c r="B79" s="48" t="inlineStr">
        <is>
          <t>1a Rampa
a gradini</t>
        </is>
      </c>
      <c r="C79" s="49" t="inlineStr">
        <is>
          <t>Set Point
0</t>
        </is>
      </c>
      <c r="D79" s="49" t="inlineStr">
        <is>
          <t>Set Point
1</t>
        </is>
      </c>
      <c r="E79" s="50" t="inlineStr">
        <is>
          <t>Set Point
2</t>
        </is>
      </c>
      <c r="F79" s="49" t="inlineStr">
        <is>
          <t>Set Point
3</t>
        </is>
      </c>
      <c r="G79" s="50" t="inlineStr">
        <is>
          <t>Set Point
4</t>
        </is>
      </c>
      <c r="H79" s="49" t="inlineStr">
        <is>
          <t>Set Point
5</t>
        </is>
      </c>
      <c r="I79" s="51" t="inlineStr">
        <is>
          <t>Set Point
0</t>
        </is>
      </c>
    </row>
    <row r="80" ht="15" customHeight="1" thickTop="1">
      <c r="B80" s="46">
        <f>CONCATENATE("Coppia REF [",EUnits,"]")</f>
        <v/>
      </c>
      <c r="C80" s="373">
        <f>L13</f>
        <v/>
      </c>
      <c r="D80" s="373">
        <f>L14</f>
        <v/>
      </c>
      <c r="E80" s="373">
        <f>L15</f>
        <v/>
      </c>
      <c r="F80" s="376">
        <f>L16</f>
        <v/>
      </c>
      <c r="G80" s="376">
        <f>L17</f>
        <v/>
      </c>
      <c r="H80" s="377">
        <f>L18</f>
        <v/>
      </c>
      <c r="I80" s="378">
        <f>L19</f>
        <v/>
      </c>
    </row>
    <row r="81" ht="15" customHeight="1" thickBot="1">
      <c r="B81" s="47">
        <f>CONCATENATE("Coppia UUT [",UUT_EUnits,"]")</f>
        <v/>
      </c>
      <c r="C81" s="374">
        <f>J13</f>
        <v/>
      </c>
      <c r="D81" s="374">
        <f>J14</f>
        <v/>
      </c>
      <c r="E81" s="374">
        <f>J15</f>
        <v/>
      </c>
      <c r="F81" s="379">
        <f>J16</f>
        <v/>
      </c>
      <c r="G81" s="379">
        <f>J17</f>
        <v/>
      </c>
      <c r="H81" s="380">
        <f>J18</f>
        <v/>
      </c>
      <c r="I81" s="381">
        <f>J19</f>
        <v/>
      </c>
    </row>
    <row r="82" ht="15" customHeight="1" thickBot="1"/>
    <row r="83" ht="60" customHeight="1" thickBot="1">
      <c r="B83" s="48" t="inlineStr">
        <is>
          <t>2a Rampa
a gradini</t>
        </is>
      </c>
      <c r="C83" s="49" t="inlineStr">
        <is>
          <t>Set Point
0</t>
        </is>
      </c>
      <c r="D83" s="49" t="inlineStr">
        <is>
          <t>Set Point
1</t>
        </is>
      </c>
      <c r="E83" s="50" t="inlineStr">
        <is>
          <t>Set Point
2</t>
        </is>
      </c>
      <c r="F83" s="49" t="inlineStr">
        <is>
          <t>Set Point
3</t>
        </is>
      </c>
      <c r="G83" s="50" t="inlineStr">
        <is>
          <t>Set Point
4</t>
        </is>
      </c>
      <c r="H83" s="49" t="inlineStr">
        <is>
          <t>Set Point
5</t>
        </is>
      </c>
      <c r="I83" s="51" t="inlineStr">
        <is>
          <t>Set Point
0</t>
        </is>
      </c>
    </row>
    <row r="84" ht="15" customHeight="1" thickTop="1">
      <c r="B84" s="46">
        <f>CONCATENATE("Coppia REF [",EUnits,"]")</f>
        <v/>
      </c>
      <c r="C84" s="373">
        <f>L19</f>
        <v/>
      </c>
      <c r="D84" s="373">
        <f>L20</f>
        <v/>
      </c>
      <c r="E84" s="373">
        <f>L21</f>
        <v/>
      </c>
      <c r="F84" s="376">
        <f>L22</f>
        <v/>
      </c>
      <c r="G84" s="376">
        <f>L23</f>
        <v/>
      </c>
      <c r="H84" s="377">
        <f>L24</f>
        <v/>
      </c>
      <c r="I84" s="378">
        <f>L25</f>
        <v/>
      </c>
    </row>
    <row r="85" ht="15" customHeight="1" thickBot="1">
      <c r="B85" s="47">
        <f>CONCATENATE("Coppia UUT [",UUT_EUnits,"]")</f>
        <v/>
      </c>
      <c r="C85" s="374">
        <f>J19</f>
        <v/>
      </c>
      <c r="D85" s="374">
        <f>J20</f>
        <v/>
      </c>
      <c r="E85" s="374">
        <f>J21</f>
        <v/>
      </c>
      <c r="F85" s="379">
        <f>J22</f>
        <v/>
      </c>
      <c r="G85" s="379">
        <f>J23</f>
        <v/>
      </c>
      <c r="H85" s="380">
        <f>J24</f>
        <v/>
      </c>
      <c r="I85" s="381">
        <f>J25</f>
        <v/>
      </c>
    </row>
  </sheetData>
  <mergeCells count="12">
    <mergeCell ref="C60:D60"/>
    <mergeCell ref="B74:B75"/>
    <mergeCell ref="B50:H51"/>
    <mergeCell ref="B60:B61"/>
    <mergeCell ref="G60:H60"/>
    <mergeCell ref="A74:A85"/>
    <mergeCell ref="C74:D74"/>
    <mergeCell ref="A60:A71"/>
    <mergeCell ref="E60:F60"/>
    <mergeCell ref="E74:F74"/>
    <mergeCell ref="G74:H74"/>
    <mergeCell ref="K50:Q51"/>
  </mergeCells>
  <conditionalFormatting sqref="C62:H63">
    <cfRule type="cellIs" priority="7" operator="lessThan" dxfId="1">
      <formula>0</formula>
    </cfRule>
    <cfRule type="cellIs" priority="8" operator="greaterThanOrEqual" dxfId="0">
      <formula>0</formula>
    </cfRule>
  </conditionalFormatting>
  <conditionalFormatting sqref="C76:H77">
    <cfRule type="cellIs" priority="13" operator="lessThan" dxfId="1">
      <formula>0</formula>
    </cfRule>
    <cfRule type="cellIs" priority="14" operator="greaterThanOrEqual" dxfId="0">
      <formula>0</formula>
    </cfRule>
  </conditionalFormatting>
  <conditionalFormatting sqref="C66:I67">
    <cfRule type="cellIs" priority="1" operator="lessThan" dxfId="1">
      <formula>0</formula>
    </cfRule>
    <cfRule type="cellIs" priority="2" operator="greaterThanOrEqual" dxfId="0">
      <formula>0</formula>
    </cfRule>
  </conditionalFormatting>
  <conditionalFormatting sqref="C70:I71">
    <cfRule type="cellIs" priority="5" operator="lessThan" dxfId="1">
      <formula>0</formula>
    </cfRule>
    <cfRule type="cellIs" priority="6" operator="greaterThanOrEqual" dxfId="0">
      <formula>0</formula>
    </cfRule>
  </conditionalFormatting>
  <conditionalFormatting sqref="C80:I81">
    <cfRule type="cellIs" priority="11" operator="lessThan" dxfId="1">
      <formula>0</formula>
    </cfRule>
    <cfRule type="cellIs" priority="12" operator="greaterThanOrEqual" dxfId="0">
      <formula>0</formula>
    </cfRule>
  </conditionalFormatting>
  <conditionalFormatting sqref="C84:I85">
    <cfRule type="cellIs" priority="3" operator="lessThan" dxfId="1">
      <formula>0</formula>
    </cfRule>
    <cfRule type="cellIs" priority="4" operator="greaterThanOrEqual" dxfId="0">
      <formula>0</formula>
    </cfRule>
  </conditionalFormatting>
  <pageMargins left="0" right="0" top="0.3937000000000001" bottom="0.3937000000000001" header="0" footer="0"/>
  <headerFooter>
    <oddHeader>&amp;C&amp;A</oddHeader>
    <oddFooter>&amp;CPagina &amp;P</oddFooter>
    <evenHeader/>
    <evenFooter/>
    <firstHeader/>
    <firstFooter/>
  </headerFooter>
</worksheet>
</file>

<file path=xl/worksheets/sheet2.xml><?xml version="1.0" encoding="utf-8"?>
<worksheet xmlns:r="http://schemas.openxmlformats.org/officeDocument/2006/relationships" xmlns="http://schemas.openxmlformats.org/spreadsheetml/2006/main">
  <sheetPr>
    <tabColor rgb="FFFFFFFF"/>
    <outlinePr summaryBelow="1" summaryRight="1"/>
    <pageSetUpPr/>
  </sheetPr>
  <dimension ref="A1:S79"/>
  <sheetViews>
    <sheetView tabSelected="1" zoomScale="85" zoomScaleNormal="85" workbookViewId="0">
      <selection activeCell="B75" sqref="B75"/>
    </sheetView>
  </sheetViews>
  <sheetFormatPr baseColWidth="8" defaultColWidth="8.5546875" defaultRowHeight="14.4" outlineLevelRow="1"/>
  <cols>
    <col width="25.88671875" customWidth="1" min="1" max="1"/>
    <col width="22" customWidth="1" min="2" max="2"/>
    <col width="14.44140625" customWidth="1" min="3" max="9"/>
    <col width="25.6640625" customWidth="1" min="11" max="11"/>
    <col width="61.6640625" customWidth="1" min="13" max="13"/>
  </cols>
  <sheetData>
    <row r="1" ht="21" customHeight="1">
      <c r="A1" s="1" t="inlineStr">
        <is>
          <t>0. info presente documento</t>
        </is>
      </c>
      <c r="B1" s="2" t="n"/>
      <c r="C1" s="2" t="n"/>
      <c r="D1" s="2" t="n"/>
      <c r="E1" s="2" t="n"/>
      <c r="F1" s="2" t="n"/>
      <c r="G1" s="2" t="n"/>
      <c r="H1" s="2" t="n"/>
      <c r="I1" s="2" t="n"/>
      <c r="J1" s="2" t="n"/>
      <c r="K1" s="2" t="n"/>
      <c r="L1" s="2" t="n"/>
      <c r="M1" s="2" t="n"/>
      <c r="N1" s="2" t="n"/>
      <c r="O1" s="2" t="n"/>
      <c r="P1" s="2" t="n"/>
      <c r="Q1" s="2" t="n"/>
      <c r="R1" s="2" t="n"/>
      <c r="S1" s="2" t="n"/>
    </row>
    <row r="2">
      <c r="A2" s="3" t="inlineStr">
        <is>
          <t>Titolo:</t>
        </is>
      </c>
      <c r="B2" t="inlineStr">
        <is>
          <t>Esegue il calcolo dell'errore dell'installazione in modo semiautomatico e produce il rapporto di Taratura</t>
        </is>
      </c>
    </row>
    <row r="3">
      <c r="A3" t="inlineStr">
        <is>
          <t>Rif interno</t>
        </is>
      </c>
    </row>
    <row r="5">
      <c r="A5" s="3" t="inlineStr">
        <is>
          <t>Autore</t>
        </is>
      </c>
      <c r="B5" s="3" t="inlineStr">
        <is>
          <t>Data</t>
        </is>
      </c>
      <c r="C5" s="3" t="inlineStr">
        <is>
          <t>Versione</t>
        </is>
      </c>
      <c r="D5" s="3" t="inlineStr">
        <is>
          <t>Revisore</t>
        </is>
      </c>
      <c r="E5" s="3" t="inlineStr">
        <is>
          <t>Note</t>
        </is>
      </c>
      <c r="F5" s="4" t="n"/>
    </row>
    <row r="6">
      <c r="A6" s="151" t="inlineStr">
        <is>
          <t>L.Mosenich</t>
        </is>
      </c>
      <c r="B6" s="522" t="n">
        <v>45323</v>
      </c>
      <c r="C6" s="438" t="n">
        <v>7</v>
      </c>
      <c r="D6" s="438" t="n"/>
      <c r="E6" s="151" t="inlineStr">
        <is>
          <t>prima versione per automazione processo popolazione dati secondo curva Euramet e stesura Report Taratura</t>
        </is>
      </c>
    </row>
    <row r="7">
      <c r="A7" t="inlineStr">
        <is>
          <t>D. Salvalaggio</t>
        </is>
      </c>
      <c r="B7" s="436" t="n">
        <v>45482</v>
      </c>
      <c r="C7" t="n">
        <v>9</v>
      </c>
      <c r="E7" t="inlineStr">
        <is>
          <t>revisione</t>
        </is>
      </c>
    </row>
    <row r="9">
      <c r="A9" s="6" t="inlineStr">
        <is>
          <t>Campi da inizializzare</t>
        </is>
      </c>
    </row>
    <row r="10" ht="21" customHeight="1">
      <c r="A10" s="1" t="inlineStr">
        <is>
          <t>1. Inzializzazione parametri acquisitore usato per acquisizione dati taratura</t>
        </is>
      </c>
      <c r="B10" s="2" t="n"/>
      <c r="C10" s="2" t="n"/>
      <c r="D10" s="2" t="n"/>
      <c r="E10" s="2" t="n"/>
      <c r="F10" s="2" t="n"/>
      <c r="G10" s="2" t="n"/>
      <c r="H10" s="2" t="n"/>
      <c r="I10" s="2" t="n"/>
      <c r="J10" s="2" t="n"/>
      <c r="K10" s="2" t="n"/>
      <c r="L10" s="2" t="n"/>
      <c r="M10" s="2" t="n"/>
      <c r="N10" s="2" t="n"/>
      <c r="O10" s="2" t="n"/>
      <c r="P10" s="2" t="n"/>
      <c r="Q10" s="2" t="n"/>
      <c r="R10" s="2" t="n"/>
      <c r="S10" s="2" t="n"/>
    </row>
    <row r="11">
      <c r="A11" t="inlineStr">
        <is>
          <t>Unità ingegneristica di misura</t>
        </is>
      </c>
      <c r="B11" s="7" t="inlineStr">
        <is>
          <t>Nm</t>
        </is>
      </c>
      <c r="E11" s="8" t="inlineStr">
        <is>
          <t>variabili</t>
        </is>
      </c>
    </row>
    <row r="12">
      <c r="A12" t="inlineStr">
        <is>
          <t>Unità ingegneristica UUT</t>
        </is>
      </c>
      <c r="B12" s="7" t="inlineStr">
        <is>
          <t>Nm</t>
        </is>
      </c>
      <c r="E12" s="9" t="inlineStr">
        <is>
          <t>N</t>
        </is>
      </c>
    </row>
    <row r="13">
      <c r="A13">
        <f>CONCATENATE("Scale [",UUT_EUnits,"/V]")</f>
        <v/>
      </c>
      <c r="B13" s="6" t="n">
        <v>1</v>
      </c>
      <c r="E13" s="9" t="inlineStr">
        <is>
          <t>Nm</t>
        </is>
      </c>
    </row>
    <row r="14">
      <c r="A14" t="inlineStr">
        <is>
          <t>Offset [V]</t>
        </is>
      </c>
      <c r="B14" s="6" t="n">
        <v>2.5</v>
      </c>
      <c r="E14" s="10" t="inlineStr">
        <is>
          <t>V</t>
        </is>
      </c>
    </row>
    <row r="15">
      <c r="A15">
        <f>CONCATENATE("Offset [",UUT_EUnits,"]")</f>
        <v/>
      </c>
      <c r="B15">
        <f>-B13*B14</f>
        <v/>
      </c>
    </row>
    <row r="17" ht="21" customHeight="1">
      <c r="A17" s="1" t="inlineStr">
        <is>
          <t>2. Inzializzazione range di taratura</t>
        </is>
      </c>
      <c r="B17" s="2" t="n"/>
      <c r="C17" s="2" t="n"/>
      <c r="D17" s="2" t="n"/>
      <c r="E17" s="2" t="n"/>
      <c r="F17" s="2" t="n"/>
      <c r="G17" s="2" t="n"/>
      <c r="H17" s="2" t="n"/>
      <c r="I17" s="2" t="n"/>
      <c r="J17" s="2" t="n"/>
      <c r="K17" s="2" t="n"/>
      <c r="L17" s="2" t="n"/>
      <c r="M17" s="2" t="n"/>
      <c r="N17" s="2" t="n"/>
      <c r="O17" s="2" t="n"/>
      <c r="P17" s="2" t="n"/>
      <c r="Q17" s="2" t="n"/>
      <c r="R17" s="2" t="n"/>
      <c r="S17" s="2" t="n"/>
    </row>
    <row r="18" ht="33.75" customHeight="1">
      <c r="A18" t="inlineStr">
        <is>
          <t>CASO COPPIA SIMMETRICA</t>
        </is>
      </c>
      <c r="D18" s="452" t="inlineStr">
        <is>
          <t>Quadrante 1
POSITIVO</t>
        </is>
      </c>
      <c r="E18" s="523" t="n"/>
      <c r="F18" s="11" t="n"/>
      <c r="G18" s="453" t="inlineStr">
        <is>
          <t>Quadrante 3
NEGATIVO</t>
        </is>
      </c>
      <c r="H18" s="520" t="n"/>
    </row>
    <row r="19">
      <c r="A19" s="12" t="inlineStr">
        <is>
          <t>Input values</t>
        </is>
      </c>
      <c r="D19" s="454" t="inlineStr">
        <is>
          <t>Set points di taratura</t>
        </is>
      </c>
      <c r="E19" s="524" t="n"/>
      <c r="G19" s="455" t="inlineStr">
        <is>
          <t>Set points di taratura</t>
        </is>
      </c>
      <c r="H19" s="525" t="n"/>
    </row>
    <row r="20">
      <c r="A20">
        <f>CONCATENATE("Coppia Taratura |MAX| [",EUnits,"]")</f>
        <v/>
      </c>
      <c r="B20" s="6" t="n">
        <v>2000</v>
      </c>
      <c r="D20" s="13" t="inlineStr">
        <is>
          <t>Set Point 0</t>
        </is>
      </c>
      <c r="E20" s="14" t="n">
        <v>0</v>
      </c>
      <c r="G20" s="15" t="inlineStr">
        <is>
          <t>Set Point 0</t>
        </is>
      </c>
      <c r="H20" s="16" t="n">
        <v>0</v>
      </c>
    </row>
    <row r="21">
      <c r="A21" t="inlineStr">
        <is>
          <t>Set points #</t>
        </is>
      </c>
      <c r="B21" s="17" t="n">
        <v>5</v>
      </c>
      <c r="D21" s="13" t="inlineStr">
        <is>
          <t>Set Point 1</t>
        </is>
      </c>
      <c r="E21" s="18">
        <f>B22</f>
        <v/>
      </c>
      <c r="G21" s="15" t="inlineStr">
        <is>
          <t>Set Point 1</t>
        </is>
      </c>
      <c r="H21" s="19">
        <f>-E21</f>
        <v/>
      </c>
    </row>
    <row r="22">
      <c r="A22">
        <f>CONCATENATE("Step [",EUnits,"]")</f>
        <v/>
      </c>
      <c r="B22" s="17">
        <f>(B20)/B21</f>
        <v/>
      </c>
      <c r="D22" s="13" t="inlineStr">
        <is>
          <t>Set Point 2</t>
        </is>
      </c>
      <c r="E22" s="18">
        <f>E21+$B$22</f>
        <v/>
      </c>
      <c r="G22" s="15" t="inlineStr">
        <is>
          <t>Set Point 2</t>
        </is>
      </c>
      <c r="H22" s="19">
        <f>-E22</f>
        <v/>
      </c>
    </row>
    <row r="23">
      <c r="D23" s="13" t="inlineStr">
        <is>
          <t>Set Point 3</t>
        </is>
      </c>
      <c r="E23" s="18">
        <f>E22+$B$22</f>
        <v/>
      </c>
      <c r="G23" s="15" t="inlineStr">
        <is>
          <t>Set Point 3</t>
        </is>
      </c>
      <c r="H23" s="19">
        <f>-E23</f>
        <v/>
      </c>
    </row>
    <row r="24">
      <c r="A24" t="inlineStr">
        <is>
          <t>Coppia Taratura MAX</t>
        </is>
      </c>
      <c r="B24">
        <f>B20</f>
        <v/>
      </c>
      <c r="D24" s="13" t="inlineStr">
        <is>
          <t>Set Point 4</t>
        </is>
      </c>
      <c r="E24" s="18">
        <f>E23+$B$22</f>
        <v/>
      </c>
      <c r="G24" s="15" t="inlineStr">
        <is>
          <t>Set Point 4</t>
        </is>
      </c>
      <c r="H24" s="19">
        <f>-E24</f>
        <v/>
      </c>
    </row>
    <row r="25">
      <c r="A25" t="inlineStr">
        <is>
          <t>Coppia Taratura min</t>
        </is>
      </c>
      <c r="B25">
        <f>-B20</f>
        <v/>
      </c>
      <c r="D25" s="20" t="inlineStr">
        <is>
          <t>Set Point 5</t>
        </is>
      </c>
      <c r="E25" s="21">
        <f>E24+$B$22</f>
        <v/>
      </c>
      <c r="G25" s="22" t="inlineStr">
        <is>
          <t>Set Point 5</t>
        </is>
      </c>
      <c r="H25" s="23">
        <f>-E25</f>
        <v/>
      </c>
    </row>
    <row r="27" ht="21" customHeight="1">
      <c r="A27" s="1" t="inlineStr">
        <is>
          <t>3. Inserimento dati di taratura acquisiti</t>
        </is>
      </c>
      <c r="B27" s="2" t="n"/>
      <c r="C27" s="2" t="n"/>
      <c r="D27" s="2" t="n"/>
      <c r="E27" s="2" t="n"/>
      <c r="F27" s="2" t="n"/>
      <c r="G27" s="2" t="n"/>
      <c r="H27" s="2" t="n"/>
      <c r="I27" s="2" t="n"/>
      <c r="J27" s="2" t="n"/>
      <c r="K27" s="2" t="n"/>
      <c r="L27" s="2" t="n"/>
      <c r="M27" s="2" t="n"/>
      <c r="N27" s="2" t="n"/>
      <c r="O27" s="2" t="n"/>
      <c r="P27" s="2" t="n"/>
      <c r="Q27" s="2" t="n"/>
      <c r="R27" s="2" t="n"/>
      <c r="S27" s="2" t="n"/>
    </row>
    <row r="28" outlineLevel="1">
      <c r="A28" t="inlineStr">
        <is>
          <t>I dati da inserie qui sotto devono derivare da punti stazionari con gli steps di carico imposti (da inserire nota su cifre significa post TO DO)</t>
        </is>
      </c>
      <c r="F28" s="24" t="n"/>
      <c r="K28" s="24" t="n"/>
      <c r="M28" s="25" t="inlineStr">
        <is>
          <t>TO DO: analisi sensibiltà sulla sensitività per espressione cifre significative</t>
        </is>
      </c>
      <c r="P28" s="24" t="n"/>
    </row>
    <row r="29" outlineLevel="1">
      <c r="F29" s="24" t="n"/>
      <c r="K29" s="24" t="n"/>
      <c r="P29" s="24" t="n"/>
    </row>
    <row r="30" outlineLevel="1" ht="18.75" customHeight="1">
      <c r="A30" s="446" t="inlineStr">
        <is>
          <t>Q1
Positivo</t>
        </is>
      </c>
      <c r="B30" s="447" t="inlineStr">
        <is>
          <t>3 Steps
Precarico</t>
        </is>
      </c>
      <c r="C30" s="448" t="inlineStr">
        <is>
          <t>Precarico 1</t>
        </is>
      </c>
      <c r="D30" s="514" t="n"/>
      <c r="E30" s="449" t="inlineStr">
        <is>
          <t>Precarico 2</t>
        </is>
      </c>
      <c r="F30" s="515" t="n"/>
      <c r="G30" s="450" t="inlineStr">
        <is>
          <t>Precarico 3</t>
        </is>
      </c>
      <c r="H30" s="516" t="n"/>
    </row>
    <row r="31" outlineLevel="1" ht="18.75" customHeight="1">
      <c r="B31" s="517" t="n"/>
      <c r="C31" s="26" t="n">
        <v>0</v>
      </c>
      <c r="D31" s="27">
        <f>C_Tar_max</f>
        <v/>
      </c>
      <c r="E31" s="26" t="n">
        <v>0</v>
      </c>
      <c r="F31" s="27">
        <f>C_Tar_max</f>
        <v/>
      </c>
      <c r="G31" s="26" t="n">
        <v>0</v>
      </c>
      <c r="H31" s="28">
        <f>C_Tar_max</f>
        <v/>
      </c>
    </row>
    <row r="32" outlineLevel="1">
      <c r="B32" s="29">
        <f>CONCATENATE("Coppia REF [",EUnits,"]")</f>
        <v/>
      </c>
      <c r="C32" s="373">
        <f>Euramet!C62</f>
        <v/>
      </c>
      <c r="D32" s="373">
        <f>Euramet!D62</f>
        <v/>
      </c>
      <c r="E32" s="373">
        <f>Euramet!E62</f>
        <v/>
      </c>
      <c r="F32" s="373">
        <f>Euramet!F62</f>
        <v/>
      </c>
      <c r="G32" s="373">
        <f>Euramet!G62</f>
        <v/>
      </c>
      <c r="H32" s="373">
        <f>Euramet!H62</f>
        <v/>
      </c>
    </row>
    <row r="33" outlineLevel="1">
      <c r="B33" s="30">
        <f>CONCATENATE("Coppia UUT [",UUT_EUnits,"]")</f>
        <v/>
      </c>
      <c r="C33" s="373">
        <f>Euramet!C63</f>
        <v/>
      </c>
      <c r="D33" s="373">
        <f>Euramet!D63</f>
        <v/>
      </c>
      <c r="E33" s="373">
        <f>Euramet!E63</f>
        <v/>
      </c>
      <c r="F33" s="373">
        <f>Euramet!F63</f>
        <v/>
      </c>
      <c r="G33" s="373">
        <f>Euramet!G63</f>
        <v/>
      </c>
      <c r="H33" s="373">
        <f>Euramet!H63</f>
        <v/>
      </c>
    </row>
    <row r="34" outlineLevel="1">
      <c r="B34" s="35" t="n"/>
    </row>
    <row r="35" outlineLevel="1" ht="39.75" customHeight="1">
      <c r="B35" s="36" t="inlineStr">
        <is>
          <t>1a Rampa
a gradini</t>
        </is>
      </c>
      <c r="C35" s="37" t="inlineStr">
        <is>
          <t>Set Point
0</t>
        </is>
      </c>
      <c r="D35" s="37" t="inlineStr">
        <is>
          <t>Set Point
1</t>
        </is>
      </c>
      <c r="E35" s="38" t="inlineStr">
        <is>
          <t>Set Point
2</t>
        </is>
      </c>
      <c r="F35" s="37" t="inlineStr">
        <is>
          <t>Set Point
3</t>
        </is>
      </c>
      <c r="G35" s="38" t="inlineStr">
        <is>
          <t>Set Point
4</t>
        </is>
      </c>
      <c r="H35" s="37" t="inlineStr">
        <is>
          <t>Set Point
5</t>
        </is>
      </c>
      <c r="I35" s="39" t="inlineStr">
        <is>
          <t>Set Point
0</t>
        </is>
      </c>
    </row>
    <row r="36" outlineLevel="1">
      <c r="B36" s="29">
        <f>CONCATENATE("Coppia REF [",EUnits,"]")</f>
        <v/>
      </c>
      <c r="C36" s="373">
        <f>Euramet!C66</f>
        <v/>
      </c>
      <c r="D36" s="373">
        <f>Euramet!D66</f>
        <v/>
      </c>
      <c r="E36" s="373">
        <f>Euramet!E66</f>
        <v/>
      </c>
      <c r="F36" s="373">
        <f>Euramet!F66</f>
        <v/>
      </c>
      <c r="G36" s="373">
        <f>Euramet!G66</f>
        <v/>
      </c>
      <c r="H36" s="373">
        <f>Euramet!H66</f>
        <v/>
      </c>
      <c r="I36" s="373">
        <f>Euramet!I66</f>
        <v/>
      </c>
    </row>
    <row r="37" outlineLevel="1">
      <c r="B37" s="30">
        <f>CONCATENATE("Coppia UUT [",UUT_EUnits,"]")</f>
        <v/>
      </c>
      <c r="C37" s="373">
        <f>Euramet!C67</f>
        <v/>
      </c>
      <c r="D37" s="373">
        <f>Euramet!D67</f>
        <v/>
      </c>
      <c r="E37" s="373">
        <f>Euramet!E67</f>
        <v/>
      </c>
      <c r="F37" s="373">
        <f>Euramet!F67</f>
        <v/>
      </c>
      <c r="G37" s="373">
        <f>Euramet!G67</f>
        <v/>
      </c>
      <c r="H37" s="373">
        <f>Euramet!H67</f>
        <v/>
      </c>
      <c r="I37" s="373">
        <f>Euramet!I67</f>
        <v/>
      </c>
    </row>
    <row r="38" outlineLevel="1"/>
    <row r="39" outlineLevel="1" ht="39.75" customHeight="1">
      <c r="B39" s="40" t="inlineStr">
        <is>
          <t>2a Rampa
a gradini</t>
        </is>
      </c>
      <c r="C39" s="37" t="inlineStr">
        <is>
          <t>Set Point
0</t>
        </is>
      </c>
      <c r="D39" s="37" t="inlineStr">
        <is>
          <t>Set Point
1</t>
        </is>
      </c>
      <c r="E39" s="38" t="inlineStr">
        <is>
          <t>Set Point
2</t>
        </is>
      </c>
      <c r="F39" s="37" t="inlineStr">
        <is>
          <t>Set Point
3</t>
        </is>
      </c>
      <c r="G39" s="38" t="inlineStr">
        <is>
          <t>Set Point
4</t>
        </is>
      </c>
      <c r="H39" s="37" t="inlineStr">
        <is>
          <t>Set Point
5</t>
        </is>
      </c>
      <c r="I39" s="39" t="inlineStr">
        <is>
          <t>Set Point
0</t>
        </is>
      </c>
    </row>
    <row r="40" outlineLevel="1">
      <c r="B40" s="29">
        <f>CONCATENATE("Coppia REF [",EUnits,"]")</f>
        <v/>
      </c>
      <c r="C40" s="373">
        <f>Euramet!C70</f>
        <v/>
      </c>
      <c r="D40" s="373">
        <f>Euramet!D70</f>
        <v/>
      </c>
      <c r="E40" s="373">
        <f>Euramet!E70</f>
        <v/>
      </c>
      <c r="F40" s="373">
        <f>Euramet!F70</f>
        <v/>
      </c>
      <c r="G40" s="373">
        <f>Euramet!G70</f>
        <v/>
      </c>
      <c r="H40" s="373">
        <f>Euramet!H70</f>
        <v/>
      </c>
      <c r="I40" s="373">
        <f>Euramet!I70</f>
        <v/>
      </c>
    </row>
    <row r="41" outlineLevel="1">
      <c r="B41" s="30">
        <f>CONCATENATE("Coppia UUT [",UUT_EUnits,"]")</f>
        <v/>
      </c>
      <c r="C41" s="373">
        <f>Euramet!C71</f>
        <v/>
      </c>
      <c r="D41" s="373">
        <f>Euramet!D71</f>
        <v/>
      </c>
      <c r="E41" s="373">
        <f>Euramet!E71</f>
        <v/>
      </c>
      <c r="F41" s="373">
        <f>Euramet!F71</f>
        <v/>
      </c>
      <c r="G41" s="373">
        <f>Euramet!G71</f>
        <v/>
      </c>
      <c r="H41" s="373">
        <f>Euramet!H71</f>
        <v/>
      </c>
      <c r="I41" s="373">
        <f>Euramet!I71</f>
        <v/>
      </c>
    </row>
    <row r="42" outlineLevel="1"/>
    <row r="43" outlineLevel="1"/>
    <row r="44" outlineLevel="1" ht="21" customHeight="1">
      <c r="A44" s="439" t="inlineStr">
        <is>
          <t>Q3
Negativo</t>
        </is>
      </c>
      <c r="B44" s="440" t="inlineStr">
        <is>
          <t>3 Steps
Precarico</t>
        </is>
      </c>
      <c r="C44" s="441" t="inlineStr">
        <is>
          <t>Precarico 1</t>
        </is>
      </c>
      <c r="D44" s="518" t="n"/>
      <c r="E44" s="442" t="inlineStr">
        <is>
          <t>Precarico 2</t>
        </is>
      </c>
      <c r="F44" s="519" t="n"/>
      <c r="G44" s="443" t="inlineStr">
        <is>
          <t>Precarico 3</t>
        </is>
      </c>
      <c r="H44" s="520" t="n"/>
    </row>
    <row r="45" outlineLevel="1" ht="21" customHeight="1">
      <c r="B45" s="521" t="n"/>
      <c r="C45" s="41" t="n">
        <v>0</v>
      </c>
      <c r="D45" s="42">
        <f>C_Tar_min</f>
        <v/>
      </c>
      <c r="E45" s="41" t="n">
        <v>0</v>
      </c>
      <c r="F45" s="43">
        <f>C_Tar_min</f>
        <v/>
      </c>
      <c r="G45" s="44" t="n">
        <v>0</v>
      </c>
      <c r="H45" s="45">
        <f>C_Tar_min</f>
        <v/>
      </c>
    </row>
    <row r="46" outlineLevel="1">
      <c r="B46" s="46">
        <f>CONCATENATE("Coppia REF [",EUnits,"]")</f>
        <v/>
      </c>
      <c r="C46" s="373">
        <f>Euramet!C76</f>
        <v/>
      </c>
      <c r="D46" s="373">
        <f>Euramet!D76</f>
        <v/>
      </c>
      <c r="E46" s="373">
        <f>Euramet!E76</f>
        <v/>
      </c>
      <c r="F46" s="373">
        <f>Euramet!F76</f>
        <v/>
      </c>
      <c r="G46" s="373">
        <f>Euramet!G76</f>
        <v/>
      </c>
      <c r="H46" s="373">
        <f>Euramet!H76</f>
        <v/>
      </c>
    </row>
    <row r="47" outlineLevel="1">
      <c r="B47" s="47">
        <f>CONCATENATE("Coppia UUT [",UUT_EUnits,"]")</f>
        <v/>
      </c>
      <c r="C47" s="373">
        <f>Euramet!C77</f>
        <v/>
      </c>
      <c r="D47" s="373">
        <f>Euramet!D77</f>
        <v/>
      </c>
      <c r="E47" s="373">
        <f>Euramet!E77</f>
        <v/>
      </c>
      <c r="F47" s="373">
        <f>Euramet!F77</f>
        <v/>
      </c>
      <c r="G47" s="373">
        <f>Euramet!G77</f>
        <v/>
      </c>
      <c r="H47" s="373">
        <f>Euramet!H77</f>
        <v/>
      </c>
    </row>
    <row r="48" outlineLevel="1"/>
    <row r="49" outlineLevel="1" ht="41.4" customHeight="1">
      <c r="B49" s="48" t="inlineStr">
        <is>
          <t>1a Rampa
a gradini</t>
        </is>
      </c>
      <c r="C49" s="49" t="inlineStr">
        <is>
          <t>Set Point
0</t>
        </is>
      </c>
      <c r="D49" s="49" t="inlineStr">
        <is>
          <t>Set Point
1</t>
        </is>
      </c>
      <c r="E49" s="50" t="inlineStr">
        <is>
          <t>Set Point
2</t>
        </is>
      </c>
      <c r="F49" s="49" t="inlineStr">
        <is>
          <t>Set Point
3</t>
        </is>
      </c>
      <c r="G49" s="50" t="inlineStr">
        <is>
          <t>Set Point
4</t>
        </is>
      </c>
      <c r="H49" s="49" t="inlineStr">
        <is>
          <t>Set Point
5</t>
        </is>
      </c>
      <c r="I49" s="51" t="inlineStr">
        <is>
          <t>Set Point
0</t>
        </is>
      </c>
    </row>
    <row r="50" outlineLevel="1">
      <c r="B50" s="46">
        <f>CONCATENATE("Coppia REF [",EUnits,"]")</f>
        <v/>
      </c>
      <c r="C50" s="373">
        <f>Euramet!C80</f>
        <v/>
      </c>
      <c r="D50" s="373">
        <f>Euramet!D80</f>
        <v/>
      </c>
      <c r="E50" s="373">
        <f>Euramet!E80</f>
        <v/>
      </c>
      <c r="F50" s="373">
        <f>Euramet!F80</f>
        <v/>
      </c>
      <c r="G50" s="373">
        <f>Euramet!G80</f>
        <v/>
      </c>
      <c r="H50" s="373">
        <f>Euramet!H80</f>
        <v/>
      </c>
      <c r="I50" s="373">
        <f>Euramet!I80</f>
        <v/>
      </c>
    </row>
    <row r="51" outlineLevel="1">
      <c r="B51" s="47">
        <f>CONCATENATE("Coppia UUT [",UUT_EUnits,"]")</f>
        <v/>
      </c>
      <c r="C51" s="373">
        <f>Euramet!C81</f>
        <v/>
      </c>
      <c r="D51" s="373">
        <f>Euramet!D81</f>
        <v/>
      </c>
      <c r="E51" s="373">
        <f>Euramet!E81</f>
        <v/>
      </c>
      <c r="F51" s="373">
        <f>Euramet!F81</f>
        <v/>
      </c>
      <c r="G51" s="373">
        <f>Euramet!G81</f>
        <v/>
      </c>
      <c r="H51" s="373">
        <f>Euramet!H81</f>
        <v/>
      </c>
      <c r="I51" s="373">
        <f>Euramet!I81</f>
        <v/>
      </c>
    </row>
    <row r="52" outlineLevel="1"/>
    <row r="53" outlineLevel="1" ht="41.4" customHeight="1">
      <c r="B53" s="48" t="inlineStr">
        <is>
          <t>2a Rampa
a gradini</t>
        </is>
      </c>
      <c r="C53" s="49" t="inlineStr">
        <is>
          <t>Set Point
0</t>
        </is>
      </c>
      <c r="D53" s="49" t="inlineStr">
        <is>
          <t>Set Point
1</t>
        </is>
      </c>
      <c r="E53" s="50" t="inlineStr">
        <is>
          <t>Set Point
2</t>
        </is>
      </c>
      <c r="F53" s="49" t="inlineStr">
        <is>
          <t>Set Point
3</t>
        </is>
      </c>
      <c r="G53" s="50" t="inlineStr">
        <is>
          <t>Set Point
4</t>
        </is>
      </c>
      <c r="H53" s="49" t="inlineStr">
        <is>
          <t>Set Point
5</t>
        </is>
      </c>
      <c r="I53" s="51" t="inlineStr">
        <is>
          <t>Set Point
0</t>
        </is>
      </c>
    </row>
    <row r="54" outlineLevel="1">
      <c r="B54" s="46">
        <f>CONCATENATE("Coppia REF [",EUnits,"]")</f>
        <v/>
      </c>
      <c r="C54" s="373">
        <f>Euramet!C84</f>
        <v/>
      </c>
      <c r="D54" s="373">
        <f>Euramet!D84</f>
        <v/>
      </c>
      <c r="E54" s="373">
        <f>Euramet!E84</f>
        <v/>
      </c>
      <c r="F54" s="373">
        <f>Euramet!F84</f>
        <v/>
      </c>
      <c r="G54" s="373">
        <f>Euramet!G84</f>
        <v/>
      </c>
      <c r="H54" s="373">
        <f>Euramet!H84</f>
        <v/>
      </c>
      <c r="I54" s="373">
        <f>Euramet!I84</f>
        <v/>
      </c>
    </row>
    <row r="55" outlineLevel="1">
      <c r="B55" s="47">
        <f>CONCATENATE("Coppia UUT [",UUT_EUnits,"]")</f>
        <v/>
      </c>
      <c r="C55" s="373">
        <f>Euramet!C85</f>
        <v/>
      </c>
      <c r="D55" s="373">
        <f>Euramet!D85</f>
        <v/>
      </c>
      <c r="E55" s="373">
        <f>Euramet!E85</f>
        <v/>
      </c>
      <c r="F55" s="373">
        <f>Euramet!F85</f>
        <v/>
      </c>
      <c r="G55" s="373">
        <f>Euramet!G85</f>
        <v/>
      </c>
      <c r="H55" s="373">
        <f>Euramet!H85</f>
        <v/>
      </c>
      <c r="I55" s="373">
        <f>Euramet!I85</f>
        <v/>
      </c>
    </row>
    <row r="56" outlineLevel="1"/>
    <row r="57" outlineLevel="1">
      <c r="A57" s="451" t="inlineStr">
        <is>
          <t>Rumore dello zero</t>
        </is>
      </c>
      <c r="B57" s="402" t="inlineStr">
        <is>
          <t>Vpp [mV]</t>
        </is>
      </c>
      <c r="C57" s="402" t="n">
        <v>5</v>
      </c>
    </row>
    <row r="58" outlineLevel="1" ht="15.6" customHeight="1">
      <c r="B58" s="402" t="inlineStr">
        <is>
          <t>Noisepp / FS</t>
        </is>
      </c>
      <c r="C58" s="403">
        <f>C57/4000</f>
        <v/>
      </c>
    </row>
    <row r="59" outlineLevel="1">
      <c r="B59" s="402" t="n"/>
      <c r="C59" s="402" t="n"/>
    </row>
    <row r="60" outlineLevel="1"/>
    <row r="62" ht="21" customHeight="1">
      <c r="A62" s="1" t="inlineStr">
        <is>
          <t>4. Variabili per il Report di Taratura</t>
        </is>
      </c>
      <c r="B62" s="2" t="n"/>
      <c r="C62" s="2" t="n"/>
      <c r="D62" s="2" t="n"/>
      <c r="E62" s="2" t="n"/>
      <c r="F62" s="2" t="n"/>
      <c r="G62" s="2" t="n"/>
      <c r="H62" s="2" t="n"/>
      <c r="I62" s="2" t="n"/>
      <c r="J62" s="2" t="n"/>
      <c r="K62" s="2" t="n"/>
      <c r="L62" s="2" t="n"/>
      <c r="M62" s="2" t="n"/>
      <c r="N62" s="2" t="n"/>
      <c r="O62" s="2" t="n"/>
      <c r="P62" s="2" t="n"/>
      <c r="Q62" s="2" t="n"/>
      <c r="R62" s="2" t="n"/>
      <c r="S62" s="2" t="n"/>
    </row>
    <row r="63">
      <c r="A63" s="52" t="inlineStr">
        <is>
          <t>Data:</t>
        </is>
      </c>
      <c r="B63" s="526" t="inlineStr">
        <is>
          <t>1</t>
        </is>
      </c>
      <c r="C63" s="52" t="n"/>
    </row>
    <row r="64">
      <c r="A64" s="52" t="inlineStr">
        <is>
          <t>Rif interno attività:</t>
        </is>
      </c>
      <c r="B64" s="54" t="inlineStr">
        <is>
          <t>3</t>
        </is>
      </c>
      <c r="C64" s="52" t="n"/>
    </row>
    <row r="65">
      <c r="A65" s="52" t="inlineStr">
        <is>
          <t>Cliente:</t>
        </is>
      </c>
      <c r="B65" s="54" t="inlineStr">
        <is>
          <t>2</t>
        </is>
      </c>
      <c r="C65" s="52" t="inlineStr">
        <is>
          <t>Maserati</t>
        </is>
      </c>
    </row>
    <row r="66">
      <c r="A66" s="52" t="inlineStr">
        <is>
          <t>SN TX:</t>
        </is>
      </c>
      <c r="B66" s="54" t="inlineStr">
        <is>
          <t>4</t>
        </is>
      </c>
      <c r="C66" s="52" t="inlineStr">
        <is>
          <t>con l'SG600, lo si recupera dal rapporto di calibrazione via SmartApp</t>
        </is>
      </c>
    </row>
    <row r="67">
      <c r="A67" s="52" t="inlineStr">
        <is>
          <t>Descrizione UUT:</t>
        </is>
      </c>
      <c r="B67" s="54" t="inlineStr">
        <is>
          <t>tre</t>
        </is>
      </c>
      <c r="C67" t="inlineStr">
        <is>
          <t>Semiasse Ant Destro</t>
        </is>
      </c>
      <c r="F67" s="52" t="inlineStr">
        <is>
          <t>es alebrino assale elettrico</t>
        </is>
      </c>
    </row>
    <row r="68">
      <c r="A68" s="52" t="inlineStr">
        <is>
          <t>Progetto UUT:</t>
        </is>
      </c>
      <c r="B68" s="54" t="inlineStr">
        <is>
          <t>3</t>
        </is>
      </c>
      <c r="C68" s="52" t="inlineStr">
        <is>
          <t>M189 PVP #30</t>
        </is>
      </c>
    </row>
    <row r="69">
      <c r="A69" s="52" t="inlineStr">
        <is>
          <t>SN UUT:</t>
        </is>
      </c>
      <c r="B69" s="54" t="inlineStr">
        <is>
          <t>2</t>
        </is>
      </c>
      <c r="C69" s="52" t="inlineStr">
        <is>
          <t>es albero 123456</t>
        </is>
      </c>
      <c r="E69" s="391" t="n"/>
    </row>
    <row r="70">
      <c r="A70" s="52" t="inlineStr">
        <is>
          <t>Report di calibrazione TX</t>
        </is>
      </c>
      <c r="B70" s="54" t="inlineStr">
        <is>
          <t>sei</t>
        </is>
      </c>
      <c r="C70" s="52" t="inlineStr">
        <is>
          <t>Generato dalla App SG600 - pubblica i valori di guadagno del trasmettitore</t>
        </is>
      </c>
    </row>
    <row r="72" ht="15.6" customHeight="1">
      <c r="A72" s="55" t="inlineStr">
        <is>
          <t>Range dello strumento</t>
        </is>
      </c>
      <c r="B72" s="7">
        <f>CONCATENATE("± ",B14*0.8*B13," Nm")</f>
        <v/>
      </c>
      <c r="C72" t="inlineStr">
        <is>
          <t>Si intende il Fondo Scala (lineare) massimo raggiungibile dallo strumento</t>
        </is>
      </c>
    </row>
    <row r="73" ht="15.6" customHeight="1">
      <c r="A73" s="56" t="inlineStr">
        <is>
          <t>1. Range di calibrazione</t>
        </is>
      </c>
      <c r="B73" s="57" t="inlineStr">
        <is>
          <t>± 500 Nm</t>
        </is>
      </c>
      <c r="C73" t="inlineStr">
        <is>
          <t>è il range meccanico fisicamente imposto (peso campione) per calibrare lo strumento. Può essere inferiore al Fondo Scala strumento quando ad esempio si vuole evitare di arrivare alla coppia nominale per evitare danneggiamenti Nota: non pubblicato nel report di calibrazione</t>
        </is>
      </c>
      <c r="J73" s="58" t="n"/>
    </row>
    <row r="74" ht="15.6" customHeight="1">
      <c r="A74" s="56" t="inlineStr">
        <is>
          <t>1. Range di taratura</t>
        </is>
      </c>
      <c r="B74" s="57" t="inlineStr">
        <is>
          <t>± 500 Nm</t>
        </is>
      </c>
      <c r="C74" t="inlineStr">
        <is>
          <t>è il range meccanico fisicamente imposto (peso campione) per produrre il report di taratura dello strumento. Può essere inferiore al Fondo Scala strumento quando ad esempio si vuole evitare di arrivare alla coppia nominale per evitare danneggiamenti</t>
        </is>
      </c>
      <c r="J74" s="58" t="n"/>
    </row>
    <row r="75" ht="15.6" customHeight="1">
      <c r="A75" s="55" t="inlineStr">
        <is>
          <t>2. Overshoot ± 25% FS</t>
        </is>
      </c>
      <c r="B75" s="7">
        <f>CONCATENATE("± ",B14*0.2*B13," Nm")</f>
        <v/>
      </c>
      <c r="J75" s="58" t="n"/>
    </row>
    <row r="76">
      <c r="B76" s="58" t="n"/>
      <c r="J76" s="58" t="n"/>
    </row>
    <row r="77" ht="15.6" customHeight="1">
      <c r="A77" s="59" t="inlineStr">
        <is>
          <t>4. Caratteriscica di uscita</t>
        </is>
      </c>
      <c r="J77" s="58" t="n"/>
    </row>
    <row r="78">
      <c r="A78" s="58" t="inlineStr">
        <is>
          <t>Offset</t>
        </is>
      </c>
      <c r="B78" s="60">
        <f>CONCATENATE(TRUNC(B14,3)," V")</f>
        <v/>
      </c>
      <c r="J78" s="58" t="n"/>
    </row>
    <row r="79">
      <c r="A79" s="58" t="inlineStr">
        <is>
          <t>Sensibilità</t>
        </is>
      </c>
      <c r="B79" s="60">
        <f>CONCATENATE(TRUNC(B13,3)," ",EUnits,"/V")</f>
        <v/>
      </c>
      <c r="J79" s="58" t="n"/>
    </row>
  </sheetData>
  <mergeCells count="15">
    <mergeCell ref="E30:F30"/>
    <mergeCell ref="C30:D30"/>
    <mergeCell ref="A57:A59"/>
    <mergeCell ref="G30:H30"/>
    <mergeCell ref="D19:E19"/>
    <mergeCell ref="E44:F44"/>
    <mergeCell ref="G19:H19"/>
    <mergeCell ref="C44:D44"/>
    <mergeCell ref="G44:H44"/>
    <mergeCell ref="D18:E18"/>
    <mergeCell ref="G18:H18"/>
    <mergeCell ref="A30:A41"/>
    <mergeCell ref="A44:A55"/>
    <mergeCell ref="B30:B31"/>
    <mergeCell ref="B44:B45"/>
  </mergeCells>
  <conditionalFormatting sqref="C32:H33">
    <cfRule type="cellIs" priority="26" operator="lessThan" dxfId="1">
      <formula>0</formula>
    </cfRule>
    <cfRule type="cellIs" priority="27" operator="greaterThanOrEqual" dxfId="0">
      <formula>0</formula>
    </cfRule>
  </conditionalFormatting>
  <conditionalFormatting sqref="C46:H47">
    <cfRule type="cellIs" priority="1" operator="lessThan" dxfId="1">
      <formula>0</formula>
    </cfRule>
    <cfRule type="cellIs" priority="2" operator="greaterThanOrEqual" dxfId="0">
      <formula>0</formula>
    </cfRule>
  </conditionalFormatting>
  <conditionalFormatting sqref="C36:I37">
    <cfRule type="cellIs" priority="9" operator="lessThan" dxfId="1">
      <formula>0</formula>
    </cfRule>
    <cfRule type="cellIs" priority="10" operator="greaterThanOrEqual" dxfId="0">
      <formula>0</formula>
    </cfRule>
  </conditionalFormatting>
  <conditionalFormatting sqref="C40:I41">
    <cfRule type="cellIs" priority="7" operator="lessThan" dxfId="1">
      <formula>0</formula>
    </cfRule>
    <cfRule type="cellIs" priority="8" operator="greaterThanOrEqual" dxfId="0">
      <formula>0</formula>
    </cfRule>
  </conditionalFormatting>
  <conditionalFormatting sqref="C50:I51">
    <cfRule type="cellIs" priority="5" operator="lessThan" dxfId="1">
      <formula>0</formula>
    </cfRule>
    <cfRule type="cellIs" priority="6" operator="greaterThanOrEqual" dxfId="0">
      <formula>0</formula>
    </cfRule>
  </conditionalFormatting>
  <conditionalFormatting sqref="C54:I55">
    <cfRule type="cellIs" priority="3" operator="lessThan" dxfId="1">
      <formula>0</formula>
    </cfRule>
    <cfRule type="cellIs" priority="4" operator="greaterThanOrEqual" dxfId="0">
      <formula>0</formula>
    </cfRule>
  </conditionalFormatting>
  <dataValidations count="2">
    <dataValidation sqref="B11" showDropDown="0" showInputMessage="1" showErrorMessage="1" allowBlank="1" type="list">
      <formula1>$E$12:$E$13</formula1>
      <formula2>0</formula2>
    </dataValidation>
    <dataValidation sqref="B12" showDropDown="0" showInputMessage="1" showErrorMessage="1" allowBlank="1" type="list">
      <formula1>$E$13:$E$14</formula1>
      <formula2>0</formula2>
    </dataValidation>
  </dataValidations>
  <pageMargins left="0.7" right="0.7" top="0.75" bottom="0.75" header="0.511811023622047" footer="0.511811023622047"/>
  <pageSetup orientation="portrait" horizontalDpi="300" verticalDpi="300"/>
  <legacyDrawing r:id="anysvml"/>
</worksheet>
</file>

<file path=xl/worksheets/sheet3.xml><?xml version="1.0" encoding="utf-8"?>
<worksheet xmlns="http://schemas.openxmlformats.org/spreadsheetml/2006/main">
  <sheetPr>
    <tabColor rgb="FF00B0F0"/>
    <outlinePr summaryBelow="1" summaryRight="1"/>
    <pageSetUpPr/>
  </sheetPr>
  <dimension ref="A1:X196"/>
  <sheetViews>
    <sheetView topLeftCell="A8" zoomScale="85" zoomScaleNormal="85" workbookViewId="0">
      <selection activeCell="E34" sqref="E34"/>
    </sheetView>
  </sheetViews>
  <sheetFormatPr baseColWidth="8" defaultColWidth="8.5546875" defaultRowHeight="14.4" outlineLevelRow="1"/>
  <cols>
    <col width="15.5546875" customWidth="1" min="1" max="1"/>
    <col width="19.6640625" customWidth="1" min="2" max="2"/>
    <col width="13.44140625" customWidth="1" min="3" max="5"/>
    <col width="15.109375" customWidth="1" min="6" max="6"/>
    <col width="14.109375" customWidth="1" min="7" max="9"/>
    <col width="10.109375" customWidth="1" min="10" max="10"/>
    <col width="9.109375" customWidth="1" min="11" max="11"/>
    <col width="12.88671875" customWidth="1" min="12" max="12"/>
    <col width="13.5546875" customWidth="1" min="13" max="13"/>
    <col width="12.5546875" customWidth="1" min="14" max="14"/>
    <col width="10.6640625" customWidth="1" min="15" max="16"/>
    <col width="11.5546875" customWidth="1" min="17" max="19"/>
    <col width="10.5546875" customWidth="1" min="20" max="20"/>
    <col width="7.88671875" customWidth="1" min="21" max="21"/>
    <col width="12.5546875" customWidth="1" min="22" max="22"/>
    <col width="13.33203125" customWidth="1" min="23" max="23"/>
    <col width="12.5546875" customWidth="1" min="24" max="24"/>
  </cols>
  <sheetData>
    <row r="1" ht="25.8" customHeight="1">
      <c r="A1" s="61" t="inlineStr">
        <is>
          <t>1. Inzializzazione parametri acquisitore usato per acquisizione dati taratura</t>
        </is>
      </c>
      <c r="B1" s="62" t="n"/>
      <c r="C1" s="62" t="n"/>
      <c r="D1" s="62" t="n"/>
      <c r="E1" s="62" t="n"/>
      <c r="F1" s="62" t="n"/>
      <c r="G1" s="62" t="n"/>
      <c r="H1" s="62" t="n"/>
      <c r="I1" s="62" t="n"/>
      <c r="J1" s="62" t="n"/>
      <c r="K1" s="62" t="n"/>
      <c r="L1" s="62" t="n"/>
      <c r="M1" s="62" t="n"/>
      <c r="N1" s="62" t="n"/>
      <c r="O1" s="62" t="n"/>
      <c r="P1" s="62" t="n"/>
      <c r="Q1" s="62" t="n"/>
      <c r="R1" s="62" t="n"/>
      <c r="S1" s="62" t="n"/>
      <c r="T1" s="62" t="n"/>
      <c r="U1" s="62" t="n"/>
      <c r="V1" s="62" t="n"/>
      <c r="W1" s="62" t="n"/>
      <c r="X1" s="62" t="n"/>
    </row>
    <row r="2" outlineLevel="1">
      <c r="A2" t="inlineStr">
        <is>
          <t>Inserire i valori caratteristici della UUT impiegati nel sistema di acquisizione</t>
        </is>
      </c>
    </row>
    <row r="3" outlineLevel="1">
      <c r="A3" s="63" t="inlineStr">
        <is>
          <t>Scale</t>
        </is>
      </c>
      <c r="B3" s="64">
        <f>CONCATENATE(EUnits,"/V")</f>
        <v/>
      </c>
      <c r="C3" s="65">
        <f>'Istruzioni Uso'!B13</f>
        <v/>
      </c>
      <c r="F3" s="24" t="n"/>
      <c r="K3" s="24" t="n"/>
      <c r="P3" s="24" t="n"/>
    </row>
    <row r="4" outlineLevel="1">
      <c r="A4" s="66" t="inlineStr">
        <is>
          <t>Offset</t>
        </is>
      </c>
      <c r="B4" s="67" t="inlineStr">
        <is>
          <t>Nm</t>
        </is>
      </c>
      <c r="C4" s="68">
        <f>'Istruzioni Uso'!B15</f>
        <v/>
      </c>
      <c r="F4" s="24" t="n"/>
      <c r="K4" s="24" t="n"/>
      <c r="P4" s="24" t="n"/>
    </row>
    <row r="5" outlineLevel="1">
      <c r="A5" t="inlineStr">
        <is>
          <t>Sensitivity</t>
        </is>
      </c>
      <c r="B5">
        <f>CONCATENATE("UUT [V/",EUnits,"]")</f>
        <v/>
      </c>
      <c r="C5">
        <f>1/C3</f>
        <v/>
      </c>
      <c r="F5" s="24" t="n"/>
      <c r="K5" s="24" t="n"/>
      <c r="P5" s="24" t="n"/>
    </row>
    <row r="6" outlineLevel="1">
      <c r="C6">
        <f>-C4/C3</f>
        <v/>
      </c>
      <c r="F6" s="24" t="n"/>
      <c r="K6" s="24" t="n"/>
      <c r="P6" s="24" t="n"/>
    </row>
    <row r="7">
      <c r="F7" s="24" t="n"/>
      <c r="K7" s="24" t="n"/>
      <c r="P7" s="24" t="n"/>
    </row>
    <row r="8" ht="25.8" customHeight="1">
      <c r="A8" s="61" t="inlineStr">
        <is>
          <t>2. Inzializzazione range di taratura</t>
        </is>
      </c>
      <c r="B8" s="62" t="n"/>
      <c r="C8" s="62" t="n"/>
      <c r="D8" s="62" t="n"/>
      <c r="E8" s="62" t="n"/>
      <c r="F8" s="62" t="n"/>
      <c r="G8" s="62" t="n"/>
      <c r="H8" s="62" t="n"/>
      <c r="I8" s="62" t="n"/>
      <c r="J8" s="62" t="n"/>
      <c r="K8" s="62" t="n"/>
      <c r="L8" s="62" t="n"/>
      <c r="M8" s="62" t="n"/>
      <c r="N8" s="62" t="n"/>
      <c r="O8" s="62" t="n"/>
      <c r="P8" s="62" t="n"/>
      <c r="Q8" s="62" t="n"/>
      <c r="R8" s="62" t="n"/>
      <c r="S8" s="62" t="n"/>
      <c r="T8" s="62" t="n"/>
      <c r="U8" s="62" t="n"/>
      <c r="V8" s="62" t="n"/>
      <c r="W8" s="62" t="n"/>
      <c r="X8" s="62" t="n"/>
    </row>
    <row r="9" outlineLevel="1">
      <c r="F9" s="24" t="n"/>
      <c r="K9" s="24" t="n"/>
      <c r="P9" s="24" t="n"/>
    </row>
    <row r="10" outlineLevel="1">
      <c r="A10" s="12" t="inlineStr">
        <is>
          <t>Input values</t>
        </is>
      </c>
      <c r="D10" s="12" t="inlineStr">
        <is>
          <t>Set points di taratura</t>
        </is>
      </c>
      <c r="F10" s="24" t="n"/>
      <c r="K10" s="24" t="n"/>
      <c r="P10" s="24" t="n"/>
    </row>
    <row r="11" outlineLevel="1">
      <c r="A11">
        <f>CONCATENATE("Min [",EUnits,"]")</f>
        <v/>
      </c>
      <c r="B11" t="n">
        <v>0</v>
      </c>
      <c r="D11" t="inlineStr">
        <is>
          <t>Set Point 0</t>
        </is>
      </c>
      <c r="E11">
        <f>SetPnt_P_0</f>
        <v/>
      </c>
      <c r="F11" s="24" t="n"/>
      <c r="K11" s="24" t="n"/>
      <c r="P11" s="24" t="n"/>
    </row>
    <row r="12" outlineLevel="1">
      <c r="A12">
        <f>CONCATENATE("Max [",EUnits,"]")</f>
        <v/>
      </c>
      <c r="B12">
        <f>C_Tar_max</f>
        <v/>
      </c>
      <c r="D12" t="inlineStr">
        <is>
          <t>Set Point 1</t>
        </is>
      </c>
      <c r="E12" s="17">
        <f>SetPnt_P_1</f>
        <v/>
      </c>
      <c r="F12" s="24" t="n"/>
      <c r="K12" s="24" t="n"/>
      <c r="P12" s="24" t="n"/>
    </row>
    <row r="13" outlineLevel="1">
      <c r="A13" t="inlineStr">
        <is>
          <t>Set points #</t>
        </is>
      </c>
      <c r="B13" t="n">
        <v>5</v>
      </c>
      <c r="D13" t="inlineStr">
        <is>
          <t>Set Point 2</t>
        </is>
      </c>
      <c r="E13" s="17">
        <f>SetPnt_P_2</f>
        <v/>
      </c>
      <c r="F13" s="24" t="n"/>
      <c r="K13" s="24" t="n"/>
      <c r="P13" s="24" t="n"/>
    </row>
    <row r="14" outlineLevel="1">
      <c r="A14">
        <f>CONCATENATE("Step [",EUnits,"]")</f>
        <v/>
      </c>
      <c r="B14" s="17">
        <f>(B12-B11)/B13</f>
        <v/>
      </c>
      <c r="D14" t="inlineStr">
        <is>
          <t>Set Point 3</t>
        </is>
      </c>
      <c r="E14" s="17">
        <f>SetPnt_P_3</f>
        <v/>
      </c>
      <c r="F14" s="24" t="n"/>
      <c r="K14" s="24" t="n"/>
      <c r="P14" s="24" t="n"/>
    </row>
    <row r="15" outlineLevel="1">
      <c r="D15" t="inlineStr">
        <is>
          <t>Set Point 4</t>
        </is>
      </c>
      <c r="E15" s="17">
        <f>SetPnt_P_4</f>
        <v/>
      </c>
      <c r="F15" s="24" t="n"/>
      <c r="K15" s="24" t="n"/>
      <c r="P15" s="24" t="n"/>
    </row>
    <row r="16" outlineLevel="1">
      <c r="D16" t="inlineStr">
        <is>
          <t>Set Point 5</t>
        </is>
      </c>
      <c r="E16" s="17">
        <f>SetPnt_P_5</f>
        <v/>
      </c>
      <c r="F16" s="24" t="n"/>
      <c r="K16" s="24" t="n"/>
      <c r="P16" s="24" t="n"/>
    </row>
    <row r="17">
      <c r="F17" s="24" t="n"/>
      <c r="K17" s="24" t="n"/>
      <c r="P17" s="24" t="n"/>
    </row>
    <row r="18" ht="25.8" customHeight="1">
      <c r="A18" s="61" t="inlineStr">
        <is>
          <t>3. Inserimento dati di taratura acquisiti</t>
        </is>
      </c>
      <c r="B18" s="62" t="n"/>
      <c r="C18" s="62" t="n"/>
      <c r="D18" s="62" t="n"/>
      <c r="E18" s="62" t="n"/>
      <c r="F18" s="62" t="n"/>
      <c r="G18" s="62" t="n"/>
      <c r="H18" s="62" t="n"/>
      <c r="I18" s="62" t="n"/>
      <c r="J18" s="62" t="n"/>
      <c r="K18" s="62" t="n"/>
      <c r="L18" s="62" t="n"/>
      <c r="M18" s="62" t="n"/>
      <c r="N18" s="62" t="n"/>
      <c r="O18" s="62" t="n"/>
      <c r="P18" s="62" t="n"/>
      <c r="Q18" s="62" t="n"/>
      <c r="R18" s="62" t="n"/>
      <c r="S18" s="62" t="n"/>
      <c r="T18" s="62" t="n"/>
      <c r="U18" s="62" t="n"/>
      <c r="V18" s="62" t="n"/>
      <c r="W18" s="62" t="n"/>
      <c r="X18" s="62" t="n"/>
    </row>
    <row r="19" outlineLevel="1">
      <c r="A19" t="inlineStr">
        <is>
          <t>I dati da inserie qui sotto devono derivare da punti stazionari con gli steps di carico imposti (da inserire nota su cifre significa post TO DO)</t>
        </is>
      </c>
      <c r="F19" s="24" t="n"/>
      <c r="K19" s="24" t="n"/>
      <c r="M19" s="25" t="inlineStr">
        <is>
          <t>TO DO: analisi sensibiltà sulla sensitività per espressione cifre significative</t>
        </is>
      </c>
      <c r="P19" s="24" t="n"/>
    </row>
    <row r="20" outlineLevel="1">
      <c r="F20" s="24" t="n"/>
      <c r="K20" s="24" t="n"/>
      <c r="P20" s="24" t="n"/>
    </row>
    <row r="21" outlineLevel="1" ht="18.75" customHeight="1">
      <c r="B21" s="464" t="inlineStr">
        <is>
          <t>3 Steps
Precarico</t>
        </is>
      </c>
      <c r="C21" s="465" t="inlineStr">
        <is>
          <t>Precarico 1</t>
        </is>
      </c>
      <c r="D21" s="64" t="n"/>
      <c r="E21" s="466" t="inlineStr">
        <is>
          <t>Precarico 2</t>
        </is>
      </c>
      <c r="F21" s="527" t="n"/>
      <c r="G21" s="467" t="inlineStr">
        <is>
          <t>Precarico 3</t>
        </is>
      </c>
      <c r="H21" s="65" t="n"/>
      <c r="K21" s="24" t="n"/>
      <c r="P21" s="24" t="n"/>
    </row>
    <row r="22" outlineLevel="1" ht="18.75" customHeight="1">
      <c r="B22" s="528" t="n"/>
      <c r="C22" s="69">
        <f>SetPnt_P_0</f>
        <v/>
      </c>
      <c r="D22" s="70">
        <f>C_Tar_max</f>
        <v/>
      </c>
      <c r="E22" s="69">
        <f>SetPnt_P_0</f>
        <v/>
      </c>
      <c r="F22" s="71">
        <f>C_Tar_max</f>
        <v/>
      </c>
      <c r="G22" s="72">
        <f>SetPnt_P_0</f>
        <v/>
      </c>
      <c r="H22" s="73">
        <f>C_Tar_max</f>
        <v/>
      </c>
    </row>
    <row r="23" outlineLevel="1">
      <c r="B23" s="74">
        <f>CONCATENATE("Coppia REF [",EUnits,"]")</f>
        <v/>
      </c>
      <c r="C23" s="75">
        <f>'Istruzioni Uso'!C32</f>
        <v/>
      </c>
      <c r="D23" s="75">
        <f>'Istruzioni Uso'!D32</f>
        <v/>
      </c>
      <c r="E23" s="75">
        <f>'Istruzioni Uso'!E32</f>
        <v/>
      </c>
      <c r="F23" s="76">
        <f>'Istruzioni Uso'!F32</f>
        <v/>
      </c>
      <c r="G23" s="77">
        <f>'Istruzioni Uso'!G32</f>
        <v/>
      </c>
      <c r="H23" s="78">
        <f>'Istruzioni Uso'!H32</f>
        <v/>
      </c>
    </row>
    <row r="24" outlineLevel="1">
      <c r="B24" s="66">
        <f>CONCATENATE("Coppia UUT [",UUT_EUnits,"]")</f>
        <v/>
      </c>
      <c r="C24" s="79">
        <f>'Istruzioni Uso'!C33</f>
        <v/>
      </c>
      <c r="D24" s="79">
        <f>'Istruzioni Uso'!D33</f>
        <v/>
      </c>
      <c r="E24" s="79">
        <f>'Istruzioni Uso'!E33</f>
        <v/>
      </c>
      <c r="F24" s="80">
        <f>'Istruzioni Uso'!F33</f>
        <v/>
      </c>
      <c r="G24" s="81">
        <f>'Istruzioni Uso'!G33</f>
        <v/>
      </c>
      <c r="H24" s="82">
        <f>'Istruzioni Uso'!H33</f>
        <v/>
      </c>
    </row>
    <row r="25" outlineLevel="1"/>
    <row r="26" outlineLevel="1" ht="39.75" customHeight="1">
      <c r="B26" s="83" t="inlineStr">
        <is>
          <t>1a Rampa
a gradini</t>
        </is>
      </c>
      <c r="C26" s="84" t="inlineStr">
        <is>
          <t>Set Point
0</t>
        </is>
      </c>
      <c r="D26" s="84" t="inlineStr">
        <is>
          <t>Set Point
1</t>
        </is>
      </c>
      <c r="E26" s="85" t="inlineStr">
        <is>
          <t>Set Point
2</t>
        </is>
      </c>
      <c r="F26" s="84" t="inlineStr">
        <is>
          <t>Set Point
3</t>
        </is>
      </c>
      <c r="G26" s="85" t="inlineStr">
        <is>
          <t>Set Point
4</t>
        </is>
      </c>
      <c r="H26" s="84" t="inlineStr">
        <is>
          <t>Set Point
5</t>
        </is>
      </c>
      <c r="I26" s="86" t="inlineStr">
        <is>
          <t>Set Point
0</t>
        </is>
      </c>
    </row>
    <row r="27" outlineLevel="1">
      <c r="B27" s="74">
        <f>CONCATENATE("Coppia REF [",EUnits,"]")</f>
        <v/>
      </c>
      <c r="C27" s="76">
        <f>'Istruzioni Uso'!C36</f>
        <v/>
      </c>
      <c r="D27" s="77">
        <f>'Istruzioni Uso'!D36</f>
        <v/>
      </c>
      <c r="E27" s="76">
        <f>'Istruzioni Uso'!E36</f>
        <v/>
      </c>
      <c r="F27" s="77">
        <f>'Istruzioni Uso'!F36</f>
        <v/>
      </c>
      <c r="G27" s="76">
        <f>'Istruzioni Uso'!G36</f>
        <v/>
      </c>
      <c r="H27" s="77">
        <f>'Istruzioni Uso'!H36</f>
        <v/>
      </c>
      <c r="I27" s="78">
        <f>'Istruzioni Uso'!I36</f>
        <v/>
      </c>
    </row>
    <row r="28" outlineLevel="1">
      <c r="B28" s="66">
        <f>CONCATENATE("Coppia UUT [",UUT_EUnits,"]")</f>
        <v/>
      </c>
      <c r="C28" s="80">
        <f>'Istruzioni Uso'!C37</f>
        <v/>
      </c>
      <c r="D28" s="81">
        <f>'Istruzioni Uso'!D37</f>
        <v/>
      </c>
      <c r="E28" s="80">
        <f>'Istruzioni Uso'!E37</f>
        <v/>
      </c>
      <c r="F28" s="81">
        <f>'Istruzioni Uso'!F37</f>
        <v/>
      </c>
      <c r="G28" s="80">
        <f>'Istruzioni Uso'!G37</f>
        <v/>
      </c>
      <c r="H28" s="81">
        <f>'Istruzioni Uso'!H37</f>
        <v/>
      </c>
      <c r="I28" s="82">
        <f>'Istruzioni Uso'!I37</f>
        <v/>
      </c>
    </row>
    <row r="29" outlineLevel="1"/>
    <row r="30" outlineLevel="1" ht="39.75" customHeight="1">
      <c r="B30" s="83" t="inlineStr">
        <is>
          <t>2a Rampa
a gradini</t>
        </is>
      </c>
      <c r="C30" s="84" t="inlineStr">
        <is>
          <t>Set Point
0</t>
        </is>
      </c>
      <c r="D30" s="84" t="inlineStr">
        <is>
          <t>Set Point
1</t>
        </is>
      </c>
      <c r="E30" s="85" t="inlineStr">
        <is>
          <t>Set Point
2</t>
        </is>
      </c>
      <c r="F30" s="84" t="inlineStr">
        <is>
          <t>Set Point
3</t>
        </is>
      </c>
      <c r="G30" s="85" t="inlineStr">
        <is>
          <t>Set Point
4</t>
        </is>
      </c>
      <c r="H30" s="84" t="inlineStr">
        <is>
          <t>Set Point
5</t>
        </is>
      </c>
      <c r="I30" s="86" t="inlineStr">
        <is>
          <t>Set Point
0</t>
        </is>
      </c>
    </row>
    <row r="31" outlineLevel="1">
      <c r="B31" s="74">
        <f>CONCATENATE("Coppia REF [",EUnits,"]")</f>
        <v/>
      </c>
      <c r="C31" s="76">
        <f>'Istruzioni Uso'!C40</f>
        <v/>
      </c>
      <c r="D31" s="77">
        <f>'Istruzioni Uso'!D40</f>
        <v/>
      </c>
      <c r="E31" s="76">
        <f>'Istruzioni Uso'!E40</f>
        <v/>
      </c>
      <c r="F31" s="77">
        <f>'Istruzioni Uso'!F40</f>
        <v/>
      </c>
      <c r="G31" s="76">
        <f>'Istruzioni Uso'!G40</f>
        <v/>
      </c>
      <c r="H31" s="77">
        <f>'Istruzioni Uso'!H40</f>
        <v/>
      </c>
      <c r="I31" s="78">
        <f>'Istruzioni Uso'!I40</f>
        <v/>
      </c>
    </row>
    <row r="32" outlineLevel="1">
      <c r="B32" s="66">
        <f>CONCATENATE("Coppia UUT [",UUT_EUnits,"]")</f>
        <v/>
      </c>
      <c r="C32" s="80">
        <f>'Istruzioni Uso'!C41</f>
        <v/>
      </c>
      <c r="D32" s="81">
        <f>'Istruzioni Uso'!D41</f>
        <v/>
      </c>
      <c r="E32" s="80">
        <f>'Istruzioni Uso'!E41</f>
        <v/>
      </c>
      <c r="F32" s="81">
        <f>'Istruzioni Uso'!F41</f>
        <v/>
      </c>
      <c r="G32" s="80">
        <f>'Istruzioni Uso'!G41</f>
        <v/>
      </c>
      <c r="H32" s="81">
        <f>'Istruzioni Uso'!H41</f>
        <v/>
      </c>
      <c r="I32" s="82">
        <f>'Istruzioni Uso'!I41</f>
        <v/>
      </c>
    </row>
    <row r="33">
      <c r="F33" s="24" t="n"/>
      <c r="K33" s="24" t="n"/>
      <c r="P33" s="24" t="n"/>
    </row>
    <row r="34" ht="25.8" customHeight="1">
      <c r="A34" s="61" t="inlineStr">
        <is>
          <t>4. Riorganizzazione automatica dati ed estrazione Coefficienti Curva Caratteristica</t>
        </is>
      </c>
      <c r="B34" s="62" t="n"/>
      <c r="C34" s="62" t="n"/>
      <c r="D34" s="62" t="n"/>
      <c r="E34" s="62" t="n"/>
      <c r="F34" s="62" t="n"/>
      <c r="G34" s="62" t="n"/>
      <c r="H34" s="62" t="n"/>
      <c r="I34" s="62" t="n"/>
      <c r="J34" s="62" t="n"/>
      <c r="K34" s="62" t="n"/>
      <c r="L34" s="62" t="n"/>
      <c r="M34" s="62" t="n"/>
      <c r="N34" s="62" t="n"/>
      <c r="O34" s="62" t="n"/>
      <c r="P34" s="62" t="n"/>
      <c r="Q34" s="62" t="n"/>
      <c r="R34" s="62" t="n"/>
      <c r="S34" s="62" t="n"/>
      <c r="T34" s="62" t="n"/>
      <c r="U34" s="62" t="n"/>
      <c r="V34" s="62" t="n"/>
      <c r="W34" s="62" t="n"/>
      <c r="X34" s="62" t="n"/>
    </row>
    <row r="35" outlineLevel="1">
      <c r="F35" s="24" t="n"/>
      <c r="K35" s="24" t="n"/>
      <c r="P35" s="24" t="n"/>
    </row>
    <row r="36" outlineLevel="1">
      <c r="F36" s="24" t="n"/>
      <c r="K36" s="24" t="n"/>
      <c r="P36" s="24" t="n"/>
    </row>
    <row r="37" outlineLevel="1" ht="18" customHeight="1">
      <c r="A37" s="87" t="inlineStr">
        <is>
          <t>4.1 Riorganizzazione dati</t>
        </is>
      </c>
      <c r="K37" s="24" t="n"/>
      <c r="P37" s="24" t="n"/>
    </row>
    <row r="38" outlineLevel="1" ht="26.4" customHeight="1">
      <c r="B38" s="468" t="inlineStr">
        <is>
          <t>3 Steps Precarico</t>
        </is>
      </c>
      <c r="C38" s="529" t="n"/>
      <c r="D38" s="529" t="n"/>
      <c r="E38" s="529" t="n"/>
      <c r="G38" s="468" t="inlineStr">
        <is>
          <t>1a Rampa a gradini</t>
        </is>
      </c>
      <c r="H38" s="529" t="n"/>
      <c r="I38" s="529" t="n"/>
      <c r="J38" s="529" t="n"/>
      <c r="L38" s="468" t="inlineStr">
        <is>
          <t>2a Rampa a gradini</t>
        </is>
      </c>
      <c r="M38" s="529" t="n"/>
      <c r="N38" s="529" t="n"/>
      <c r="O38" s="529" t="n"/>
      <c r="Q38" s="459" t="inlineStr">
        <is>
          <t>Sequenza (per calcolo Reg Lin)</t>
        </is>
      </c>
      <c r="R38" s="529" t="n"/>
      <c r="S38" s="529" t="n"/>
    </row>
    <row r="39" outlineLevel="1" ht="28.8" customHeight="1">
      <c r="B39" s="88" t="inlineStr">
        <is>
          <t>Set Point</t>
        </is>
      </c>
      <c r="C39" s="88">
        <f>CONCATENATE("UUT
[",UUT_EUnits,"]")</f>
        <v/>
      </c>
      <c r="D39" s="88">
        <f>CONCATENATE("Coppia REF
[",EUnits,"]")</f>
        <v/>
      </c>
      <c r="E39" s="89" t="inlineStr">
        <is>
          <t>WBA Out
[V]</t>
        </is>
      </c>
      <c r="G39" s="88" t="inlineStr">
        <is>
          <t>Set Point</t>
        </is>
      </c>
      <c r="H39" s="89">
        <f>CONCATENATE("UUT
[",UUT_EUnits,"]")</f>
        <v/>
      </c>
      <c r="I39" s="89">
        <f>CONCATENATE("Coppia REF
[",EUnits,"]")</f>
        <v/>
      </c>
      <c r="J39" s="89" t="inlineStr">
        <is>
          <t>WBA Out
[V]</t>
        </is>
      </c>
      <c r="L39" s="88" t="inlineStr">
        <is>
          <t>Set Point</t>
        </is>
      </c>
      <c r="M39" s="89">
        <f>CONCATENATE("UUT
[",UUT_EUnits,"]")</f>
        <v/>
      </c>
      <c r="N39" s="89">
        <f>CONCATENATE("Coppia REF
[",EUnits,"]")</f>
        <v/>
      </c>
      <c r="O39" s="89" t="inlineStr">
        <is>
          <t>WBA Out
[V]</t>
        </is>
      </c>
      <c r="Q39" s="88" t="inlineStr">
        <is>
          <t>Set Point</t>
        </is>
      </c>
      <c r="R39" s="89">
        <f>CONCATENATE("Coppia REF
[",EUnits,"]")</f>
        <v/>
      </c>
      <c r="S39" s="89" t="inlineStr">
        <is>
          <t>WBA Out
[V]</t>
        </is>
      </c>
    </row>
    <row r="40" outlineLevel="1">
      <c r="B40">
        <f>SetPnt_P_0</f>
        <v/>
      </c>
      <c r="C40">
        <f>C24</f>
        <v/>
      </c>
      <c r="D40">
        <f>C23</f>
        <v/>
      </c>
      <c r="E40" s="530">
        <f>C40*$C$5+$C$6</f>
        <v/>
      </c>
      <c r="G40">
        <f>SetPnt_P_0</f>
        <v/>
      </c>
      <c r="H40">
        <f>C28</f>
        <v/>
      </c>
      <c r="I40">
        <f>C27</f>
        <v/>
      </c>
      <c r="J40" s="530">
        <f>H40*$C$5+$C$6</f>
        <v/>
      </c>
      <c r="L40">
        <f>SetPnt_P_0</f>
        <v/>
      </c>
      <c r="M40">
        <f>C32</f>
        <v/>
      </c>
      <c r="N40">
        <f>C31</f>
        <v/>
      </c>
      <c r="O40" s="530">
        <f>M40*$C$5+$C$6</f>
        <v/>
      </c>
      <c r="Q40">
        <f>SetPnt_P_0</f>
        <v/>
      </c>
      <c r="R40">
        <f>I40</f>
        <v/>
      </c>
      <c r="S40" s="531">
        <f>J40</f>
        <v/>
      </c>
    </row>
    <row r="41" outlineLevel="1">
      <c r="B41">
        <f>C_Tar_max</f>
        <v/>
      </c>
      <c r="C41">
        <f>D24</f>
        <v/>
      </c>
      <c r="D41">
        <f>D23</f>
        <v/>
      </c>
      <c r="E41" s="530">
        <f>C41*$C$5+$C$6</f>
        <v/>
      </c>
      <c r="G41" s="17">
        <f>SetPnt_P_1</f>
        <v/>
      </c>
      <c r="H41">
        <f>D28</f>
        <v/>
      </c>
      <c r="I41">
        <f>D27</f>
        <v/>
      </c>
      <c r="J41" s="530">
        <f>H41*$C$5+$C$6</f>
        <v/>
      </c>
      <c r="L41" s="17">
        <f>SetPnt_P_1</f>
        <v/>
      </c>
      <c r="M41">
        <f>D32</f>
        <v/>
      </c>
      <c r="N41">
        <f>D31</f>
        <v/>
      </c>
      <c r="O41" s="530">
        <f>M41*$C$5+$C$6</f>
        <v/>
      </c>
      <c r="Q41" s="17">
        <f>SetPnt_P_1</f>
        <v/>
      </c>
      <c r="R41">
        <f>I41</f>
        <v/>
      </c>
      <c r="S41" s="531">
        <f>J41</f>
        <v/>
      </c>
    </row>
    <row r="42" outlineLevel="1">
      <c r="B42">
        <f>B40</f>
        <v/>
      </c>
      <c r="C42">
        <f>E24</f>
        <v/>
      </c>
      <c r="D42">
        <f>E23</f>
        <v/>
      </c>
      <c r="E42" s="530">
        <f>C42*$C$5+$C$6</f>
        <v/>
      </c>
      <c r="G42" s="17">
        <f>SetPnt_P_2</f>
        <v/>
      </c>
      <c r="H42">
        <f>E28</f>
        <v/>
      </c>
      <c r="I42">
        <f>E27</f>
        <v/>
      </c>
      <c r="J42" s="530">
        <f>H42*$C$5+$C$6</f>
        <v/>
      </c>
      <c r="L42" s="17">
        <f>SetPnt_P_2</f>
        <v/>
      </c>
      <c r="M42">
        <f>E32</f>
        <v/>
      </c>
      <c r="N42">
        <f>E31</f>
        <v/>
      </c>
      <c r="O42" s="530">
        <f>M42*$C$5+$C$6</f>
        <v/>
      </c>
      <c r="Q42" s="17">
        <f>SetPnt_P_2</f>
        <v/>
      </c>
      <c r="R42">
        <f>I42</f>
        <v/>
      </c>
      <c r="S42" s="531">
        <f>J42</f>
        <v/>
      </c>
    </row>
    <row r="43" outlineLevel="1">
      <c r="B43">
        <f>B41</f>
        <v/>
      </c>
      <c r="C43">
        <f>F24</f>
        <v/>
      </c>
      <c r="D43">
        <f>F23</f>
        <v/>
      </c>
      <c r="E43" s="530">
        <f>C43*$C$5+$C$6</f>
        <v/>
      </c>
      <c r="G43" s="17">
        <f>SetPnt_P_3</f>
        <v/>
      </c>
      <c r="H43">
        <f>F28</f>
        <v/>
      </c>
      <c r="I43">
        <f>F27</f>
        <v/>
      </c>
      <c r="J43" s="530">
        <f>H43*$C$5+$C$6</f>
        <v/>
      </c>
      <c r="L43" s="17">
        <f>SetPnt_P_3</f>
        <v/>
      </c>
      <c r="M43">
        <f>F32</f>
        <v/>
      </c>
      <c r="N43">
        <f>F31</f>
        <v/>
      </c>
      <c r="O43" s="530">
        <f>M43*$C$5+$C$6</f>
        <v/>
      </c>
      <c r="Q43" s="17">
        <f>SetPnt_P_3</f>
        <v/>
      </c>
      <c r="R43">
        <f>I43</f>
        <v/>
      </c>
      <c r="S43" s="531">
        <f>J43</f>
        <v/>
      </c>
    </row>
    <row r="44" outlineLevel="1">
      <c r="B44">
        <f>B42</f>
        <v/>
      </c>
      <c r="C44">
        <f>G24</f>
        <v/>
      </c>
      <c r="D44">
        <f>G23</f>
        <v/>
      </c>
      <c r="E44" s="530">
        <f>C44*$C$5+$C$6</f>
        <v/>
      </c>
      <c r="G44" s="17">
        <f>SetPnt_P_4</f>
        <v/>
      </c>
      <c r="H44">
        <f>G28</f>
        <v/>
      </c>
      <c r="I44">
        <f>G27</f>
        <v/>
      </c>
      <c r="J44" s="530">
        <f>H44*$C$5+$C$6</f>
        <v/>
      </c>
      <c r="L44" s="17">
        <f>SetPnt_P_4</f>
        <v/>
      </c>
      <c r="M44">
        <f>G32</f>
        <v/>
      </c>
      <c r="N44">
        <f>G31</f>
        <v/>
      </c>
      <c r="O44" s="530">
        <f>M44*$C$5+$C$6</f>
        <v/>
      </c>
      <c r="Q44" s="17">
        <f>SetPnt_P_4</f>
        <v/>
      </c>
      <c r="R44">
        <f>I44</f>
        <v/>
      </c>
      <c r="S44" s="531">
        <f>J44</f>
        <v/>
      </c>
    </row>
    <row r="45" outlineLevel="1">
      <c r="B45">
        <f>B43</f>
        <v/>
      </c>
      <c r="C45">
        <f>H24</f>
        <v/>
      </c>
      <c r="D45">
        <f>H23</f>
        <v/>
      </c>
      <c r="E45" s="530">
        <f>C45*$C$5+$C$6</f>
        <v/>
      </c>
      <c r="G45" s="17">
        <f>SetPnt_P_5</f>
        <v/>
      </c>
      <c r="H45">
        <f>H28</f>
        <v/>
      </c>
      <c r="I45">
        <f>H27</f>
        <v/>
      </c>
      <c r="J45" s="530">
        <f>H45*$C$5+$C$6</f>
        <v/>
      </c>
      <c r="L45" s="17">
        <f>SetPnt_P_5</f>
        <v/>
      </c>
      <c r="M45">
        <f>H32</f>
        <v/>
      </c>
      <c r="N45">
        <f>H31</f>
        <v/>
      </c>
      <c r="O45" s="530">
        <f>M45*$C$5+$C$6</f>
        <v/>
      </c>
      <c r="Q45" s="17">
        <f>SetPnt_P_5</f>
        <v/>
      </c>
      <c r="R45">
        <f>I45</f>
        <v/>
      </c>
      <c r="S45" s="531">
        <f>J45</f>
        <v/>
      </c>
    </row>
    <row r="46" outlineLevel="1">
      <c r="G46">
        <f>SetPnt_P_0</f>
        <v/>
      </c>
      <c r="H46">
        <f>I28</f>
        <v/>
      </c>
      <c r="I46">
        <f>I27</f>
        <v/>
      </c>
      <c r="J46" s="530">
        <f>H46*$C$5+$C$6</f>
        <v/>
      </c>
      <c r="L46">
        <f>SetPnt_P_0</f>
        <v/>
      </c>
      <c r="M46">
        <f>I32</f>
        <v/>
      </c>
      <c r="N46">
        <f>I31</f>
        <v/>
      </c>
      <c r="O46" s="530">
        <f>M46*$C$5+$C$6</f>
        <v/>
      </c>
      <c r="Q46">
        <f>+SetPnt_P_0</f>
        <v/>
      </c>
      <c r="R46">
        <f>N40</f>
        <v/>
      </c>
      <c r="S46" s="531">
        <f>O40</f>
        <v/>
      </c>
    </row>
    <row r="47" outlineLevel="1">
      <c r="Q47" s="17">
        <f>+SetPnt_P_1</f>
        <v/>
      </c>
      <c r="R47">
        <f>N41</f>
        <v/>
      </c>
      <c r="S47" s="531">
        <f>O41</f>
        <v/>
      </c>
    </row>
    <row r="48" outlineLevel="1" ht="18" customHeight="1">
      <c r="G48" s="63" t="n"/>
      <c r="H48" s="92" t="inlineStr">
        <is>
          <t>Calcolo Coeff Curva Caratteristica Parziali</t>
        </is>
      </c>
      <c r="I48" s="64" t="n"/>
      <c r="J48" s="64" t="n"/>
      <c r="K48" s="64" t="n"/>
      <c r="L48" s="64" t="n"/>
      <c r="M48" s="64" t="n"/>
      <c r="N48" s="64" t="n"/>
      <c r="O48" s="65" t="n"/>
      <c r="Q48" s="17">
        <f>+SetPnt_P_2</f>
        <v/>
      </c>
      <c r="R48">
        <f>N42</f>
        <v/>
      </c>
      <c r="S48" s="531">
        <f>O42</f>
        <v/>
      </c>
    </row>
    <row r="49" outlineLevel="1">
      <c r="G49" s="74" t="n"/>
      <c r="H49" t="inlineStr">
        <is>
          <t xml:space="preserve"> Serve per controllare l'influenza dello Zero sempre difficile da mantenere costante</t>
        </is>
      </c>
      <c r="O49" s="93" t="n"/>
      <c r="Q49" s="17">
        <f>+SetPnt_P_3</f>
        <v/>
      </c>
      <c r="R49">
        <f>N43</f>
        <v/>
      </c>
      <c r="S49" s="531">
        <f>O43</f>
        <v/>
      </c>
    </row>
    <row r="50" outlineLevel="1" ht="17.4" customHeight="1">
      <c r="G50" s="471" t="inlineStr">
        <is>
          <t>1a Rampa a gradini</t>
        </is>
      </c>
      <c r="H50" s="529" t="n"/>
      <c r="I50" s="529" t="n"/>
      <c r="J50" s="529" t="n"/>
      <c r="K50" s="59" t="n"/>
      <c r="L50" s="472" t="inlineStr">
        <is>
          <t>2a Rampa a gradini</t>
        </is>
      </c>
      <c r="M50" s="529" t="n"/>
      <c r="N50" s="529" t="n"/>
      <c r="O50" s="532" t="n"/>
      <c r="Q50" s="17">
        <f>+SetPnt_P_4</f>
        <v/>
      </c>
      <c r="R50">
        <f>N44</f>
        <v/>
      </c>
      <c r="S50" s="531">
        <f>O44</f>
        <v/>
      </c>
    </row>
    <row r="51" outlineLevel="1" ht="15.6" customHeight="1">
      <c r="G51" s="94" t="inlineStr">
        <is>
          <t>Q1 Part R1</t>
        </is>
      </c>
      <c r="H51" s="95" t="inlineStr">
        <is>
          <t>m</t>
        </is>
      </c>
      <c r="I51" s="96" t="inlineStr">
        <is>
          <t>q</t>
        </is>
      </c>
      <c r="J51" s="97" t="inlineStr">
        <is>
          <t>deviaz</t>
        </is>
      </c>
      <c r="L51" s="94" t="inlineStr">
        <is>
          <t>Q1 Part R2</t>
        </is>
      </c>
      <c r="M51" s="95" t="inlineStr">
        <is>
          <t>m</t>
        </is>
      </c>
      <c r="N51" s="96" t="inlineStr">
        <is>
          <t>q</t>
        </is>
      </c>
      <c r="O51" s="97" t="inlineStr">
        <is>
          <t>deviaz</t>
        </is>
      </c>
      <c r="Q51" s="17">
        <f>+SetPnt_P_5</f>
        <v/>
      </c>
      <c r="R51">
        <f>N45</f>
        <v/>
      </c>
      <c r="S51" s="531">
        <f>O45</f>
        <v/>
      </c>
    </row>
    <row r="52" outlineLevel="1">
      <c r="G52" s="98" t="inlineStr">
        <is>
          <t>SetPoint 0-5</t>
        </is>
      </c>
      <c r="H52" s="533">
        <f>SLOPE(I40:I45,J40:J45)</f>
        <v/>
      </c>
      <c r="I52" s="534">
        <f>INTERCEPT(I40:I45,J40:J45)</f>
        <v/>
      </c>
      <c r="J52" s="101">
        <f>(H$55-H52)/H$55</f>
        <v/>
      </c>
      <c r="L52" s="98" t="inlineStr">
        <is>
          <t>SetPoint 0-5</t>
        </is>
      </c>
      <c r="M52" s="533">
        <f>SLOPE(N40:N45,O40:O45)</f>
        <v/>
      </c>
      <c r="N52" s="534">
        <f>INTERCEPT(N40:N45,O40:O45)</f>
        <v/>
      </c>
      <c r="O52" s="101">
        <f>(M$55-M52)/M$55</f>
        <v/>
      </c>
    </row>
    <row r="53" outlineLevel="1">
      <c r="G53" s="102" t="inlineStr">
        <is>
          <t>SetPoint 1-5</t>
        </is>
      </c>
      <c r="H53" s="533">
        <f>SLOPE(I41:I45,J41:J45)</f>
        <v/>
      </c>
      <c r="I53" s="534">
        <f>INTERCEPT(I41:I45,J41:J45)</f>
        <v/>
      </c>
      <c r="J53" s="103">
        <f>(H$55-H53)/H$55</f>
        <v/>
      </c>
      <c r="L53" s="102" t="inlineStr">
        <is>
          <t>SetPoint 1-5</t>
        </is>
      </c>
      <c r="M53" s="533">
        <f>SLOPE(N41:N45,O41:O45)</f>
        <v/>
      </c>
      <c r="N53" s="534">
        <f>INTERCEPT(N41:N45,O41:O45)</f>
        <v/>
      </c>
      <c r="O53" s="103">
        <f>(M$55-M53)/M$55</f>
        <v/>
      </c>
    </row>
    <row r="54" outlineLevel="1">
      <c r="G54" s="98" t="inlineStr">
        <is>
          <t>SetPoint 2-5</t>
        </is>
      </c>
      <c r="H54" s="533">
        <f>SLOPE(I42:I45,J42:J45)</f>
        <v/>
      </c>
      <c r="I54" s="534">
        <f>INTERCEPT(I42:I45,J42:J45)</f>
        <v/>
      </c>
      <c r="J54" s="101">
        <f>(H$55-H54)/H$55</f>
        <v/>
      </c>
      <c r="L54" s="98" t="inlineStr">
        <is>
          <t>SetPoint 2-5</t>
        </is>
      </c>
      <c r="M54" s="533">
        <f>SLOPE(N42:N45,O42:O45)</f>
        <v/>
      </c>
      <c r="N54" s="534">
        <f>INTERCEPT(N42:N45,O42:O45)</f>
        <v/>
      </c>
      <c r="O54" s="101">
        <f>(M$55-M54)/M$55</f>
        <v/>
      </c>
    </row>
    <row r="55" outlineLevel="1" ht="18" customHeight="1">
      <c r="A55" s="87" t="inlineStr">
        <is>
          <t>4.2 Estrazione Coefficienti Curva Caratteristica</t>
        </is>
      </c>
      <c r="G55" s="104" t="inlineStr">
        <is>
          <t>SetPoint 3-5</t>
        </is>
      </c>
      <c r="H55" s="535">
        <f>SLOPE(I43:I45,J43:J45)</f>
        <v/>
      </c>
      <c r="I55" s="536">
        <f>INTERCEPT(I43:I45,J43:J45)</f>
        <v/>
      </c>
      <c r="J55" s="107" t="inlineStr">
        <is>
          <t>-</t>
        </is>
      </c>
      <c r="K55" s="67" t="n"/>
      <c r="L55" s="104" t="inlineStr">
        <is>
          <t>SetPoint 3-5</t>
        </is>
      </c>
      <c r="M55" s="535">
        <f>SLOPE(N43:N45,O43:O45)</f>
        <v/>
      </c>
      <c r="N55" s="536">
        <f>INTERCEPT(N43:N45,O43:O45)</f>
        <v/>
      </c>
      <c r="O55" s="107" t="inlineStr">
        <is>
          <t>-</t>
        </is>
      </c>
    </row>
    <row r="56" outlineLevel="1" ht="18" customHeight="1">
      <c r="A56" s="87" t="n"/>
    </row>
    <row r="57" outlineLevel="1">
      <c r="B57" t="inlineStr">
        <is>
          <t>Coefficienti Curva Caratteristica GLOBALE (ovvero sulle 2 rampe)</t>
        </is>
      </c>
    </row>
    <row r="58" outlineLevel="1" ht="18" customHeight="1">
      <c r="A58" t="inlineStr">
        <is>
          <t>Lineare</t>
        </is>
      </c>
      <c r="B58" s="108" t="inlineStr">
        <is>
          <t>Q1</t>
        </is>
      </c>
      <c r="C58" s="109" t="inlineStr">
        <is>
          <t>m</t>
        </is>
      </c>
      <c r="D58" s="96" t="inlineStr">
        <is>
          <t>q</t>
        </is>
      </c>
      <c r="E58" s="110" t="n"/>
    </row>
    <row r="59" outlineLevel="1">
      <c r="A59" t="inlineStr">
        <is>
          <t>(1° ordine)</t>
        </is>
      </c>
      <c r="B59" s="111">
        <f>CONCATENATE($B$4,"/V")</f>
        <v/>
      </c>
      <c r="C59" s="537">
        <f>SLOPE(R40:R51,S40:S51)</f>
        <v/>
      </c>
      <c r="D59" s="536">
        <f>INTERCEPT(R40:R51,S40:S51)</f>
        <v/>
      </c>
      <c r="E59" s="110">
        <f>CORREL(AB5:AB55,AA5:AA55)</f>
        <v/>
      </c>
    </row>
    <row r="60" outlineLevel="1">
      <c r="B60" s="113">
        <f>CONCATENATE("V/",$B$4)</f>
        <v/>
      </c>
      <c r="C60" s="538">
        <f>SLOPE(S40:S51,R40:R51)</f>
        <v/>
      </c>
      <c r="D60" s="539">
        <f>INTERCEPT(S40:S51,R40:R51)</f>
        <v/>
      </c>
    </row>
    <row r="61" outlineLevel="1">
      <c r="B61" s="110" t="n"/>
    </row>
    <row r="62" outlineLevel="1" ht="18" customHeight="1">
      <c r="A62" t="inlineStr">
        <is>
          <t>Quadratica</t>
        </is>
      </c>
      <c r="B62" s="108" t="inlineStr">
        <is>
          <t>Q1</t>
        </is>
      </c>
      <c r="C62" s="109" t="inlineStr">
        <is>
          <t>H2</t>
        </is>
      </c>
      <c r="D62" s="109" t="inlineStr">
        <is>
          <t>H1</t>
        </is>
      </c>
      <c r="E62" s="96" t="inlineStr">
        <is>
          <t>H0</t>
        </is>
      </c>
    </row>
    <row r="63" outlineLevel="1">
      <c r="A63" t="inlineStr">
        <is>
          <t>(2° oridne)</t>
        </is>
      </c>
      <c r="B63" s="111">
        <f>CONCATENATE($B$4,"/V")</f>
        <v/>
      </c>
      <c r="C63" s="540">
        <f>INDEX(LINEST(R40:R51,(S40:S51)^{1,2}),1)</f>
        <v/>
      </c>
      <c r="D63" s="540">
        <f>INDEX(LINEST(R40:R51,(S40:S51)^{1,2}),1,2)</f>
        <v/>
      </c>
      <c r="E63" s="541">
        <f>INDEX(LINEST(R40:R51,(S40:S51)^{1,2}),1,3)</f>
        <v/>
      </c>
    </row>
    <row r="64" outlineLevel="1">
      <c r="B64" s="113">
        <f>CONCATENATE("V/",$B$4)</f>
        <v/>
      </c>
      <c r="C64" s="542">
        <f>INDEX(LINEST(S40:S51,(R40:R51)^{1,2}),1)</f>
        <v/>
      </c>
      <c r="D64" s="542">
        <f>INDEX(LINEST(S40:S51,(R40:R51)^{1,2}),1,2)</f>
        <v/>
      </c>
      <c r="E64" s="543">
        <f>INDEX(LINEST(S40:S51,(R40:R51)^{1,2}),1,3)</f>
        <v/>
      </c>
    </row>
    <row r="66" ht="25.8" customHeight="1">
      <c r="A66" s="61" t="inlineStr">
        <is>
          <t>5. Correzione dati per riportare le misure esattamente al valore di Set Point</t>
        </is>
      </c>
      <c r="B66" s="62" t="n"/>
      <c r="C66" s="62" t="n"/>
      <c r="D66" s="62" t="n"/>
      <c r="E66" s="62" t="n"/>
      <c r="F66" s="62" t="n"/>
      <c r="G66" s="62" t="n"/>
      <c r="H66" s="62" t="n"/>
      <c r="I66" s="62" t="n"/>
      <c r="J66" s="62" t="n"/>
      <c r="K66" s="62" t="n"/>
      <c r="L66" s="62" t="n"/>
      <c r="M66" s="62" t="n"/>
      <c r="N66" s="62" t="n"/>
      <c r="O66" s="62" t="n"/>
      <c r="P66" s="62" t="n"/>
      <c r="Q66" s="62" t="n"/>
      <c r="R66" s="62" t="n"/>
      <c r="S66" s="62" t="n"/>
      <c r="T66" s="62" t="n"/>
      <c r="U66" s="62" t="n"/>
      <c r="V66" s="62" t="n"/>
      <c r="W66" s="62" t="n"/>
      <c r="X66" s="62" t="n"/>
    </row>
    <row r="67" ht="25.8" customHeight="1">
      <c r="A67" s="61" t="n"/>
      <c r="B67" s="62" t="n"/>
      <c r="C67" s="62" t="n"/>
      <c r="D67" s="62" t="n"/>
      <c r="E67" s="62" t="n"/>
      <c r="F67" s="62" t="n"/>
      <c r="G67" s="62" t="n"/>
      <c r="H67" s="62" t="n"/>
      <c r="I67" s="62" t="n"/>
      <c r="J67" s="62" t="n"/>
      <c r="K67" s="62" t="n"/>
      <c r="L67" s="62" t="n"/>
      <c r="M67" s="62" t="n"/>
      <c r="N67" s="62" t="n"/>
      <c r="O67" s="62" t="n"/>
      <c r="P67" s="62" t="n"/>
      <c r="Q67" s="62" t="n"/>
      <c r="R67" s="62" t="n"/>
      <c r="S67" s="62" t="n"/>
      <c r="T67" s="62" t="n"/>
      <c r="U67" s="62" t="n"/>
      <c r="V67" s="62" t="n"/>
      <c r="W67" s="62" t="n"/>
      <c r="X67" s="62" t="n"/>
    </row>
    <row r="69" ht="15" customHeight="1" thickBot="1">
      <c r="F69" t="inlineStr">
        <is>
          <t>Coeff CC PARZIALE 1o precarico</t>
        </is>
      </c>
    </row>
    <row r="70" ht="18" customHeight="1">
      <c r="F70" s="108" t="inlineStr">
        <is>
          <t>Q1 Part R1</t>
        </is>
      </c>
      <c r="G70" s="109" t="inlineStr">
        <is>
          <t>m</t>
        </is>
      </c>
      <c r="H70" s="96" t="inlineStr">
        <is>
          <t>q</t>
        </is>
      </c>
    </row>
    <row r="71" ht="15" customHeight="1" thickBot="1">
      <c r="F71" s="111" t="inlineStr">
        <is>
          <t xml:space="preserve"> [Nm/V]</t>
        </is>
      </c>
      <c r="G71" s="537">
        <f>LINEST(E73:E74,F73:F74)</f>
        <v/>
      </c>
      <c r="H71" s="536">
        <f>INTERCEPT(E73:E74,F73:F74)</f>
        <v/>
      </c>
    </row>
    <row r="72">
      <c r="A72" t="inlineStr">
        <is>
          <t>Correzione Precarico 1</t>
        </is>
      </c>
      <c r="F72" s="120" t="inlineStr">
        <is>
          <t xml:space="preserve"> [V/Nm]</t>
        </is>
      </c>
      <c r="G72" s="544">
        <f>LINEST(F73:F74,E73:E74)</f>
        <v/>
      </c>
      <c r="H72" s="545">
        <f>INTERCEPT(F73:F74,E73:E74)</f>
        <v/>
      </c>
    </row>
    <row r="73" outlineLevel="1">
      <c r="A73" s="74">
        <f>D11</f>
        <v/>
      </c>
      <c r="B73" s="132">
        <f>SetPnt_P_0</f>
        <v/>
      </c>
      <c r="C73" s="531">
        <f>B73*$G$72+$H$72</f>
        <v/>
      </c>
      <c r="D73" s="531">
        <f>B73*$C$60+$D$60</f>
        <v/>
      </c>
      <c r="E73" s="546">
        <f>D40</f>
        <v/>
      </c>
      <c r="F73" s="546">
        <f>E40</f>
        <v/>
      </c>
      <c r="G73" s="531">
        <f>E73*$G$94+$H$94</f>
        <v/>
      </c>
      <c r="H73" s="531">
        <f>F73-G73</f>
        <v/>
      </c>
      <c r="I73" s="547">
        <f>C73+H73</f>
        <v/>
      </c>
      <c r="J73" s="548">
        <f>H73/4</f>
        <v/>
      </c>
      <c r="K73" s="549" t="n"/>
      <c r="L73" s="531">
        <f>E73*$C$60+$D$60</f>
        <v/>
      </c>
      <c r="M73" s="531">
        <f>F73-L73</f>
        <v/>
      </c>
      <c r="N73" s="547">
        <f>C73+M73</f>
        <v/>
      </c>
      <c r="O73" s="550">
        <f>M73/4</f>
        <v/>
      </c>
    </row>
    <row r="74" outlineLevel="1">
      <c r="A74" s="74">
        <f>D16</f>
        <v/>
      </c>
      <c r="B74" s="138">
        <f>SetPnt_P_5</f>
        <v/>
      </c>
      <c r="C74" s="531">
        <f>B74*$G$72+$H$72</f>
        <v/>
      </c>
      <c r="D74" s="531">
        <f>B74*$C$60+$D$60</f>
        <v/>
      </c>
      <c r="E74" s="546">
        <f>D41</f>
        <v/>
      </c>
      <c r="F74" s="546">
        <f>E41</f>
        <v/>
      </c>
      <c r="G74" s="531">
        <f>E74*$G$72+$H$72</f>
        <v/>
      </c>
      <c r="H74" s="531">
        <f>F74-G74</f>
        <v/>
      </c>
      <c r="I74" s="547">
        <f>C74+H74</f>
        <v/>
      </c>
      <c r="J74" s="548">
        <f>H74/4</f>
        <v/>
      </c>
      <c r="K74" s="549" t="n"/>
      <c r="L74" s="531">
        <f>E74*$C$60+$D$60</f>
        <v/>
      </c>
      <c r="M74" s="531">
        <f>F74-L74</f>
        <v/>
      </c>
      <c r="N74" s="547">
        <f>C74+M74</f>
        <v/>
      </c>
      <c r="O74" s="550">
        <f>M74/4</f>
        <v/>
      </c>
    </row>
    <row r="75" outlineLevel="1"/>
    <row r="76" outlineLevel="1" ht="15" customHeight="1" thickBot="1">
      <c r="F76" t="inlineStr">
        <is>
          <t>Coeff CC PARZIALE 2o precarico</t>
        </is>
      </c>
    </row>
    <row r="77" outlineLevel="1" ht="18" customHeight="1">
      <c r="F77" s="108" t="inlineStr">
        <is>
          <t>Q1 Part R1</t>
        </is>
      </c>
      <c r="G77" s="109" t="inlineStr">
        <is>
          <t>m</t>
        </is>
      </c>
      <c r="H77" s="96" t="inlineStr">
        <is>
          <t>q</t>
        </is>
      </c>
    </row>
    <row r="78" outlineLevel="1" ht="15" customHeight="1" thickBot="1">
      <c r="F78" s="111" t="inlineStr">
        <is>
          <t xml:space="preserve"> [Nm/V]</t>
        </is>
      </c>
      <c r="G78" s="537">
        <f>LINEST(E80:E81,F80:F81)</f>
        <v/>
      </c>
      <c r="H78" s="536">
        <f>INTERCEPT(E80:E81,F80:F81)</f>
        <v/>
      </c>
    </row>
    <row r="79">
      <c r="A79" t="inlineStr">
        <is>
          <t>Correzione Precarico 2</t>
        </is>
      </c>
      <c r="F79" s="120" t="inlineStr">
        <is>
          <t xml:space="preserve"> [V/Nm]</t>
        </is>
      </c>
      <c r="G79" s="544">
        <f>LINEST(F80:F81,E80:E81)</f>
        <v/>
      </c>
      <c r="H79" s="545">
        <f>INTERCEPT(F80:F81,E80:E81)</f>
        <v/>
      </c>
    </row>
    <row r="80" outlineLevel="1">
      <c r="A80" s="74">
        <f>D11</f>
        <v/>
      </c>
      <c r="B80" s="132">
        <f>SetPnt_P_0</f>
        <v/>
      </c>
      <c r="C80" s="531">
        <f>B80*$G$79+$H$79</f>
        <v/>
      </c>
      <c r="D80" s="531">
        <f>B80*$C$60+$D$60</f>
        <v/>
      </c>
      <c r="E80" s="546">
        <f>D42</f>
        <v/>
      </c>
      <c r="F80" s="546">
        <f>E42</f>
        <v/>
      </c>
      <c r="G80" s="531">
        <f>E80*$G$94+$H$94</f>
        <v/>
      </c>
      <c r="H80" s="531">
        <f>F80-G80</f>
        <v/>
      </c>
      <c r="I80" s="547">
        <f>C80+H80</f>
        <v/>
      </c>
      <c r="J80" s="548">
        <f>H80/4</f>
        <v/>
      </c>
      <c r="K80" s="549" t="n"/>
      <c r="L80" s="531">
        <f>E80*$C$60+$D$60</f>
        <v/>
      </c>
      <c r="M80" s="531">
        <f>F80-L80</f>
        <v/>
      </c>
      <c r="N80" s="547">
        <f>C80+M80</f>
        <v/>
      </c>
      <c r="O80" s="550">
        <f>M80/4</f>
        <v/>
      </c>
    </row>
    <row r="81" outlineLevel="1">
      <c r="A81" s="74">
        <f>D16</f>
        <v/>
      </c>
      <c r="B81" s="138">
        <f>SetPnt_P_5</f>
        <v/>
      </c>
      <c r="C81" s="531">
        <f>B81*$G$79+$H$79</f>
        <v/>
      </c>
      <c r="D81" s="531">
        <f>B81*$C$60+$D$60</f>
        <v/>
      </c>
      <c r="E81" s="546">
        <f>D43</f>
        <v/>
      </c>
      <c r="F81" s="546">
        <f>E43</f>
        <v/>
      </c>
      <c r="G81" s="531">
        <f>E81*$G$79+$H$79</f>
        <v/>
      </c>
      <c r="H81" s="531">
        <f>F81-G81</f>
        <v/>
      </c>
      <c r="I81" s="547">
        <f>C81+H81</f>
        <v/>
      </c>
      <c r="J81" s="548">
        <f>H81/4</f>
        <v/>
      </c>
      <c r="K81" s="549" t="n"/>
      <c r="L81" s="531">
        <f>E81*$C$60+$D$60</f>
        <v/>
      </c>
      <c r="M81" s="531">
        <f>F81-L81</f>
        <v/>
      </c>
      <c r="N81" s="547">
        <f>C81+M81</f>
        <v/>
      </c>
      <c r="O81" s="550">
        <f>M81/4</f>
        <v/>
      </c>
    </row>
    <row r="82" outlineLevel="1"/>
    <row r="83" outlineLevel="1" ht="15" customHeight="1" thickBot="1">
      <c r="F83" t="inlineStr">
        <is>
          <t>Coeff CC PARZIALE 3o precarico</t>
        </is>
      </c>
    </row>
    <row r="84" outlineLevel="1" ht="18" customHeight="1">
      <c r="F84" s="108" t="inlineStr">
        <is>
          <t>Q1 Part R1</t>
        </is>
      </c>
      <c r="G84" s="109" t="inlineStr">
        <is>
          <t>m</t>
        </is>
      </c>
      <c r="H84" s="96" t="inlineStr">
        <is>
          <t>q</t>
        </is>
      </c>
    </row>
    <row r="85" outlineLevel="1" ht="15" customHeight="1" thickBot="1">
      <c r="F85" s="111" t="inlineStr">
        <is>
          <t xml:space="preserve"> [Nm/V]</t>
        </is>
      </c>
      <c r="G85" s="537">
        <f>LINEST(E87:E88,F87:F88)</f>
        <v/>
      </c>
      <c r="H85" s="536">
        <f>INTERCEPT(E87:E88,F87:F88)</f>
        <v/>
      </c>
    </row>
    <row r="86">
      <c r="A86" t="inlineStr">
        <is>
          <t>Correzione Precarico 3</t>
        </is>
      </c>
      <c r="F86" s="120" t="inlineStr">
        <is>
          <t xml:space="preserve"> [V/Nm]</t>
        </is>
      </c>
      <c r="G86" s="544">
        <f>LINEST(F87:F88,E87:E88)</f>
        <v/>
      </c>
      <c r="H86" s="545">
        <f>INTERCEPT(F87:F88,E87:E88)</f>
        <v/>
      </c>
    </row>
    <row r="87" outlineLevel="1">
      <c r="A87" s="74">
        <f>D11</f>
        <v/>
      </c>
      <c r="B87" s="132">
        <f>SetPnt_P_0</f>
        <v/>
      </c>
      <c r="C87" s="531">
        <f>B87*$G$86+$H$86</f>
        <v/>
      </c>
      <c r="D87" s="531">
        <f>B87*$C$60+$D$60</f>
        <v/>
      </c>
      <c r="E87" s="546">
        <f>D44</f>
        <v/>
      </c>
      <c r="F87" s="546">
        <f>E44</f>
        <v/>
      </c>
      <c r="G87" s="531">
        <f>E87*$G$94+$H$94</f>
        <v/>
      </c>
      <c r="H87" s="531">
        <f>F87-G87</f>
        <v/>
      </c>
      <c r="I87" s="547">
        <f>C87+H87</f>
        <v/>
      </c>
      <c r="J87" s="548">
        <f>H87/4</f>
        <v/>
      </c>
      <c r="K87" s="549" t="n"/>
      <c r="L87" s="531">
        <f>E87*$C$60+$D$60</f>
        <v/>
      </c>
      <c r="M87" s="531">
        <f>F87-L87</f>
        <v/>
      </c>
      <c r="N87" s="547">
        <f>C87+M87</f>
        <v/>
      </c>
      <c r="O87" s="550">
        <f>M87/4</f>
        <v/>
      </c>
    </row>
    <row r="88" outlineLevel="1">
      <c r="A88" s="74">
        <f>D16</f>
        <v/>
      </c>
      <c r="B88" s="138">
        <f>SetPnt_P_5</f>
        <v/>
      </c>
      <c r="C88" s="531">
        <f>B88*$G$86+$H$86</f>
        <v/>
      </c>
      <c r="D88" s="531">
        <f>B88*$C$60+$D$60</f>
        <v/>
      </c>
      <c r="E88" s="546">
        <f>D45</f>
        <v/>
      </c>
      <c r="F88" s="546">
        <f>E45</f>
        <v/>
      </c>
      <c r="G88" s="531">
        <f>E88*$G$86+$H$86</f>
        <v/>
      </c>
      <c r="H88" s="531">
        <f>F88-G88</f>
        <v/>
      </c>
      <c r="I88" s="547">
        <f>C88+H88</f>
        <v/>
      </c>
      <c r="J88" s="548">
        <f>H88/4</f>
        <v/>
      </c>
      <c r="K88" s="549" t="n"/>
      <c r="L88" s="531">
        <f>E88*$C$60+$D$60</f>
        <v/>
      </c>
      <c r="M88" s="531">
        <f>F88-L88</f>
        <v/>
      </c>
      <c r="N88" s="547">
        <f>C88+M88</f>
        <v/>
      </c>
      <c r="O88" s="550">
        <f>M88/4</f>
        <v/>
      </c>
    </row>
    <row r="89" outlineLevel="1"/>
    <row r="90" outlineLevel="1"/>
    <row r="91" outlineLevel="1" ht="15" customHeight="1" thickBot="1">
      <c r="F91" t="inlineStr">
        <is>
          <t>Coeff CC PARZIALE 1a Rampa</t>
        </is>
      </c>
    </row>
    <row r="92" outlineLevel="1" ht="18" customHeight="1">
      <c r="F92" s="108" t="inlineStr">
        <is>
          <t>Q1 Part R1</t>
        </is>
      </c>
      <c r="G92" s="109" t="inlineStr">
        <is>
          <t>m</t>
        </is>
      </c>
      <c r="H92" s="96" t="inlineStr">
        <is>
          <t>q</t>
        </is>
      </c>
    </row>
    <row r="93" outlineLevel="1" ht="15" customHeight="1" thickBot="1">
      <c r="F93" s="111" t="inlineStr">
        <is>
          <t xml:space="preserve"> [Nm/V]</t>
        </is>
      </c>
      <c r="G93" s="537">
        <f>LINEST(E96:E101,F96:F101)</f>
        <v/>
      </c>
      <c r="H93" s="536">
        <f>INTERCEPT(E96:E101,F96:F101)</f>
        <v/>
      </c>
    </row>
    <row r="94" outlineLevel="1" ht="15" customHeight="1" thickBot="1">
      <c r="F94" s="120" t="inlineStr">
        <is>
          <t xml:space="preserve"> [V/Nm]</t>
        </is>
      </c>
      <c r="G94" s="544">
        <f>LINEST(F96:F101,E96:E101)</f>
        <v/>
      </c>
      <c r="H94" s="545">
        <f>INTERCEPT(F96:F101,E96:E101)</f>
        <v/>
      </c>
    </row>
    <row r="95" outlineLevel="1" ht="38.4" customHeight="1" thickBot="1">
      <c r="A95" s="123" t="inlineStr">
        <is>
          <t>1a Rampa
a gradini</t>
        </is>
      </c>
      <c r="B95" s="124" t="inlineStr">
        <is>
          <t>Set Ponts
Target</t>
        </is>
      </c>
      <c r="C95" s="125" t="inlineStr">
        <is>
          <t>Sig Teorico
Ciclo</t>
        </is>
      </c>
      <c r="D95" s="125" t="inlineStr">
        <is>
          <t>Sig Teorico
TOT</t>
        </is>
      </c>
      <c r="E95" s="126" t="inlineStr">
        <is>
          <t>Riferimento</t>
        </is>
      </c>
      <c r="F95" s="126" t="inlineStr">
        <is>
          <t>Segnale</t>
        </is>
      </c>
      <c r="G95" s="125" t="inlineStr">
        <is>
          <t>Inter
Vout</t>
        </is>
      </c>
      <c r="H95" s="125" t="inlineStr">
        <is>
          <t>Err
Vout</t>
        </is>
      </c>
      <c r="I95" s="127" t="inlineStr">
        <is>
          <t>Corretto</t>
        </is>
      </c>
      <c r="J95" s="128" t="inlineStr">
        <is>
          <t>Err
rel</t>
        </is>
      </c>
      <c r="K95" s="129" t="n"/>
      <c r="L95" s="125" t="inlineStr">
        <is>
          <t>Inter
Vout TOT</t>
        </is>
      </c>
      <c r="M95" s="125" t="inlineStr">
        <is>
          <t>Err
Vout TOT</t>
        </is>
      </c>
      <c r="N95" s="130" t="inlineStr">
        <is>
          <t>Corretto
TOT</t>
        </is>
      </c>
      <c r="O95" s="131" t="inlineStr">
        <is>
          <t>Err
rel</t>
        </is>
      </c>
    </row>
    <row r="96" outlineLevel="1" ht="15" customHeight="1" thickTop="1">
      <c r="A96" s="74">
        <f>D11</f>
        <v/>
      </c>
      <c r="B96" s="132">
        <f>SetPnt_P_0</f>
        <v/>
      </c>
      <c r="C96" s="531">
        <f>B96*$G$94+$H$94</f>
        <v/>
      </c>
      <c r="D96" s="531">
        <f>B96*$C$60+$D$60</f>
        <v/>
      </c>
      <c r="E96" s="546">
        <f>I40</f>
        <v/>
      </c>
      <c r="F96" s="546">
        <f>J40</f>
        <v/>
      </c>
      <c r="G96" s="531">
        <f>E96*$G$94+$H$94</f>
        <v/>
      </c>
      <c r="H96" s="531">
        <f>F96-G96</f>
        <v/>
      </c>
      <c r="I96" s="547">
        <f>C96+H96</f>
        <v/>
      </c>
      <c r="J96" s="548">
        <f>H96/4</f>
        <v/>
      </c>
      <c r="K96" s="549" t="n"/>
      <c r="L96" s="531">
        <f>E96*$C$60+$D$60</f>
        <v/>
      </c>
      <c r="M96" s="531">
        <f>F96-L96</f>
        <v/>
      </c>
      <c r="N96" s="547">
        <f>C96+M96</f>
        <v/>
      </c>
      <c r="O96" s="550">
        <f>M96/4</f>
        <v/>
      </c>
    </row>
    <row r="97" outlineLevel="1">
      <c r="A97" s="74">
        <f>D12</f>
        <v/>
      </c>
      <c r="B97" s="138">
        <f>SetPnt_P_1</f>
        <v/>
      </c>
      <c r="C97" s="531">
        <f>B97*$G$94+$H$94</f>
        <v/>
      </c>
      <c r="D97" s="531">
        <f>B97*$C$60+$D$60</f>
        <v/>
      </c>
      <c r="E97" s="546">
        <f>I41</f>
        <v/>
      </c>
      <c r="F97" s="546">
        <f>J41</f>
        <v/>
      </c>
      <c r="G97" s="531">
        <f>E97*$G$94+$H$94</f>
        <v/>
      </c>
      <c r="H97" s="531">
        <f>F97-G97</f>
        <v/>
      </c>
      <c r="I97" s="547">
        <f>C97+H97</f>
        <v/>
      </c>
      <c r="J97" s="548">
        <f>H97/4</f>
        <v/>
      </c>
      <c r="K97" s="549" t="n"/>
      <c r="L97" s="531">
        <f>E97*$C$60+$D$60</f>
        <v/>
      </c>
      <c r="M97" s="531">
        <f>F97-L97</f>
        <v/>
      </c>
      <c r="N97" s="547">
        <f>C97+M97</f>
        <v/>
      </c>
      <c r="O97" s="550">
        <f>M97/4</f>
        <v/>
      </c>
    </row>
    <row r="98" outlineLevel="1">
      <c r="A98" s="74">
        <f>D13</f>
        <v/>
      </c>
      <c r="B98" s="138">
        <f>SetPnt_P_2</f>
        <v/>
      </c>
      <c r="C98" s="531">
        <f>B98*$G$94+$H$94</f>
        <v/>
      </c>
      <c r="D98" s="531">
        <f>B98*$C$60+$D$60</f>
        <v/>
      </c>
      <c r="E98" s="546">
        <f>I42</f>
        <v/>
      </c>
      <c r="F98" s="546">
        <f>J42</f>
        <v/>
      </c>
      <c r="G98" s="531">
        <f>E98*$G$94+$H$94</f>
        <v/>
      </c>
      <c r="H98" s="531">
        <f>F98-G98</f>
        <v/>
      </c>
      <c r="I98" s="547">
        <f>C98+H98</f>
        <v/>
      </c>
      <c r="J98" s="548">
        <f>H98/4</f>
        <v/>
      </c>
      <c r="K98" s="549" t="n"/>
      <c r="L98" s="531">
        <f>E98*$C$60+$D$60</f>
        <v/>
      </c>
      <c r="M98" s="531">
        <f>F98-L98</f>
        <v/>
      </c>
      <c r="N98" s="547">
        <f>C98+M98</f>
        <v/>
      </c>
      <c r="O98" s="550">
        <f>M98/4</f>
        <v/>
      </c>
    </row>
    <row r="99" outlineLevel="1">
      <c r="A99" s="74">
        <f>D14</f>
        <v/>
      </c>
      <c r="B99" s="138">
        <f>SetPnt_P_3</f>
        <v/>
      </c>
      <c r="C99" s="531">
        <f>B99*$G$94+$H$94</f>
        <v/>
      </c>
      <c r="D99" s="531">
        <f>B99*$C$60+$D$60</f>
        <v/>
      </c>
      <c r="E99" s="546">
        <f>I43</f>
        <v/>
      </c>
      <c r="F99" s="546">
        <f>J43</f>
        <v/>
      </c>
      <c r="G99" s="531">
        <f>E99*$G$94+$H$94</f>
        <v/>
      </c>
      <c r="H99" s="531">
        <f>F99-G99</f>
        <v/>
      </c>
      <c r="I99" s="547">
        <f>C99+H99</f>
        <v/>
      </c>
      <c r="J99" s="548">
        <f>H99/4</f>
        <v/>
      </c>
      <c r="K99" s="549" t="n"/>
      <c r="L99" s="531">
        <f>E99*$C$60+$D$60</f>
        <v/>
      </c>
      <c r="M99" s="531">
        <f>F99-L99</f>
        <v/>
      </c>
      <c r="N99" s="547">
        <f>C99+M99</f>
        <v/>
      </c>
      <c r="O99" s="550">
        <f>M99/4</f>
        <v/>
      </c>
    </row>
    <row r="100" outlineLevel="1">
      <c r="A100" s="74">
        <f>D15</f>
        <v/>
      </c>
      <c r="B100" s="138">
        <f>SetPnt_P_4</f>
        <v/>
      </c>
      <c r="C100" s="531">
        <f>B100*$G$94+$H$94</f>
        <v/>
      </c>
      <c r="D100" s="531">
        <f>B100*$C$60+$D$60</f>
        <v/>
      </c>
      <c r="E100" s="546">
        <f>I44</f>
        <v/>
      </c>
      <c r="F100" s="546">
        <f>J44</f>
        <v/>
      </c>
      <c r="G100" s="531">
        <f>E100*$G$94+$H$94</f>
        <v/>
      </c>
      <c r="H100" s="531">
        <f>F100-G100</f>
        <v/>
      </c>
      <c r="I100" s="547">
        <f>C100+H100</f>
        <v/>
      </c>
      <c r="J100" s="548">
        <f>H100/4</f>
        <v/>
      </c>
      <c r="K100" s="549" t="n"/>
      <c r="L100" s="531">
        <f>E100*$C$60+$D$60</f>
        <v/>
      </c>
      <c r="M100" s="531">
        <f>F100-L100</f>
        <v/>
      </c>
      <c r="N100" s="547">
        <f>C100+M100</f>
        <v/>
      </c>
      <c r="O100" s="550">
        <f>M100/4</f>
        <v/>
      </c>
    </row>
    <row r="101" outlineLevel="1" ht="15" customHeight="1" thickBot="1">
      <c r="A101" s="66">
        <f>D16</f>
        <v/>
      </c>
      <c r="B101" s="139">
        <f>SetPnt_P_5</f>
        <v/>
      </c>
      <c r="C101" s="551">
        <f>B101*$G$94+$H$94</f>
        <v/>
      </c>
      <c r="D101" s="551">
        <f>B101*$C$60+$D$60</f>
        <v/>
      </c>
      <c r="E101" s="552">
        <f>I45</f>
        <v/>
      </c>
      <c r="F101" s="552">
        <f>J45</f>
        <v/>
      </c>
      <c r="G101" s="551">
        <f>E101*$G$94+$H$94</f>
        <v/>
      </c>
      <c r="H101" s="551">
        <f>F101-G101</f>
        <v/>
      </c>
      <c r="I101" s="553">
        <f>C101+H101</f>
        <v/>
      </c>
      <c r="J101" s="554">
        <f>H101/4</f>
        <v/>
      </c>
      <c r="K101" s="555" t="n"/>
      <c r="L101" s="551">
        <f>E101*$C$60+$D$60</f>
        <v/>
      </c>
      <c r="M101" s="551">
        <f>F101-L101</f>
        <v/>
      </c>
      <c r="N101" s="553">
        <f>C101+M101</f>
        <v/>
      </c>
      <c r="O101" s="556">
        <f>M101/4</f>
        <v/>
      </c>
    </row>
    <row r="102" outlineLevel="1" ht="15" customHeight="1" thickBot="1">
      <c r="F102" t="inlineStr">
        <is>
          <t>Coeff CC PARZIALE 2a Rampa</t>
        </is>
      </c>
    </row>
    <row r="103" outlineLevel="1" ht="18" customHeight="1">
      <c r="F103" s="108" t="inlineStr">
        <is>
          <t>Q1 Part R2</t>
        </is>
      </c>
      <c r="G103" s="109" t="inlineStr">
        <is>
          <t>m</t>
        </is>
      </c>
      <c r="H103" s="96" t="inlineStr">
        <is>
          <t>q</t>
        </is>
      </c>
    </row>
    <row r="104" outlineLevel="1" ht="15" customHeight="1" thickBot="1">
      <c r="F104" s="111" t="inlineStr">
        <is>
          <t xml:space="preserve"> [Nm/V]</t>
        </is>
      </c>
      <c r="G104" s="537">
        <f>LINEST(E107:E112,F107:F112)</f>
        <v/>
      </c>
      <c r="H104" s="536">
        <f>INTERCEPT(E107:E112,F107:F112)</f>
        <v/>
      </c>
    </row>
    <row r="105" outlineLevel="1" ht="15" customHeight="1" thickBot="1">
      <c r="F105" s="113" t="inlineStr">
        <is>
          <t xml:space="preserve"> [V/Nm]</t>
        </is>
      </c>
      <c r="G105" s="557">
        <f>LINEST(F107:F112,E107:E112)</f>
        <v/>
      </c>
      <c r="H105" s="558">
        <f>INTERCEPT(F107:F112,E107:E112)</f>
        <v/>
      </c>
    </row>
    <row r="106" outlineLevel="1" ht="31.8" customHeight="1" thickBot="1">
      <c r="A106" s="123" t="inlineStr">
        <is>
          <t>2a rampa</t>
        </is>
      </c>
      <c r="B106" s="124" t="inlineStr">
        <is>
          <t>Teorico</t>
        </is>
      </c>
      <c r="C106" s="125" t="inlineStr">
        <is>
          <t>Sig Teorico Ciclo</t>
        </is>
      </c>
      <c r="D106" s="125" t="inlineStr">
        <is>
          <t>Sig Teorico TOT</t>
        </is>
      </c>
      <c r="E106" s="126" t="inlineStr">
        <is>
          <t>Riferimento</t>
        </is>
      </c>
      <c r="F106" s="126" t="inlineStr">
        <is>
          <t>Segnale</t>
        </is>
      </c>
      <c r="G106" s="125" t="inlineStr">
        <is>
          <t>Inter Vout</t>
        </is>
      </c>
      <c r="H106" s="125" t="inlineStr">
        <is>
          <t>Err Vout</t>
        </is>
      </c>
      <c r="I106" s="127" t="inlineStr">
        <is>
          <t>Corretto</t>
        </is>
      </c>
      <c r="J106" s="128" t="inlineStr">
        <is>
          <t>Err rel</t>
        </is>
      </c>
      <c r="K106" s="129" t="n"/>
      <c r="L106" s="125" t="inlineStr">
        <is>
          <t>Inter Vout TOT</t>
        </is>
      </c>
      <c r="M106" s="125" t="inlineStr">
        <is>
          <t>Err Vout TOT</t>
        </is>
      </c>
      <c r="N106" s="130" t="inlineStr">
        <is>
          <t>Corretto TOT</t>
        </is>
      </c>
      <c r="O106" s="131" t="inlineStr">
        <is>
          <t>Err rel</t>
        </is>
      </c>
    </row>
    <row r="107" outlineLevel="1" ht="15" customHeight="1" thickTop="1">
      <c r="A107" s="74">
        <f>D11</f>
        <v/>
      </c>
      <c r="B107" s="132">
        <f>SetPnt_P_0</f>
        <v/>
      </c>
      <c r="C107" s="531">
        <f>B107*$G$105+$H$105</f>
        <v/>
      </c>
      <c r="D107" s="531">
        <f>B107*$C$60+$D$60</f>
        <v/>
      </c>
      <c r="E107" s="546">
        <f>N40</f>
        <v/>
      </c>
      <c r="F107" s="546">
        <f>O40</f>
        <v/>
      </c>
      <c r="G107" s="531">
        <f>E107*$G$105+$H$105</f>
        <v/>
      </c>
      <c r="H107" s="531">
        <f>F107-G107</f>
        <v/>
      </c>
      <c r="I107" s="547">
        <f>C107+H107</f>
        <v/>
      </c>
      <c r="J107" s="548">
        <f>H107/4</f>
        <v/>
      </c>
      <c r="K107" s="549" t="n"/>
      <c r="L107" s="531">
        <f>E107*$C$60+$D$60</f>
        <v/>
      </c>
      <c r="M107" s="531">
        <f>F107-L107</f>
        <v/>
      </c>
      <c r="N107" s="547">
        <f>C107+M107</f>
        <v/>
      </c>
      <c r="O107" s="550">
        <f>M107/4</f>
        <v/>
      </c>
    </row>
    <row r="108" outlineLevel="1">
      <c r="A108" s="74">
        <f>D12</f>
        <v/>
      </c>
      <c r="B108" s="138">
        <f>SetPnt_P_1</f>
        <v/>
      </c>
      <c r="C108" s="531">
        <f>B108*$G$105+$H$105</f>
        <v/>
      </c>
      <c r="D108" s="531">
        <f>B108*$C$60+$D$60</f>
        <v/>
      </c>
      <c r="E108" s="546">
        <f>N41</f>
        <v/>
      </c>
      <c r="F108" s="546">
        <f>O41</f>
        <v/>
      </c>
      <c r="G108" s="531">
        <f>E108*$G$105+$H$105</f>
        <v/>
      </c>
      <c r="H108" s="531">
        <f>F108-G108</f>
        <v/>
      </c>
      <c r="I108" s="547">
        <f>C108+H108</f>
        <v/>
      </c>
      <c r="J108" s="548">
        <f>H108/4</f>
        <v/>
      </c>
      <c r="K108" s="549" t="n"/>
      <c r="L108" s="531">
        <f>E108*$C$60+$D$60</f>
        <v/>
      </c>
      <c r="M108" s="531">
        <f>F108-L108</f>
        <v/>
      </c>
      <c r="N108" s="547">
        <f>C108+M108</f>
        <v/>
      </c>
      <c r="O108" s="550">
        <f>M108/4</f>
        <v/>
      </c>
    </row>
    <row r="109" outlineLevel="1">
      <c r="A109" s="74">
        <f>D13</f>
        <v/>
      </c>
      <c r="B109" s="138">
        <f>SetPnt_P_2</f>
        <v/>
      </c>
      <c r="C109" s="531">
        <f>B109*$G$105+$H$105</f>
        <v/>
      </c>
      <c r="D109" s="531">
        <f>B109*$C$60+$D$60</f>
        <v/>
      </c>
      <c r="E109" s="546">
        <f>N42</f>
        <v/>
      </c>
      <c r="F109" s="546">
        <f>O42</f>
        <v/>
      </c>
      <c r="G109" s="531">
        <f>E109*$G$105+$H$105</f>
        <v/>
      </c>
      <c r="H109" s="531">
        <f>F109-G109</f>
        <v/>
      </c>
      <c r="I109" s="547">
        <f>C109+H109</f>
        <v/>
      </c>
      <c r="J109" s="548">
        <f>H109/4</f>
        <v/>
      </c>
      <c r="K109" s="549" t="n"/>
      <c r="L109" s="531">
        <f>E109*$C$60+$D$60</f>
        <v/>
      </c>
      <c r="M109" s="531">
        <f>F109-L109</f>
        <v/>
      </c>
      <c r="N109" s="547">
        <f>C109+M109</f>
        <v/>
      </c>
      <c r="O109" s="550">
        <f>M109/4</f>
        <v/>
      </c>
    </row>
    <row r="110" outlineLevel="1">
      <c r="A110" s="74">
        <f>D14</f>
        <v/>
      </c>
      <c r="B110" s="138">
        <f>SetPnt_P_3</f>
        <v/>
      </c>
      <c r="C110" s="531">
        <f>B110*$G$105+$H$105</f>
        <v/>
      </c>
      <c r="D110" s="531">
        <f>B110*$C$60+$D$60</f>
        <v/>
      </c>
      <c r="E110" s="546">
        <f>N43</f>
        <v/>
      </c>
      <c r="F110" s="546">
        <f>O43</f>
        <v/>
      </c>
      <c r="G110" s="531">
        <f>E110*$G$105+$H$105</f>
        <v/>
      </c>
      <c r="H110" s="531">
        <f>F110-G110</f>
        <v/>
      </c>
      <c r="I110" s="547">
        <f>C110+H110</f>
        <v/>
      </c>
      <c r="J110" s="548">
        <f>H110/4</f>
        <v/>
      </c>
      <c r="K110" s="549" t="n"/>
      <c r="L110" s="531">
        <f>E110*$C$60+$D$60</f>
        <v/>
      </c>
      <c r="M110" s="531">
        <f>F110-L110</f>
        <v/>
      </c>
      <c r="N110" s="547">
        <f>C110+M110</f>
        <v/>
      </c>
      <c r="O110" s="550">
        <f>M110/4</f>
        <v/>
      </c>
    </row>
    <row r="111" outlineLevel="1">
      <c r="A111" s="74">
        <f>D15</f>
        <v/>
      </c>
      <c r="B111" s="138">
        <f>SetPnt_P_4</f>
        <v/>
      </c>
      <c r="C111" s="531">
        <f>B111*$G$105+$H$105</f>
        <v/>
      </c>
      <c r="D111" s="531">
        <f>B111*$C$60+$D$60</f>
        <v/>
      </c>
      <c r="E111" s="546">
        <f>N44</f>
        <v/>
      </c>
      <c r="F111" s="546">
        <f>O44</f>
        <v/>
      </c>
      <c r="G111" s="531">
        <f>E111*$G$105+$H$105</f>
        <v/>
      </c>
      <c r="H111" s="531">
        <f>F111-G111</f>
        <v/>
      </c>
      <c r="I111" s="547">
        <f>C111+H111</f>
        <v/>
      </c>
      <c r="J111" s="548">
        <f>H111/4</f>
        <v/>
      </c>
      <c r="K111" s="549" t="n"/>
      <c r="L111" s="531">
        <f>E111*$C$60+$D$60</f>
        <v/>
      </c>
      <c r="M111" s="531">
        <f>F111-L111</f>
        <v/>
      </c>
      <c r="N111" s="547">
        <f>C111+M111</f>
        <v/>
      </c>
      <c r="O111" s="550">
        <f>M111/4</f>
        <v/>
      </c>
    </row>
    <row r="112" outlineLevel="1" ht="15" customHeight="1" thickBot="1">
      <c r="A112" s="66">
        <f>D16</f>
        <v/>
      </c>
      <c r="B112" s="139">
        <f>SetPnt_P_5</f>
        <v/>
      </c>
      <c r="C112" s="551">
        <f>B112*$G$105+$H$105</f>
        <v/>
      </c>
      <c r="D112" s="551">
        <f>B112*$C$60+$D$60</f>
        <v/>
      </c>
      <c r="E112" s="552">
        <f>N45</f>
        <v/>
      </c>
      <c r="F112" s="552">
        <f>O45</f>
        <v/>
      </c>
      <c r="G112" s="551">
        <f>E112*$G$105+$H$105</f>
        <v/>
      </c>
      <c r="H112" s="551">
        <f>F112-G112</f>
        <v/>
      </c>
      <c r="I112" s="553">
        <f>C112+H112</f>
        <v/>
      </c>
      <c r="J112" s="554">
        <f>H112/4</f>
        <v/>
      </c>
      <c r="K112" s="555" t="n"/>
      <c r="L112" s="551">
        <f>E112*$C$60+$D$60</f>
        <v/>
      </c>
      <c r="M112" s="551">
        <f>F112-L112</f>
        <v/>
      </c>
      <c r="N112" s="553">
        <f>C112+M112</f>
        <v/>
      </c>
      <c r="O112" s="556">
        <f>M112/4</f>
        <v/>
      </c>
    </row>
    <row r="114" ht="25.8" customHeight="1">
      <c r="A114" s="61" t="inlineStr">
        <is>
          <t>6. Calcolo secondo Euramet s1s2</t>
        </is>
      </c>
      <c r="B114" s="62" t="n"/>
      <c r="C114" s="62" t="n"/>
      <c r="D114" s="62" t="n"/>
      <c r="E114" s="62" t="n"/>
      <c r="F114" s="62" t="n"/>
      <c r="G114" s="62" t="n"/>
      <c r="H114" s="62" t="n"/>
      <c r="I114" s="62" t="n"/>
      <c r="J114" s="62" t="n"/>
      <c r="K114" s="62" t="n"/>
      <c r="L114" s="62" t="n"/>
      <c r="M114" s="62" t="n"/>
      <c r="N114" s="62" t="n"/>
      <c r="O114" s="62" t="n"/>
      <c r="P114" s="62" t="n"/>
      <c r="Q114" s="62" t="n"/>
      <c r="R114" s="62" t="n"/>
      <c r="S114" s="62" t="n"/>
      <c r="T114" s="62" t="n"/>
      <c r="U114" s="62" t="n"/>
      <c r="V114" s="62" t="n"/>
      <c r="W114" s="62" t="n"/>
      <c r="X114" s="62" t="n"/>
    </row>
    <row r="115" outlineLevel="1" ht="15" customHeight="1" thickBot="1"/>
    <row r="116" outlineLevel="1" ht="18.6" customHeight="1" thickBot="1">
      <c r="A116" s="148" t="inlineStr">
        <is>
          <t>Q1 Euramet</t>
        </is>
      </c>
      <c r="B116" s="149" t="inlineStr">
        <is>
          <t>H2</t>
        </is>
      </c>
      <c r="C116" s="149" t="inlineStr">
        <is>
          <t>H1</t>
        </is>
      </c>
      <c r="D116" s="150" t="inlineStr">
        <is>
          <t>H0</t>
        </is>
      </c>
      <c r="E116" s="151" t="n"/>
      <c r="F116" s="148" t="inlineStr">
        <is>
          <t>Q1 Euramet</t>
        </is>
      </c>
      <c r="G116" s="149" t="inlineStr">
        <is>
          <t>m</t>
        </is>
      </c>
      <c r="H116" s="150" t="inlineStr">
        <is>
          <t>q</t>
        </is>
      </c>
      <c r="M116" s="152" t="n"/>
      <c r="N116" s="152" t="n"/>
      <c r="O116" s="152" t="n"/>
    </row>
    <row r="117" outlineLevel="1" ht="15" customHeight="1" thickTop="1">
      <c r="A117" s="153">
        <f>CONCATENATE("Cert [",EUnits,"/V]")</f>
        <v/>
      </c>
      <c r="B117" s="559">
        <f>INDEX(LINEST(T123:T134,(S123:S134)^{1,2}),1)</f>
        <v/>
      </c>
      <c r="C117" s="559">
        <f>INDEX(LINEST(T123:T134,(S123:S134)^{1,2}),1,2)</f>
        <v/>
      </c>
      <c r="D117" s="560">
        <f>INDEX(LINEST(T123:T134,(S123:S134)^{1,2}),1,3)</f>
        <v/>
      </c>
      <c r="F117" s="156">
        <f>CONCATENATE("Cert [",EUnits,"/V]")</f>
        <v/>
      </c>
      <c r="G117" s="561">
        <f>LINEST(T123:T134,S123:S134)</f>
        <v/>
      </c>
      <c r="H117" s="562">
        <f>INTERCEPT(T123:T134,S123:S134)</f>
        <v/>
      </c>
      <c r="O117" s="152" t="n"/>
    </row>
    <row r="118" outlineLevel="1" ht="15" customHeight="1" thickBot="1">
      <c r="A118" s="113">
        <f>CONCATENATE("Cert [V/",EUnits,"]")</f>
        <v/>
      </c>
      <c r="B118" s="563">
        <f>INDEX(LINEST(S123:S134,(T123:T134)^{1,2}),1)</f>
        <v/>
      </c>
      <c r="C118" s="563">
        <f>INDEX(LINEST(S123:S134,(T123:T134)^{1,2}),1,2)</f>
        <v/>
      </c>
      <c r="D118" s="564">
        <f>INDEX(LINEST(S123:S134,(T123:T134)^{1,2}),1,3)</f>
        <v/>
      </c>
      <c r="F118" s="113">
        <f>CONCATENATE("Cert [V/",EUnits,"]")</f>
        <v/>
      </c>
      <c r="G118" s="565">
        <f>LINEST(S123:S134,T123:T134)</f>
        <v/>
      </c>
      <c r="H118" s="162">
        <f>INTERCEPT(S123:S134,T123:T134)</f>
        <v/>
      </c>
      <c r="O118" s="152" t="n"/>
    </row>
    <row r="119" outlineLevel="1"/>
    <row r="120" outlineLevel="1" ht="18.6" customHeight="1" thickBot="1">
      <c r="A120" s="87" t="inlineStr">
        <is>
          <t>6.1 Corretto (che cosa intenti Emanuele?)</t>
        </is>
      </c>
      <c r="B120" s="163" t="n"/>
      <c r="C120" s="163" t="n"/>
      <c r="D120" s="163" t="n"/>
      <c r="P120" s="152" t="n"/>
    </row>
    <row r="121" outlineLevel="1" ht="30" customHeight="1" thickBot="1">
      <c r="A121" s="164" t="inlineStr">
        <is>
          <t>Momento</t>
        </is>
      </c>
      <c r="B121" s="165" t="inlineStr">
        <is>
          <t>0°</t>
        </is>
      </c>
      <c r="C121" s="166" t="inlineStr">
        <is>
          <t>0°</t>
        </is>
      </c>
      <c r="D121" s="167" t="inlineStr">
        <is>
          <t>0°</t>
        </is>
      </c>
      <c r="E121" s="168" t="inlineStr">
        <is>
          <t>Salita 1</t>
        </is>
      </c>
      <c r="F121" s="166" t="inlineStr">
        <is>
          <t>Discesa 3</t>
        </is>
      </c>
      <c r="G121" s="167" t="inlineStr">
        <is>
          <t>Salita 2</t>
        </is>
      </c>
      <c r="H121" s="462" t="inlineStr">
        <is>
          <t>Interpolato
2° ordine</t>
        </is>
      </c>
      <c r="I121" s="463" t="inlineStr">
        <is>
          <t>Interpolato
1° ordine</t>
        </is>
      </c>
      <c r="J121" s="169" t="n"/>
      <c r="K121" s="458" t="inlineStr">
        <is>
          <t>X
medio</t>
        </is>
      </c>
      <c r="L121" s="458" t="inlineStr">
        <is>
          <t>b'
Ripetibilità</t>
        </is>
      </c>
      <c r="M121" s="458" t="inlineStr">
        <is>
          <t>b
Riproducibilità</t>
        </is>
      </c>
      <c r="N121" s="458" t="inlineStr">
        <is>
          <t>h
reversibilità</t>
        </is>
      </c>
      <c r="O121" s="458" t="inlineStr">
        <is>
          <t>fa
1° ordine</t>
        </is>
      </c>
      <c r="P121" s="458" t="inlineStr">
        <is>
          <t>fa
2° ordine</t>
        </is>
      </c>
      <c r="R121" s="459" t="inlineStr">
        <is>
          <t>Sequenza (per calcolo Reg Lin)</t>
        </is>
      </c>
      <c r="S121" s="529" t="n"/>
      <c r="T121" s="529" t="n"/>
    </row>
    <row r="122" outlineLevel="1" ht="29.4" customHeight="1" thickTop="1">
      <c r="A122" s="170" t="n"/>
      <c r="B122" s="171" t="inlineStr">
        <is>
          <t>Precarico</t>
        </is>
      </c>
      <c r="C122" s="172" t="inlineStr">
        <is>
          <t>Precarico</t>
        </is>
      </c>
      <c r="D122" s="173" t="inlineStr">
        <is>
          <t>Precarico</t>
        </is>
      </c>
      <c r="E122" s="174" t="inlineStr">
        <is>
          <t>Crescente</t>
        </is>
      </c>
      <c r="F122" s="172" t="inlineStr">
        <is>
          <t>Decrescente</t>
        </is>
      </c>
      <c r="G122" s="173" t="inlineStr">
        <is>
          <t>Crescente</t>
        </is>
      </c>
      <c r="H122" s="74" t="n"/>
      <c r="J122" s="169" t="n"/>
      <c r="R122" s="175" t="n"/>
      <c r="S122" s="176" t="inlineStr">
        <is>
          <t>WBA Out
[V]</t>
        </is>
      </c>
      <c r="T122" s="176" t="inlineStr">
        <is>
          <t>Set Point
#</t>
        </is>
      </c>
    </row>
    <row r="123" outlineLevel="1" ht="16.2" customHeight="1" thickBot="1">
      <c r="A123" s="177" t="inlineStr">
        <is>
          <t xml:space="preserve"> [Nm]</t>
        </is>
      </c>
      <c r="B123" s="178" t="inlineStr">
        <is>
          <t>[V]</t>
        </is>
      </c>
      <c r="C123" s="179" t="inlineStr">
        <is>
          <t>[V]</t>
        </is>
      </c>
      <c r="D123" s="180" t="inlineStr">
        <is>
          <t>[V]</t>
        </is>
      </c>
      <c r="E123" s="181" t="inlineStr">
        <is>
          <t>[V]</t>
        </is>
      </c>
      <c r="F123" s="179" t="inlineStr">
        <is>
          <t>[V]</t>
        </is>
      </c>
      <c r="G123" s="180" t="inlineStr">
        <is>
          <t>[V]</t>
        </is>
      </c>
      <c r="H123" s="74" t="n"/>
      <c r="J123" s="169" t="n"/>
      <c r="R123" s="182" t="inlineStr">
        <is>
          <t>1a rampa</t>
        </is>
      </c>
      <c r="S123" s="566">
        <f>E124</f>
        <v/>
      </c>
      <c r="T123" s="184">
        <f>SetPnt_P_0</f>
        <v/>
      </c>
    </row>
    <row r="124" outlineLevel="1" ht="15.6" customHeight="1">
      <c r="A124" s="185">
        <f>SetPnt_P_0</f>
        <v/>
      </c>
      <c r="B124" s="567">
        <f>$I$73</f>
        <v/>
      </c>
      <c r="C124" s="567">
        <f>I80</f>
        <v/>
      </c>
      <c r="D124" s="567">
        <f>I87</f>
        <v/>
      </c>
      <c r="E124" s="567">
        <f>I96</f>
        <v/>
      </c>
      <c r="F124" s="568" t="inlineStr">
        <is>
          <t>x</t>
        </is>
      </c>
      <c r="G124" s="567">
        <f>I107</f>
        <v/>
      </c>
      <c r="H124" s="569">
        <f>$B$118*A124^2 + $C$118*A124+$D$118</f>
        <v/>
      </c>
      <c r="I124" s="569">
        <f>A124*$G$118+$H$118</f>
        <v/>
      </c>
      <c r="J124" s="569" t="n"/>
      <c r="K124" s="569">
        <f>AVERAGE(E124:G124)</f>
        <v/>
      </c>
      <c r="L124" s="569">
        <f>ABS(E124-G124)</f>
        <v/>
      </c>
      <c r="M124" s="569">
        <f>SQRT((E124-K124)^2+(G124-K124)^2)</f>
        <v/>
      </c>
      <c r="N124" s="569">
        <f>(ABS(E124-F124) )</f>
        <v/>
      </c>
      <c r="O124" s="569">
        <f>I124-K124</f>
        <v/>
      </c>
      <c r="P124" s="569">
        <f>H124-K124</f>
        <v/>
      </c>
      <c r="R124" s="182" t="n"/>
      <c r="S124" s="566">
        <f>E125</f>
        <v/>
      </c>
      <c r="T124" s="189">
        <f>SetPnt_P_1</f>
        <v/>
      </c>
    </row>
    <row r="125" outlineLevel="1" ht="15.6" customHeight="1">
      <c r="A125" s="190">
        <f>SetPnt_P_1</f>
        <v/>
      </c>
      <c r="B125" s="570" t="inlineStr">
        <is>
          <t>-</t>
        </is>
      </c>
      <c r="C125" s="570" t="inlineStr">
        <is>
          <t>-</t>
        </is>
      </c>
      <c r="D125" s="570" t="inlineStr">
        <is>
          <t>-</t>
        </is>
      </c>
      <c r="E125" s="567">
        <f>I97</f>
        <v/>
      </c>
      <c r="F125" s="568" t="inlineStr">
        <is>
          <t>x</t>
        </is>
      </c>
      <c r="G125" s="567">
        <f>I108</f>
        <v/>
      </c>
      <c r="H125" s="569">
        <f>$B$118*A125^2 + $C$118*A125+$D$118</f>
        <v/>
      </c>
      <c r="I125" s="569">
        <f>A125*$G$118+$H$118</f>
        <v/>
      </c>
      <c r="J125" s="569" t="n"/>
      <c r="K125" s="569">
        <f>AVERAGE(E125:G125)</f>
        <v/>
      </c>
      <c r="L125" s="569">
        <f>ABS(E125-G125)</f>
        <v/>
      </c>
      <c r="M125" s="569">
        <f>SQRT((E125-K125)^2+(G125-K125)^2)</f>
        <v/>
      </c>
      <c r="N125" s="569">
        <f>(ABS(E125-F125) )</f>
        <v/>
      </c>
      <c r="O125" s="569">
        <f>H125-K125</f>
        <v/>
      </c>
      <c r="P125" s="569">
        <f>H125-K125</f>
        <v/>
      </c>
      <c r="R125" s="182" t="n"/>
      <c r="S125" s="566">
        <f>E126</f>
        <v/>
      </c>
      <c r="T125" s="189">
        <f>SetPnt_P_2</f>
        <v/>
      </c>
    </row>
    <row r="126" outlineLevel="1" ht="15.6" customHeight="1">
      <c r="A126" s="190">
        <f>SetPnt_P_2</f>
        <v/>
      </c>
      <c r="B126" s="570" t="inlineStr">
        <is>
          <t>-</t>
        </is>
      </c>
      <c r="C126" s="570" t="inlineStr">
        <is>
          <t>-</t>
        </is>
      </c>
      <c r="D126" s="570" t="inlineStr">
        <is>
          <t>-</t>
        </is>
      </c>
      <c r="E126" s="567">
        <f>I98</f>
        <v/>
      </c>
      <c r="F126" s="568" t="inlineStr">
        <is>
          <t>x</t>
        </is>
      </c>
      <c r="G126" s="567">
        <f>I109</f>
        <v/>
      </c>
      <c r="H126" s="569">
        <f>$B$118*A126^2 + $C$118*A126+$D$118</f>
        <v/>
      </c>
      <c r="I126" s="569">
        <f>A126*$G$118+$H$118</f>
        <v/>
      </c>
      <c r="J126" s="569" t="n"/>
      <c r="K126" s="569">
        <f>AVERAGE(E126:G126)</f>
        <v/>
      </c>
      <c r="L126" s="569">
        <f>ABS(E126-G126)</f>
        <v/>
      </c>
      <c r="M126" s="569">
        <f>SQRT((E126-K126)^2+(G126-K126)^2)</f>
        <v/>
      </c>
      <c r="N126" s="569">
        <f>(ABS(E126-F126) )</f>
        <v/>
      </c>
      <c r="O126" s="569">
        <f>H126-K126</f>
        <v/>
      </c>
      <c r="P126" s="569">
        <f>H126-K126</f>
        <v/>
      </c>
      <c r="R126" s="182" t="n"/>
      <c r="S126" s="566">
        <f>E127</f>
        <v/>
      </c>
      <c r="T126" s="189">
        <f>SetPnt_P_3</f>
        <v/>
      </c>
    </row>
    <row r="127" outlineLevel="1" ht="15.6" customHeight="1">
      <c r="A127" s="190">
        <f>SetPnt_P_3</f>
        <v/>
      </c>
      <c r="B127" s="570" t="inlineStr">
        <is>
          <t>-</t>
        </is>
      </c>
      <c r="C127" s="570" t="inlineStr">
        <is>
          <t>-</t>
        </is>
      </c>
      <c r="D127" s="570" t="inlineStr">
        <is>
          <t>-</t>
        </is>
      </c>
      <c r="E127" s="567">
        <f>I99</f>
        <v/>
      </c>
      <c r="F127" s="568" t="inlineStr">
        <is>
          <t>x</t>
        </is>
      </c>
      <c r="G127" s="567">
        <f>I110</f>
        <v/>
      </c>
      <c r="H127" s="569">
        <f>$B$118*A127^2 + $C$118*A127+$D$118</f>
        <v/>
      </c>
      <c r="I127" s="569">
        <f>A127*$G$118+$H$118</f>
        <v/>
      </c>
      <c r="J127" s="569" t="n"/>
      <c r="K127" s="569">
        <f>AVERAGE(E127:G127)</f>
        <v/>
      </c>
      <c r="L127" s="569">
        <f>ABS(E127-G127)</f>
        <v/>
      </c>
      <c r="M127" s="569">
        <f>SQRT((E127-K127)^2+(G127-K127)^2)</f>
        <v/>
      </c>
      <c r="N127" s="569">
        <f>(ABS(E127-F127) )</f>
        <v/>
      </c>
      <c r="O127" s="569">
        <f>H127-K127</f>
        <v/>
      </c>
      <c r="P127" s="569">
        <f>H127-K127</f>
        <v/>
      </c>
      <c r="R127" s="182" t="n"/>
      <c r="S127" s="566">
        <f>E128</f>
        <v/>
      </c>
      <c r="T127" s="189">
        <f>SetPnt_P_4</f>
        <v/>
      </c>
    </row>
    <row r="128" outlineLevel="1" ht="15.6" customHeight="1">
      <c r="A128" s="190">
        <f>SetPnt_P_4</f>
        <v/>
      </c>
      <c r="B128" s="570" t="inlineStr">
        <is>
          <t>-</t>
        </is>
      </c>
      <c r="C128" s="570" t="inlineStr">
        <is>
          <t>-</t>
        </is>
      </c>
      <c r="D128" s="570" t="inlineStr">
        <is>
          <t>-</t>
        </is>
      </c>
      <c r="E128" s="567">
        <f>I100</f>
        <v/>
      </c>
      <c r="F128" s="568" t="inlineStr">
        <is>
          <t>x</t>
        </is>
      </c>
      <c r="G128" s="567">
        <f>I111</f>
        <v/>
      </c>
      <c r="H128" s="569">
        <f>$B$118*A128^2 + $C$118*A128+$D$118</f>
        <v/>
      </c>
      <c r="I128" s="569">
        <f>A128*$G$118+$H$118</f>
        <v/>
      </c>
      <c r="J128" s="569" t="n"/>
      <c r="K128" s="569">
        <f>AVERAGE(E128:G128)</f>
        <v/>
      </c>
      <c r="L128" s="569">
        <f>ABS(E128-G128)</f>
        <v/>
      </c>
      <c r="M128" s="569">
        <f>SQRT((E128-K128)^2+(G128-K128)^2)</f>
        <v/>
      </c>
      <c r="N128" s="569">
        <f>(ABS(E128-F128) )</f>
        <v/>
      </c>
      <c r="O128" s="569">
        <f>H128-K128</f>
        <v/>
      </c>
      <c r="P128" s="569">
        <f>H128-K128</f>
        <v/>
      </c>
      <c r="R128" s="192" t="n"/>
      <c r="S128" s="571">
        <f>E129</f>
        <v/>
      </c>
      <c r="T128" s="194">
        <f>SetPnt_P_5</f>
        <v/>
      </c>
    </row>
    <row r="129" outlineLevel="1" ht="15.6" customHeight="1">
      <c r="A129" s="190">
        <f>SetPnt_P_5</f>
        <v/>
      </c>
      <c r="B129" s="567">
        <f>I74</f>
        <v/>
      </c>
      <c r="C129" s="567">
        <f>I81</f>
        <v/>
      </c>
      <c r="D129" s="567">
        <f>I88</f>
        <v/>
      </c>
      <c r="E129" s="567">
        <f>I101</f>
        <v/>
      </c>
      <c r="F129" s="568" t="inlineStr">
        <is>
          <t>x</t>
        </is>
      </c>
      <c r="G129" s="567">
        <f>I112</f>
        <v/>
      </c>
      <c r="H129" s="569">
        <f>$B$118*A129^2 + $C$118*A129+$D$118</f>
        <v/>
      </c>
      <c r="I129" s="569">
        <f>A129*$G$118+$H$118</f>
        <v/>
      </c>
      <c r="J129" s="569" t="n"/>
      <c r="K129" s="569">
        <f>AVERAGE(E129:G129)</f>
        <v/>
      </c>
      <c r="L129" s="569">
        <f>ABS(E129-G129)</f>
        <v/>
      </c>
      <c r="M129" s="569">
        <f>SQRT((E129-K129)^2+(G129-K129)^2)</f>
        <v/>
      </c>
      <c r="N129" s="569">
        <f>(ABS(E129-F129) )</f>
        <v/>
      </c>
      <c r="O129" s="569">
        <f>H129-K129</f>
        <v/>
      </c>
      <c r="P129" s="569">
        <f>H129-K129</f>
        <v/>
      </c>
      <c r="R129" s="182" t="inlineStr">
        <is>
          <t>2a rampa</t>
        </is>
      </c>
      <c r="S129" s="566">
        <f>G124</f>
        <v/>
      </c>
      <c r="T129" s="184">
        <f>SetPnt_P_0</f>
        <v/>
      </c>
    </row>
    <row r="130" outlineLevel="1">
      <c r="P130" s="549" t="n"/>
      <c r="R130" s="195" t="n"/>
      <c r="S130" s="566">
        <f>G125</f>
        <v/>
      </c>
      <c r="T130" s="189">
        <f>SetPnt_P_1</f>
        <v/>
      </c>
    </row>
    <row r="131" outlineLevel="1" ht="18.6" customHeight="1" thickBot="1">
      <c r="A131" s="87" t="inlineStr">
        <is>
          <t>6.2 w(X) incertezza (funziona quando vi sono presenti i valori per la curva di discesa)</t>
        </is>
      </c>
      <c r="P131" s="549" t="n"/>
      <c r="R131" s="195" t="n"/>
      <c r="S131" s="566">
        <f>G126</f>
        <v/>
      </c>
      <c r="T131" s="189">
        <f>SetPnt_P_2</f>
        <v/>
      </c>
    </row>
    <row r="132" outlineLevel="1" ht="15" customHeight="1" thickBot="1">
      <c r="A132" s="196" t="inlineStr">
        <is>
          <t>Coppia</t>
        </is>
      </c>
      <c r="B132" s="197" t="inlineStr">
        <is>
          <t>wb'</t>
        </is>
      </c>
      <c r="C132" s="197" t="inlineStr">
        <is>
          <t>wb</t>
        </is>
      </c>
      <c r="D132" s="197" t="inlineStr">
        <is>
          <t>wr</t>
        </is>
      </c>
      <c r="E132" s="197" t="inlineStr">
        <is>
          <t>w fa 1°</t>
        </is>
      </c>
      <c r="F132" s="197" t="inlineStr">
        <is>
          <t>w(X)</t>
        </is>
      </c>
      <c r="G132" s="197" t="inlineStr">
        <is>
          <t>W(X)=2*w</t>
        </is>
      </c>
      <c r="H132" s="197" t="inlineStr">
        <is>
          <t>w fa 2°</t>
        </is>
      </c>
      <c r="I132" s="197" t="inlineStr">
        <is>
          <t>w(X)</t>
        </is>
      </c>
      <c r="J132" s="197" t="inlineStr">
        <is>
          <t>W(X)=2*w</t>
        </is>
      </c>
      <c r="K132" s="74" t="n"/>
      <c r="M132" s="152" t="n"/>
      <c r="N132" s="198" t="inlineStr">
        <is>
          <t>wr</t>
        </is>
      </c>
      <c r="P132" s="549" t="n"/>
      <c r="R132" s="110" t="n"/>
      <c r="S132" s="566">
        <f>G127</f>
        <v/>
      </c>
      <c r="T132" s="189">
        <f>SetPnt_P_3</f>
        <v/>
      </c>
    </row>
    <row r="133" outlineLevel="1">
      <c r="A133" s="5">
        <f>SetPnt_P_0</f>
        <v/>
      </c>
      <c r="B133" s="199">
        <f>L124*100 / (SQRT(2)*K124)</f>
        <v/>
      </c>
      <c r="C133" s="199">
        <f>M124*100 / (SQRT(2)*K124)</f>
        <v/>
      </c>
      <c r="D133" s="199" t="n">
        <v>0.469</v>
      </c>
      <c r="E133" s="199">
        <f>ABS(O124)*100 / (SQRT(6)*I124)</f>
        <v/>
      </c>
      <c r="F133" s="199">
        <f>SQRT((B133^2 + C133^2+D133^2+O124^2))</f>
        <v/>
      </c>
      <c r="G133" s="200">
        <f>F133*2</f>
        <v/>
      </c>
      <c r="H133" s="572">
        <f>ABS(P124)*100 / (SQRT(6)*H124)</f>
        <v/>
      </c>
      <c r="I133" s="199">
        <f>SQRT((B133^2 + C133^2+H133^2+D133^2))</f>
        <v/>
      </c>
      <c r="J133" s="199">
        <f>I133*2</f>
        <v/>
      </c>
      <c r="M133" s="152" t="n"/>
      <c r="N133" s="202" t="n">
        <v>0.469</v>
      </c>
      <c r="P133" s="549" t="n"/>
      <c r="R133" s="110" t="n"/>
      <c r="S133" s="566">
        <f>G128</f>
        <v/>
      </c>
      <c r="T133" s="189">
        <f>SetPnt_P_4</f>
        <v/>
      </c>
    </row>
    <row r="134" outlineLevel="1">
      <c r="A134" s="190">
        <f>SetPnt_P_1</f>
        <v/>
      </c>
      <c r="B134" s="199">
        <f>L125*100 / (SQRT(2)*K125)</f>
        <v/>
      </c>
      <c r="C134" s="199">
        <f>M125*100 / (SQRT(2)*K125)</f>
        <v/>
      </c>
      <c r="D134" s="199" t="n">
        <v>0.109</v>
      </c>
      <c r="E134" s="199">
        <f>ABS(O125)*100 / (SQRT(6)*I125)</f>
        <v/>
      </c>
      <c r="F134" s="199">
        <f>SQRT((B134^2 + C134^2+D134^2+O125^2))</f>
        <v/>
      </c>
      <c r="G134" s="573">
        <f>F134*2</f>
        <v/>
      </c>
      <c r="H134" s="572">
        <f>ABS(P125)*100 / (SQRT(6)*H125)</f>
        <v/>
      </c>
      <c r="I134" s="199">
        <f>SQRT((B134^2 + C134^2+H134^2+D134^2))</f>
        <v/>
      </c>
      <c r="J134" s="574">
        <f>I134*2</f>
        <v/>
      </c>
      <c r="M134" s="152" t="n"/>
      <c r="N134" s="202" t="n">
        <v>0.469</v>
      </c>
      <c r="P134" s="549" t="n"/>
      <c r="R134" s="110" t="n"/>
      <c r="S134" s="566">
        <f>G129</f>
        <v/>
      </c>
      <c r="T134" s="189">
        <f>SetPnt_P_5</f>
        <v/>
      </c>
    </row>
    <row r="135" outlineLevel="1">
      <c r="A135" s="190">
        <f>SetPnt_P_2</f>
        <v/>
      </c>
      <c r="B135" s="199">
        <f>L126*100 / (SQRT(2)*K126)</f>
        <v/>
      </c>
      <c r="C135" s="199">
        <f>M126*100 / (SQRT(2)*K126)</f>
        <v/>
      </c>
      <c r="D135" s="199" t="n">
        <v>0.109</v>
      </c>
      <c r="E135" s="199">
        <f>ABS(O126)*100 / (SQRT(6)*I126)</f>
        <v/>
      </c>
      <c r="F135" s="199">
        <f>SQRT((B135^2 + C135^2+D135^2+O126^2))</f>
        <v/>
      </c>
      <c r="G135" s="573">
        <f>F135*2</f>
        <v/>
      </c>
      <c r="H135" s="572">
        <f>ABS(P126)*100 / (SQRT(6)*H126)</f>
        <v/>
      </c>
      <c r="I135" s="199">
        <f>SQRT((B135^2 + C135^2+H135^2+D135^2))</f>
        <v/>
      </c>
      <c r="J135" s="574">
        <f>I135*2</f>
        <v/>
      </c>
      <c r="M135" s="152" t="n"/>
      <c r="N135" s="202" t="n">
        <v>0.109</v>
      </c>
      <c r="P135" s="549" t="n"/>
    </row>
    <row r="136" outlineLevel="1">
      <c r="A136" s="190">
        <f>SetPnt_P_3</f>
        <v/>
      </c>
      <c r="B136" s="199">
        <f>L127*100 / (SQRT(2)*K127)</f>
        <v/>
      </c>
      <c r="C136" s="199">
        <f>M127*100 / (SQRT(2)*K127)</f>
        <v/>
      </c>
      <c r="D136" s="199" t="n">
        <v>0.109</v>
      </c>
      <c r="E136" s="199">
        <f>ABS(O127)*100 / (SQRT(6)*I127)</f>
        <v/>
      </c>
      <c r="F136" s="199">
        <f>SQRT((B136^2 + C136^2+D136^2+O127^2))</f>
        <v/>
      </c>
      <c r="G136" s="573">
        <f>F136*2</f>
        <v/>
      </c>
      <c r="H136" s="572">
        <f>ABS(P127)*100 / (SQRT(6)*H127)</f>
        <v/>
      </c>
      <c r="I136" s="199">
        <f>SQRT((B136^2 + C136^2+H136^2+D136^2))</f>
        <v/>
      </c>
      <c r="J136" s="574">
        <f>I136*2</f>
        <v/>
      </c>
      <c r="M136" s="152" t="n"/>
      <c r="N136" s="202" t="n">
        <v>0.109</v>
      </c>
      <c r="P136" s="549" t="n"/>
    </row>
    <row r="137" outlineLevel="1">
      <c r="A137" s="190">
        <f>SetPnt_P_4</f>
        <v/>
      </c>
      <c r="B137" s="199">
        <f>L128*100 / (SQRT(2)*K128)</f>
        <v/>
      </c>
      <c r="C137" s="199">
        <f>M128*100 / (SQRT(2)*K128)</f>
        <v/>
      </c>
      <c r="D137" s="199" t="n">
        <v>0.108</v>
      </c>
      <c r="E137" s="199">
        <f>ABS(O128)*100 / (SQRT(6)*I128)</f>
        <v/>
      </c>
      <c r="F137" s="199">
        <f>SQRT((B137^2 + C137^2+D137^2+O128^2))</f>
        <v/>
      </c>
      <c r="G137" s="573">
        <f>F137*2</f>
        <v/>
      </c>
      <c r="H137" s="572">
        <f>ABS(P128)*100 / (SQRT(6)*H128)</f>
        <v/>
      </c>
      <c r="I137" s="199">
        <f>SQRT((B137^2 + C137^2+H137^2+D137^2))</f>
        <v/>
      </c>
      <c r="J137" s="574">
        <f>I137*2</f>
        <v/>
      </c>
      <c r="M137" s="152" t="n"/>
      <c r="N137" s="202" t="n">
        <v>0.108</v>
      </c>
      <c r="P137" s="549" t="n"/>
    </row>
    <row r="138" outlineLevel="1">
      <c r="A138" s="190">
        <f>SetPnt_P_5</f>
        <v/>
      </c>
      <c r="B138" s="199">
        <f>L129*100 / (SQRT(2)*K129)</f>
        <v/>
      </c>
      <c r="C138" s="199">
        <f>M129*100 / (SQRT(2)*K129)</f>
        <v/>
      </c>
      <c r="D138" s="199" t="n">
        <v>0.098</v>
      </c>
      <c r="E138" s="199">
        <f>ABS(O129)*100 / (SQRT(6)*I129)</f>
        <v/>
      </c>
      <c r="F138" s="199">
        <f>SQRT((B138^2 + C138^2+D138^2+O129^2))</f>
        <v/>
      </c>
      <c r="G138" s="573">
        <f>F138*2</f>
        <v/>
      </c>
      <c r="H138" s="572">
        <f>ABS(P129)*100 / (SQRT(6)*H129)</f>
        <v/>
      </c>
      <c r="I138" s="199">
        <f>SQRT((B138^2 + C138^2+H138^2+D138^2))</f>
        <v/>
      </c>
      <c r="J138" s="574">
        <f>I138*2</f>
        <v/>
      </c>
      <c r="M138" s="152" t="n"/>
      <c r="N138" s="202" t="n">
        <v>0.098</v>
      </c>
    </row>
    <row r="140" ht="25.8" customHeight="1">
      <c r="A140" s="61" t="inlineStr">
        <is>
          <t>7. Impaginazione report</t>
        </is>
      </c>
      <c r="B140" s="62" t="n"/>
      <c r="C140" s="62" t="n"/>
      <c r="D140" s="62" t="n"/>
      <c r="E140" s="62" t="n"/>
      <c r="F140" s="62" t="n"/>
      <c r="G140" s="62" t="n"/>
      <c r="H140" s="62" t="n"/>
      <c r="I140" s="62" t="n"/>
      <c r="J140" s="62" t="n"/>
      <c r="K140" s="62" t="n"/>
      <c r="L140" s="62" t="n"/>
      <c r="M140" s="62" t="n"/>
      <c r="N140" s="62" t="n"/>
      <c r="O140" s="62" t="n"/>
      <c r="P140" s="62" t="n"/>
      <c r="Q140" s="62" t="n"/>
      <c r="R140" s="62" t="n"/>
      <c r="S140" s="62" t="n"/>
      <c r="T140" s="62" t="n"/>
      <c r="U140" s="62" t="n"/>
      <c r="V140" s="62" t="n"/>
      <c r="W140" s="62" t="n"/>
      <c r="X140" s="62" t="n"/>
    </row>
    <row r="141" outlineLevel="1"/>
    <row r="142" outlineLevel="1" ht="15.75" customHeight="1" thickBot="1">
      <c r="B142" s="575" t="inlineStr">
        <is>
          <t>Variabile dipendente Coppia Meccanica; Variabile indipendente Vout strumento</t>
        </is>
      </c>
      <c r="C142" s="576" t="n"/>
      <c r="D142" s="576" t="n"/>
      <c r="E142" s="576" t="n"/>
      <c r="F142" s="576" t="n"/>
    </row>
    <row r="143" outlineLevel="1" ht="14.25" customHeight="1">
      <c r="B143" s="206" t="inlineStr">
        <is>
          <t>Momento applicato → M = a*X2 + b*X</t>
        </is>
      </c>
      <c r="C143" s="207" t="n"/>
      <c r="D143" s="208" t="n"/>
    </row>
    <row r="144" outlineLevel="1" ht="14.25" customHeight="1">
      <c r="B144" s="209" t="n"/>
      <c r="C144" s="210" t="inlineStr">
        <is>
          <t>a [Nm/mV2]</t>
        </is>
      </c>
      <c r="D144" s="211" t="inlineStr">
        <is>
          <t>b [Nm/mV]</t>
        </is>
      </c>
    </row>
    <row r="145" outlineLevel="1">
      <c r="B145" s="212" t="inlineStr">
        <is>
          <t>1° ordine</t>
        </is>
      </c>
      <c r="C145" s="494" t="n">
        <v>0</v>
      </c>
      <c r="D145" s="577">
        <f>$C$59/1000</f>
        <v/>
      </c>
    </row>
    <row r="146" outlineLevel="1" ht="15" customHeight="1" thickBot="1">
      <c r="B146" s="215" t="inlineStr">
        <is>
          <t>2° ordine</t>
        </is>
      </c>
      <c r="C146" s="578">
        <f>$B$117/1000</f>
        <v/>
      </c>
      <c r="D146" s="579">
        <f>$C$117/1000</f>
        <v/>
      </c>
    </row>
    <row r="147" outlineLevel="1">
      <c r="B147" s="218" t="n"/>
      <c r="C147" s="580" t="n"/>
      <c r="D147" s="580" t="n"/>
    </row>
    <row r="148" outlineLevel="1" ht="15.75" customHeight="1" thickBot="1">
      <c r="B148" s="581" t="inlineStr">
        <is>
          <t>Variabile dipendente Vout strumento; Variabile indipendente Coppia Meccanica</t>
        </is>
      </c>
      <c r="C148" s="221" t="n"/>
      <c r="D148" s="221" t="n"/>
      <c r="E148" s="221" t="n"/>
      <c r="F148" s="221" t="n"/>
    </row>
    <row r="149" outlineLevel="1" ht="14.25" customHeight="1">
      <c r="B149" s="206" t="inlineStr">
        <is>
          <t>Misura elettrica → X = d*M2 + e*M</t>
        </is>
      </c>
      <c r="C149" s="207" t="n"/>
      <c r="D149" s="208" t="n"/>
    </row>
    <row r="150" outlineLevel="1" ht="14.25" customHeight="1">
      <c r="B150" s="209" t="n"/>
      <c r="C150" s="210" t="inlineStr">
        <is>
          <t>d [mV/Nm2]</t>
        </is>
      </c>
      <c r="D150" s="211" t="inlineStr">
        <is>
          <t>e [mV/Nm]</t>
        </is>
      </c>
    </row>
    <row r="151" outlineLevel="1">
      <c r="B151" s="212" t="inlineStr">
        <is>
          <t>1° ordine</t>
        </is>
      </c>
      <c r="C151" s="494" t="n">
        <v>0</v>
      </c>
      <c r="D151" s="577">
        <f>$G$118*1000</f>
        <v/>
      </c>
      <c r="F151" s="582" t="n"/>
    </row>
    <row r="152" outlineLevel="1" ht="15" customHeight="1" thickBot="1">
      <c r="B152" s="215" t="inlineStr">
        <is>
          <t>2° ordine</t>
        </is>
      </c>
      <c r="C152" s="578">
        <f>$B$118*1000</f>
        <v/>
      </c>
      <c r="D152" s="579">
        <f>$C$118*1000</f>
        <v/>
      </c>
      <c r="F152" s="582" t="n"/>
    </row>
    <row r="153" outlineLevel="1"/>
    <row r="154" outlineLevel="1" ht="15" customHeight="1" thickBot="1">
      <c r="B154" s="223" t="inlineStr">
        <is>
          <t>Valori numerici di taratura</t>
        </is>
      </c>
    </row>
    <row r="155" outlineLevel="1" ht="14.25" customHeight="1" thickBot="1">
      <c r="B155" s="224" t="inlineStr">
        <is>
          <t>Coppia</t>
        </is>
      </c>
      <c r="C155" s="225" t="inlineStr">
        <is>
          <t>Precarico</t>
        </is>
      </c>
      <c r="D155" s="225" t="inlineStr">
        <is>
          <t>Precarico</t>
        </is>
      </c>
      <c r="E155" s="225" t="inlineStr">
        <is>
          <t>Precarico</t>
        </is>
      </c>
      <c r="F155" s="225" t="inlineStr">
        <is>
          <t>Crescente</t>
        </is>
      </c>
      <c r="G155" s="226" t="inlineStr">
        <is>
          <t>Crescente</t>
        </is>
      </c>
      <c r="H155" s="227" t="n"/>
      <c r="I155" s="469" t="inlineStr">
        <is>
          <t>Coppia</t>
        </is>
      </c>
      <c r="J155" s="470" t="inlineStr">
        <is>
          <t>Incertezza %</t>
        </is>
      </c>
    </row>
    <row r="156" outlineLevel="1">
      <c r="B156" s="228" t="inlineStr">
        <is>
          <t>Nm</t>
        </is>
      </c>
      <c r="C156" s="229" t="inlineStr">
        <is>
          <t>mV</t>
        </is>
      </c>
      <c r="D156" s="229" t="inlineStr">
        <is>
          <t>mV</t>
        </is>
      </c>
      <c r="E156" s="229" t="inlineStr">
        <is>
          <t>mV</t>
        </is>
      </c>
      <c r="F156" s="229" t="inlineStr">
        <is>
          <t>mV</t>
        </is>
      </c>
      <c r="G156" s="230" t="inlineStr">
        <is>
          <t>mV</t>
        </is>
      </c>
      <c r="H156" s="231" t="n"/>
      <c r="I156" s="583" t="n"/>
      <c r="J156" s="584" t="n"/>
    </row>
    <row r="157" outlineLevel="1">
      <c r="B157" s="232">
        <f>SetPnt_P_0</f>
        <v/>
      </c>
      <c r="C157" s="585">
        <f>B124*1000</f>
        <v/>
      </c>
      <c r="D157" s="585">
        <f>C124*1000</f>
        <v/>
      </c>
      <c r="E157" s="585">
        <f>D124*1000</f>
        <v/>
      </c>
      <c r="F157" s="585">
        <f>E124*1000</f>
        <v/>
      </c>
      <c r="G157" s="586">
        <f>G124*1000</f>
        <v/>
      </c>
      <c r="H157" s="235" t="n"/>
      <c r="I157" s="236">
        <f>SetPnt_P_1</f>
        <v/>
      </c>
      <c r="J157" s="587">
        <f>J134</f>
        <v/>
      </c>
    </row>
    <row r="158" outlineLevel="1">
      <c r="B158" s="236">
        <f>SetPnt_P_1</f>
        <v/>
      </c>
      <c r="C158" s="588">
        <f>B125</f>
        <v/>
      </c>
      <c r="D158" s="588">
        <f>C125</f>
        <v/>
      </c>
      <c r="E158" s="588">
        <f>D125</f>
        <v/>
      </c>
      <c r="F158" s="589">
        <f>E125*1000</f>
        <v/>
      </c>
      <c r="G158" s="590">
        <f>G125*1000</f>
        <v/>
      </c>
      <c r="H158" s="235" t="n"/>
      <c r="I158" s="236">
        <f>SetPnt_P_2</f>
        <v/>
      </c>
      <c r="J158" s="587">
        <f>J135</f>
        <v/>
      </c>
    </row>
    <row r="159" outlineLevel="1">
      <c r="B159" s="236">
        <f>SetPnt_P_2</f>
        <v/>
      </c>
      <c r="C159" s="588">
        <f>B126</f>
        <v/>
      </c>
      <c r="D159" s="588">
        <f>C126</f>
        <v/>
      </c>
      <c r="E159" s="588">
        <f>D126</f>
        <v/>
      </c>
      <c r="F159" s="589">
        <f>E126*1000</f>
        <v/>
      </c>
      <c r="G159" s="590">
        <f>G126*1000</f>
        <v/>
      </c>
      <c r="H159" s="235" t="n"/>
      <c r="I159" s="236">
        <f>SetPnt_P_3</f>
        <v/>
      </c>
      <c r="J159" s="587">
        <f>J136</f>
        <v/>
      </c>
    </row>
    <row r="160" outlineLevel="1">
      <c r="B160" s="236">
        <f>SetPnt_P_3</f>
        <v/>
      </c>
      <c r="C160" s="588">
        <f>B127</f>
        <v/>
      </c>
      <c r="D160" s="588">
        <f>C127</f>
        <v/>
      </c>
      <c r="E160" s="588">
        <f>D127</f>
        <v/>
      </c>
      <c r="F160" s="589">
        <f>E127*1000</f>
        <v/>
      </c>
      <c r="G160" s="590">
        <f>G127*1000</f>
        <v/>
      </c>
      <c r="H160" s="235" t="n"/>
      <c r="I160" s="236">
        <f>SetPnt_P_4</f>
        <v/>
      </c>
      <c r="J160" s="587">
        <f>J137</f>
        <v/>
      </c>
    </row>
    <row r="161" outlineLevel="1" ht="15" customHeight="1" thickBot="1">
      <c r="B161" s="236">
        <f>SetPnt_P_4</f>
        <v/>
      </c>
      <c r="C161" s="588">
        <f>B128</f>
        <v/>
      </c>
      <c r="D161" s="588">
        <f>C128</f>
        <v/>
      </c>
      <c r="E161" s="588">
        <f>D128</f>
        <v/>
      </c>
      <c r="F161" s="589">
        <f>E128*1000</f>
        <v/>
      </c>
      <c r="G161" s="590">
        <f>G128*1000</f>
        <v/>
      </c>
      <c r="H161" s="235" t="n"/>
      <c r="I161" s="241">
        <f>SetPnt_P_5</f>
        <v/>
      </c>
      <c r="J161" s="591">
        <f>J138</f>
        <v/>
      </c>
    </row>
    <row r="162" outlineLevel="1" ht="15" customHeight="1" thickBot="1">
      <c r="B162" s="241">
        <f>SetPnt_P_5</f>
        <v/>
      </c>
      <c r="C162" s="592">
        <f>B129*1000</f>
        <v/>
      </c>
      <c r="D162" s="592">
        <f>C129*1000</f>
        <v/>
      </c>
      <c r="E162" s="592">
        <f>D129*1000</f>
        <v/>
      </c>
      <c r="F162" s="592">
        <f>E129*1000</f>
        <v/>
      </c>
      <c r="G162" s="593">
        <f>G129*1000</f>
        <v/>
      </c>
      <c r="H162" s="235" t="n"/>
      <c r="I162" s="245" t="n"/>
      <c r="J162" s="245" t="n"/>
    </row>
    <row r="163" outlineLevel="1"/>
    <row r="165" ht="25.8" customHeight="1">
      <c r="A165" s="61" t="inlineStr">
        <is>
          <t>8. Incertezza su coefficineti globali Q1+Q3</t>
        </is>
      </c>
      <c r="B165" s="62" t="n"/>
      <c r="C165" s="62" t="n"/>
      <c r="D165" s="62" t="n"/>
      <c r="E165" s="62" t="n"/>
      <c r="F165" s="62" t="n"/>
      <c r="G165" s="62" t="n"/>
      <c r="H165" s="62" t="n"/>
      <c r="I165" s="62" t="n"/>
      <c r="J165" s="62" t="n"/>
      <c r="K165" s="62" t="n"/>
      <c r="L165" s="62" t="n"/>
      <c r="M165" s="62" t="n"/>
      <c r="N165" s="62" t="n"/>
      <c r="O165" s="62" t="n"/>
      <c r="P165" s="62" t="n"/>
      <c r="Q165" s="62" t="n"/>
      <c r="R165" s="62" t="n"/>
      <c r="S165" s="62" t="n"/>
      <c r="T165" s="62" t="n"/>
      <c r="U165" s="62" t="n"/>
      <c r="V165" s="62" t="n"/>
      <c r="W165" s="62" t="n"/>
      <c r="X165" s="62" t="n"/>
    </row>
    <row r="166" outlineLevel="1" ht="15" customHeight="1" thickBot="1"/>
    <row r="167" outlineLevel="1" ht="18.6" customHeight="1" thickBot="1">
      <c r="A167" s="148" t="inlineStr">
        <is>
          <t>Q1+Q3 Euramet</t>
        </is>
      </c>
      <c r="B167" s="149" t="inlineStr">
        <is>
          <t>H2</t>
        </is>
      </c>
      <c r="C167" s="149" t="inlineStr">
        <is>
          <t>H1</t>
        </is>
      </c>
      <c r="D167" s="150" t="inlineStr">
        <is>
          <t>H0</t>
        </is>
      </c>
      <c r="E167" s="151" t="n"/>
      <c r="F167" s="148" t="inlineStr">
        <is>
          <t>Q1+Q3 Euramet</t>
        </is>
      </c>
      <c r="G167" s="149" t="inlineStr">
        <is>
          <t>m</t>
        </is>
      </c>
      <c r="H167" s="150" t="inlineStr">
        <is>
          <t>q</t>
        </is>
      </c>
      <c r="M167" s="152" t="n"/>
      <c r="N167" s="152" t="n"/>
      <c r="O167" s="152" t="n"/>
    </row>
    <row r="168" outlineLevel="1" ht="15" customHeight="1" thickTop="1">
      <c r="A168" s="153">
        <f>CONCATENATE("Cert [",EUnits,"/V]")</f>
        <v/>
      </c>
      <c r="B168" s="559">
        <f>'Check Q1 vs Q3 '!P17</f>
        <v/>
      </c>
      <c r="C168" s="559">
        <f>'Check Q1 vs Q3 '!Q17</f>
        <v/>
      </c>
      <c r="D168" s="559">
        <f>'Check Q1 vs Q3 '!R17</f>
        <v/>
      </c>
      <c r="F168" s="156">
        <f>CONCATENATE("Cert [",EUnits,"/V]")</f>
        <v/>
      </c>
      <c r="G168" s="561">
        <f>'Check Q1 vs Q3 '!P13</f>
        <v/>
      </c>
      <c r="H168" s="562">
        <f>'Check Q1 vs Q3 '!Q13</f>
        <v/>
      </c>
      <c r="O168" s="152" t="n"/>
    </row>
    <row r="169" outlineLevel="1" ht="15" customHeight="1" thickBot="1">
      <c r="A169" s="113">
        <f>CONCATENATE("Cert [V/",EUnits,"]")</f>
        <v/>
      </c>
      <c r="B169" s="563">
        <f>'Check Q1 vs Q3 '!P18</f>
        <v/>
      </c>
      <c r="C169" s="563">
        <f>'Check Q1 vs Q3 '!Q18</f>
        <v/>
      </c>
      <c r="D169" s="564">
        <f>'Check Q1 vs Q3 '!R18</f>
        <v/>
      </c>
      <c r="F169" s="113">
        <f>CONCATENATE("Cert [V/",EUnits,"]")</f>
        <v/>
      </c>
      <c r="G169" s="565">
        <f>'Check Q1 vs Q3 '!P14</f>
        <v/>
      </c>
      <c r="H169" s="162">
        <f>'Check Q1 vs Q3 '!Q14</f>
        <v/>
      </c>
      <c r="O169" s="152" t="n"/>
    </row>
    <row r="170" outlineLevel="1"/>
    <row r="171" outlineLevel="1" ht="18.6" customHeight="1" thickBot="1">
      <c r="A171" s="87" t="inlineStr">
        <is>
          <t>8.1 Corretto (che cosa intenti Emanuele?)</t>
        </is>
      </c>
      <c r="B171" s="163" t="n"/>
      <c r="C171" s="163" t="n"/>
      <c r="D171" s="163" t="n"/>
      <c r="P171" s="152" t="n"/>
    </row>
    <row r="172" outlineLevel="1" ht="16.2" customHeight="1" thickBot="1">
      <c r="A172" s="164" t="inlineStr">
        <is>
          <t>Momento</t>
        </is>
      </c>
      <c r="B172" s="165" t="inlineStr">
        <is>
          <t>0°</t>
        </is>
      </c>
      <c r="C172" s="166" t="inlineStr">
        <is>
          <t>0°</t>
        </is>
      </c>
      <c r="D172" s="167" t="inlineStr">
        <is>
          <t>0°</t>
        </is>
      </c>
      <c r="E172" s="168" t="inlineStr">
        <is>
          <t>Salita 1</t>
        </is>
      </c>
      <c r="F172" s="166" t="inlineStr">
        <is>
          <t>Discesa 3</t>
        </is>
      </c>
      <c r="G172" s="167" t="inlineStr">
        <is>
          <t>Salita 2</t>
        </is>
      </c>
      <c r="H172" s="462" t="inlineStr">
        <is>
          <t>Interpolato
2° ordine</t>
        </is>
      </c>
      <c r="I172" s="463" t="inlineStr">
        <is>
          <t>Interpolato
1° ordine</t>
        </is>
      </c>
      <c r="J172" s="169" t="n"/>
      <c r="K172" s="458" t="inlineStr">
        <is>
          <t>X
medio</t>
        </is>
      </c>
      <c r="L172" s="458" t="inlineStr">
        <is>
          <t>b'
Ripetibilità</t>
        </is>
      </c>
      <c r="M172" s="458" t="inlineStr">
        <is>
          <t>b
Riproducibilità</t>
        </is>
      </c>
      <c r="N172" s="458" t="inlineStr">
        <is>
          <t>h
reversibilità</t>
        </is>
      </c>
      <c r="O172" s="458" t="inlineStr">
        <is>
          <t>fa
1° ordine</t>
        </is>
      </c>
      <c r="P172" s="458" t="inlineStr">
        <is>
          <t>fa
2° ordine</t>
        </is>
      </c>
      <c r="R172" s="459" t="inlineStr">
        <is>
          <t>Sequenza (per calcolo Reg Lin)</t>
        </is>
      </c>
      <c r="S172" s="529" t="n"/>
      <c r="T172" s="529" t="n"/>
    </row>
    <row r="173" outlineLevel="1" ht="29.4" customHeight="1" thickTop="1">
      <c r="A173" s="170" t="n"/>
      <c r="B173" s="171" t="inlineStr">
        <is>
          <t>Precarico</t>
        </is>
      </c>
      <c r="C173" s="172" t="inlineStr">
        <is>
          <t>Precarico</t>
        </is>
      </c>
      <c r="D173" s="173" t="inlineStr">
        <is>
          <t>Precarico</t>
        </is>
      </c>
      <c r="E173" s="174" t="inlineStr">
        <is>
          <t>Crescente</t>
        </is>
      </c>
      <c r="F173" s="172" t="inlineStr">
        <is>
          <t>Decrescente</t>
        </is>
      </c>
      <c r="G173" s="173" t="inlineStr">
        <is>
          <t>Crescente</t>
        </is>
      </c>
      <c r="H173" s="74" t="n"/>
      <c r="J173" s="169" t="n"/>
      <c r="R173" s="175" t="n"/>
      <c r="S173" s="176" t="inlineStr">
        <is>
          <t>WBA Out
[V]</t>
        </is>
      </c>
      <c r="T173" s="176" t="inlineStr">
        <is>
          <t>Set Point
#</t>
        </is>
      </c>
    </row>
    <row r="174" outlineLevel="1" ht="16.2" customHeight="1" thickBot="1">
      <c r="A174" s="177" t="inlineStr">
        <is>
          <t xml:space="preserve"> [Nm]</t>
        </is>
      </c>
      <c r="B174" s="178" t="inlineStr">
        <is>
          <t>[V]</t>
        </is>
      </c>
      <c r="C174" s="179" t="inlineStr">
        <is>
          <t>[V]</t>
        </is>
      </c>
      <c r="D174" s="180" t="inlineStr">
        <is>
          <t>[V]</t>
        </is>
      </c>
      <c r="E174" s="181" t="inlineStr">
        <is>
          <t>[V]</t>
        </is>
      </c>
      <c r="F174" s="179" t="inlineStr">
        <is>
          <t>[V]</t>
        </is>
      </c>
      <c r="G174" s="180" t="inlineStr">
        <is>
          <t>[V]</t>
        </is>
      </c>
      <c r="H174" s="74" t="n"/>
      <c r="J174" s="169" t="n"/>
      <c r="R174" s="182" t="inlineStr">
        <is>
          <t>1a rampa</t>
        </is>
      </c>
      <c r="S174" s="566">
        <f>E175</f>
        <v/>
      </c>
      <c r="T174" s="184">
        <f>SetPnt_N_0</f>
        <v/>
      </c>
    </row>
    <row r="175" outlineLevel="1" ht="15.6" customHeight="1">
      <c r="A175" s="185">
        <f>A124</f>
        <v/>
      </c>
      <c r="B175" s="594">
        <f>B124</f>
        <v/>
      </c>
      <c r="C175" s="594">
        <f>C124</f>
        <v/>
      </c>
      <c r="D175" s="594">
        <f>D124</f>
        <v/>
      </c>
      <c r="E175" s="594">
        <f>E124</f>
        <v/>
      </c>
      <c r="F175" s="568">
        <f>F124</f>
        <v/>
      </c>
      <c r="G175" s="594">
        <f>G124</f>
        <v/>
      </c>
      <c r="H175" s="569">
        <f>$B$169*A175^2 + $C$169*A175+$D$169</f>
        <v/>
      </c>
      <c r="I175" s="569">
        <f>A175*$G$169+$H$169</f>
        <v/>
      </c>
      <c r="J175" s="569" t="n"/>
      <c r="K175" s="569">
        <f>AVERAGE(E175:G175)</f>
        <v/>
      </c>
      <c r="L175" s="569">
        <f>ABS(E175-G175)</f>
        <v/>
      </c>
      <c r="M175" s="569">
        <f>SQRT((E175-K175)^2+(G175-K175)^2)</f>
        <v/>
      </c>
      <c r="N175" s="569">
        <f>(ABS(E175-F175) )</f>
        <v/>
      </c>
      <c r="O175" s="569">
        <f>I175-K175</f>
        <v/>
      </c>
      <c r="P175" s="569">
        <f>H175-K175</f>
        <v/>
      </c>
      <c r="R175" s="182" t="n"/>
      <c r="S175" s="566">
        <f>E176</f>
        <v/>
      </c>
      <c r="T175" s="189">
        <f>SetPnt_N_1</f>
        <v/>
      </c>
    </row>
    <row r="176" outlineLevel="1" ht="15.6" customHeight="1">
      <c r="A176" s="190">
        <f>A125</f>
        <v/>
      </c>
      <c r="B176" s="595">
        <f>B125</f>
        <v/>
      </c>
      <c r="C176" s="595">
        <f>C125</f>
        <v/>
      </c>
      <c r="D176" s="595">
        <f>D125</f>
        <v/>
      </c>
      <c r="E176" s="594">
        <f>E125</f>
        <v/>
      </c>
      <c r="F176" s="568">
        <f>F125</f>
        <v/>
      </c>
      <c r="G176" s="594">
        <f>G125</f>
        <v/>
      </c>
      <c r="H176" s="569">
        <f>$B$169*A176^2 + $C$169*A176+$D$169</f>
        <v/>
      </c>
      <c r="I176" s="569">
        <f>A176*$G$169+$H$169</f>
        <v/>
      </c>
      <c r="J176" s="569" t="n"/>
      <c r="K176" s="569">
        <f>AVERAGE(E176:G176)</f>
        <v/>
      </c>
      <c r="L176" s="569">
        <f>ABS(E176-G176)</f>
        <v/>
      </c>
      <c r="M176" s="569">
        <f>SQRT((E176-K176)^2+(G176-K176)^2)</f>
        <v/>
      </c>
      <c r="N176" s="569">
        <f>(ABS(E176-F176) )</f>
        <v/>
      </c>
      <c r="O176" s="569">
        <f>I176-K176</f>
        <v/>
      </c>
      <c r="P176" s="569">
        <f>H176-K176</f>
        <v/>
      </c>
      <c r="R176" s="182" t="n"/>
      <c r="S176" s="566">
        <f>E177</f>
        <v/>
      </c>
      <c r="T176" s="189">
        <f>SetPnt_N_2</f>
        <v/>
      </c>
    </row>
    <row r="177" outlineLevel="1" ht="15.6" customHeight="1">
      <c r="A177" s="190">
        <f>A126</f>
        <v/>
      </c>
      <c r="B177" s="595">
        <f>B126</f>
        <v/>
      </c>
      <c r="C177" s="595">
        <f>C126</f>
        <v/>
      </c>
      <c r="D177" s="595">
        <f>D126</f>
        <v/>
      </c>
      <c r="E177" s="594">
        <f>E126</f>
        <v/>
      </c>
      <c r="F177" s="568">
        <f>F126</f>
        <v/>
      </c>
      <c r="G177" s="594">
        <f>G126</f>
        <v/>
      </c>
      <c r="H177" s="569">
        <f>$B$169*A177^2 + $C$169*A177+$D$169</f>
        <v/>
      </c>
      <c r="I177" s="569">
        <f>A177*$G$169+$H$169</f>
        <v/>
      </c>
      <c r="J177" s="569" t="n"/>
      <c r="K177" s="569">
        <f>AVERAGE(E177:G177)</f>
        <v/>
      </c>
      <c r="L177" s="569">
        <f>ABS(E177-G177)</f>
        <v/>
      </c>
      <c r="M177" s="569">
        <f>SQRT((E177-K177)^2+(G177-K177)^2)</f>
        <v/>
      </c>
      <c r="N177" s="569">
        <f>(ABS(E177-F177) )</f>
        <v/>
      </c>
      <c r="O177" s="569">
        <f>I177-K177</f>
        <v/>
      </c>
      <c r="P177" s="569">
        <f>H177-K177</f>
        <v/>
      </c>
      <c r="R177" s="182" t="n"/>
      <c r="S177" s="566">
        <f>E178</f>
        <v/>
      </c>
      <c r="T177" s="189">
        <f>SetPnt_N_3</f>
        <v/>
      </c>
    </row>
    <row r="178" outlineLevel="1" ht="15.6" customHeight="1">
      <c r="A178" s="190">
        <f>A127</f>
        <v/>
      </c>
      <c r="B178" s="595">
        <f>B127</f>
        <v/>
      </c>
      <c r="C178" s="595">
        <f>C127</f>
        <v/>
      </c>
      <c r="D178" s="595">
        <f>D127</f>
        <v/>
      </c>
      <c r="E178" s="594">
        <f>E127</f>
        <v/>
      </c>
      <c r="F178" s="568">
        <f>F127</f>
        <v/>
      </c>
      <c r="G178" s="594">
        <f>G127</f>
        <v/>
      </c>
      <c r="H178" s="569">
        <f>$B$169*A178^2 + $C$169*A178+$D$169</f>
        <v/>
      </c>
      <c r="I178" s="569">
        <f>A178*$G$169+$H$169</f>
        <v/>
      </c>
      <c r="J178" s="569" t="n"/>
      <c r="K178" s="569">
        <f>AVERAGE(E178:G178)</f>
        <v/>
      </c>
      <c r="L178" s="569">
        <f>ABS(E178-G178)</f>
        <v/>
      </c>
      <c r="M178" s="569">
        <f>SQRT((E178-K178)^2+(G178-K178)^2)</f>
        <v/>
      </c>
      <c r="N178" s="569">
        <f>(ABS(E178-F178) )</f>
        <v/>
      </c>
      <c r="O178" s="569">
        <f>I178-K178</f>
        <v/>
      </c>
      <c r="P178" s="569">
        <f>H178-K178</f>
        <v/>
      </c>
      <c r="R178" s="182" t="n"/>
      <c r="S178" s="566">
        <f>E179</f>
        <v/>
      </c>
      <c r="T178" s="189">
        <f>SetPnt_N_4</f>
        <v/>
      </c>
    </row>
    <row r="179" outlineLevel="1" ht="15.6" customHeight="1">
      <c r="A179" s="190">
        <f>A128</f>
        <v/>
      </c>
      <c r="B179" s="595">
        <f>B128</f>
        <v/>
      </c>
      <c r="C179" s="595">
        <f>C128</f>
        <v/>
      </c>
      <c r="D179" s="595">
        <f>D128</f>
        <v/>
      </c>
      <c r="E179" s="594">
        <f>E128</f>
        <v/>
      </c>
      <c r="F179" s="568">
        <f>F128</f>
        <v/>
      </c>
      <c r="G179" s="594">
        <f>G128</f>
        <v/>
      </c>
      <c r="H179" s="569">
        <f>$B$169*A179^2 + $C$169*A179+$D$169</f>
        <v/>
      </c>
      <c r="I179" s="569">
        <f>A179*$G$169+$H$169</f>
        <v/>
      </c>
      <c r="J179" s="569" t="n"/>
      <c r="K179" s="569">
        <f>AVERAGE(E179:G179)</f>
        <v/>
      </c>
      <c r="L179" s="569">
        <f>ABS(E179-G179)</f>
        <v/>
      </c>
      <c r="M179" s="569">
        <f>SQRT((E179-K179)^2+(G179-K179)^2)</f>
        <v/>
      </c>
      <c r="N179" s="569">
        <f>(ABS(E179-F179) )</f>
        <v/>
      </c>
      <c r="O179" s="569">
        <f>I179-K179</f>
        <v/>
      </c>
      <c r="P179" s="569">
        <f>H179-K179</f>
        <v/>
      </c>
      <c r="R179" s="192" t="n"/>
      <c r="S179" s="571">
        <f>E180</f>
        <v/>
      </c>
      <c r="T179" s="189">
        <f>SetPnt_N_5</f>
        <v/>
      </c>
    </row>
    <row r="180" outlineLevel="1" ht="15.6" customHeight="1">
      <c r="A180" s="190">
        <f>A129</f>
        <v/>
      </c>
      <c r="B180" s="594">
        <f>B129</f>
        <v/>
      </c>
      <c r="C180" s="594">
        <f>C129</f>
        <v/>
      </c>
      <c r="D180" s="594">
        <f>D129</f>
        <v/>
      </c>
      <c r="E180" s="594">
        <f>E129</f>
        <v/>
      </c>
      <c r="F180" s="568">
        <f>F129</f>
        <v/>
      </c>
      <c r="G180" s="594">
        <f>G129</f>
        <v/>
      </c>
      <c r="H180" s="569">
        <f>$B$169*A180^2 + $C$169*A180+$D$169</f>
        <v/>
      </c>
      <c r="I180" s="569">
        <f>A180*$G$169+$H$169</f>
        <v/>
      </c>
      <c r="J180" s="569" t="n"/>
      <c r="K180" s="569">
        <f>AVERAGE(E180:G180)</f>
        <v/>
      </c>
      <c r="L180" s="569">
        <f>ABS(E180-G180)</f>
        <v/>
      </c>
      <c r="M180" s="569">
        <f>SQRT((E180-K180)^2+(G180-K180)^2)</f>
        <v/>
      </c>
      <c r="N180" s="569">
        <f>(ABS(E180-F180) )</f>
        <v/>
      </c>
      <c r="O180" s="569">
        <f>I180-K180</f>
        <v/>
      </c>
      <c r="P180" s="569">
        <f>H180-K180</f>
        <v/>
      </c>
      <c r="R180" s="182" t="inlineStr">
        <is>
          <t>2a rampa</t>
        </is>
      </c>
      <c r="S180" s="566">
        <f>G175</f>
        <v/>
      </c>
      <c r="T180" s="184">
        <f>SetPnt_N_0</f>
        <v/>
      </c>
    </row>
    <row r="181" outlineLevel="1">
      <c r="P181" s="549" t="n"/>
      <c r="R181" s="195" t="n"/>
      <c r="S181" s="566">
        <f>G176</f>
        <v/>
      </c>
      <c r="T181" s="189">
        <f>SetPnt_N_1</f>
        <v/>
      </c>
    </row>
    <row r="182" outlineLevel="1" ht="18.6" customHeight="1" thickBot="1">
      <c r="A182" s="87" t="inlineStr">
        <is>
          <t>8.2 w(X) incertezza (funziona quando vi sono presenti i valori per la curva di discesa)</t>
        </is>
      </c>
      <c r="P182" s="549" t="n"/>
      <c r="R182" s="195" t="n"/>
      <c r="S182" s="566">
        <f>G177</f>
        <v/>
      </c>
      <c r="T182" s="189">
        <f>SetPnt_N_2</f>
        <v/>
      </c>
    </row>
    <row r="183" outlineLevel="1" ht="15" customHeight="1" thickBot="1">
      <c r="A183" s="250" t="inlineStr">
        <is>
          <t>Coppia</t>
        </is>
      </c>
      <c r="B183" s="198" t="inlineStr">
        <is>
          <t>wb'</t>
        </is>
      </c>
      <c r="C183" s="198" t="inlineStr">
        <is>
          <t>wb</t>
        </is>
      </c>
      <c r="D183" s="198" t="inlineStr">
        <is>
          <t>wr</t>
        </is>
      </c>
      <c r="E183" s="198" t="inlineStr">
        <is>
          <t>w fa 1°</t>
        </is>
      </c>
      <c r="F183" s="198" t="inlineStr">
        <is>
          <t>w(X)</t>
        </is>
      </c>
      <c r="G183" s="198" t="inlineStr">
        <is>
          <t>W(X)=2*w</t>
        </is>
      </c>
      <c r="H183" s="198" t="inlineStr">
        <is>
          <t>w fa 2°</t>
        </is>
      </c>
      <c r="I183" s="198" t="inlineStr">
        <is>
          <t>w(X)</t>
        </is>
      </c>
      <c r="J183" s="198" t="inlineStr">
        <is>
          <t>W(X)=2*w</t>
        </is>
      </c>
      <c r="K183" s="74" t="n"/>
      <c r="M183" s="152" t="n"/>
      <c r="N183" s="198" t="inlineStr">
        <is>
          <t>wr</t>
        </is>
      </c>
      <c r="P183" s="549" t="n"/>
      <c r="R183" s="110" t="n"/>
      <c r="S183" s="566">
        <f>G178</f>
        <v/>
      </c>
      <c r="T183" s="189">
        <f>SetPnt_N_3</f>
        <v/>
      </c>
    </row>
    <row r="184" outlineLevel="1">
      <c r="A184" s="190">
        <f>A175</f>
        <v/>
      </c>
      <c r="B184" s="199">
        <f>L175*100 / (SQRT(2)*K175)</f>
        <v/>
      </c>
      <c r="C184" s="199">
        <f>M175*100 / (SQRT(2)*K175)</f>
        <v/>
      </c>
      <c r="D184" s="199" t="n">
        <v>0.469</v>
      </c>
      <c r="E184" s="199">
        <f>ABS(O175)*100 / (SQRT(6)*I175)</f>
        <v/>
      </c>
      <c r="F184" s="199">
        <f>SQRT((B184^2 + C184^2+D184^2+E184^2))</f>
        <v/>
      </c>
      <c r="G184" s="573">
        <f>F184*2</f>
        <v/>
      </c>
      <c r="H184" s="572">
        <f>ABS(P175)*100 / (SQRT(6)*H175)</f>
        <v/>
      </c>
      <c r="I184" s="199">
        <f>SQRT((B184^2 + C184^2+H184^2+D184^2))</f>
        <v/>
      </c>
      <c r="J184" s="199">
        <f>I184*2</f>
        <v/>
      </c>
      <c r="M184" s="152" t="n"/>
      <c r="N184" s="202" t="n">
        <v>0.469</v>
      </c>
      <c r="P184" s="549" t="n"/>
      <c r="R184" s="110" t="n"/>
      <c r="S184" s="566">
        <f>G179</f>
        <v/>
      </c>
      <c r="T184" s="189">
        <f>SetPnt_N_4</f>
        <v/>
      </c>
    </row>
    <row r="185" outlineLevel="1">
      <c r="A185" s="190">
        <f>A176</f>
        <v/>
      </c>
      <c r="B185" s="199">
        <f>L176*100 / (SQRT(2)*K176)</f>
        <v/>
      </c>
      <c r="C185" s="199">
        <f>M176*100 / (SQRT(2)*K176)</f>
        <v/>
      </c>
      <c r="D185" s="199" t="n">
        <v>0.109</v>
      </c>
      <c r="E185" s="199">
        <f>ABS(O176)*100 / (SQRT(6)*I176)</f>
        <v/>
      </c>
      <c r="F185" s="199">
        <f>SQRT((B185^2 + C185^2+D185^2+E185^2))</f>
        <v/>
      </c>
      <c r="G185" s="573">
        <f>F185*2</f>
        <v/>
      </c>
      <c r="H185" s="572">
        <f>ABS(P176)*100 / (SQRT(6)*H176)</f>
        <v/>
      </c>
      <c r="I185" s="199">
        <f>SQRT((B185^2 + C185^2+H185^2+D185^2))</f>
        <v/>
      </c>
      <c r="J185" s="574">
        <f>I185*2</f>
        <v/>
      </c>
      <c r="M185" s="152" t="n"/>
      <c r="N185" s="202" t="n">
        <v>0.469</v>
      </c>
      <c r="P185" s="549" t="n"/>
      <c r="R185" s="110" t="n"/>
      <c r="S185" s="566">
        <f>G180</f>
        <v/>
      </c>
      <c r="T185" s="189">
        <f>SetPnt_N_5</f>
        <v/>
      </c>
    </row>
    <row r="186" outlineLevel="1">
      <c r="A186" s="190">
        <f>A177</f>
        <v/>
      </c>
      <c r="B186" s="199">
        <f>L177*100 / (SQRT(2)*K177)</f>
        <v/>
      </c>
      <c r="C186" s="199">
        <f>M177*100 / (SQRT(2)*K177)</f>
        <v/>
      </c>
      <c r="D186" s="199" t="n">
        <v>0.109</v>
      </c>
      <c r="E186" s="199">
        <f>ABS(O177)*100 / (SQRT(6)*I177)</f>
        <v/>
      </c>
      <c r="F186" s="199">
        <f>SQRT((B186^2 + C186^2+D186^2+E186^2))</f>
        <v/>
      </c>
      <c r="G186" s="573">
        <f>F186*2</f>
        <v/>
      </c>
      <c r="H186" s="572">
        <f>ABS(P177)*100 / (SQRT(6)*H177)</f>
        <v/>
      </c>
      <c r="I186" s="199">
        <f>SQRT((B186^2 + C186^2+H186^2+D186^2))</f>
        <v/>
      </c>
      <c r="J186" s="574">
        <f>I186*2</f>
        <v/>
      </c>
      <c r="M186" s="152" t="n"/>
      <c r="N186" s="202" t="n">
        <v>0.109</v>
      </c>
      <c r="P186" s="549" t="n"/>
    </row>
    <row r="187" outlineLevel="1">
      <c r="A187" s="190">
        <f>A178</f>
        <v/>
      </c>
      <c r="B187" s="199">
        <f>L178*100 / (SQRT(2)*K178)</f>
        <v/>
      </c>
      <c r="C187" s="199">
        <f>M178*100 / (SQRT(2)*K178)</f>
        <v/>
      </c>
      <c r="D187" s="199" t="n">
        <v>0.109</v>
      </c>
      <c r="E187" s="199">
        <f>ABS(O178)*100 / (SQRT(6)*I178)</f>
        <v/>
      </c>
      <c r="F187" s="199">
        <f>SQRT((B187^2 + C187^2+D187^2+E187^2))</f>
        <v/>
      </c>
      <c r="G187" s="573">
        <f>F187*2</f>
        <v/>
      </c>
      <c r="H187" s="572">
        <f>ABS(P178)*100 / (SQRT(6)*H178)</f>
        <v/>
      </c>
      <c r="I187" s="199">
        <f>SQRT((B187^2 + C187^2+H187^2+D187^2))</f>
        <v/>
      </c>
      <c r="J187" s="574">
        <f>I187*2</f>
        <v/>
      </c>
      <c r="M187" s="152" t="n"/>
      <c r="N187" s="202" t="n">
        <v>0.109</v>
      </c>
      <c r="P187" s="549" t="n"/>
    </row>
    <row r="188" outlineLevel="1">
      <c r="A188" s="190">
        <f>A179</f>
        <v/>
      </c>
      <c r="B188" s="199">
        <f>L179*100 / (SQRT(2)*K179)</f>
        <v/>
      </c>
      <c r="C188" s="199">
        <f>M179*100 / (SQRT(2)*K179)</f>
        <v/>
      </c>
      <c r="D188" s="199" t="n">
        <v>0.108</v>
      </c>
      <c r="E188" s="199">
        <f>ABS(O179)*100 / (SQRT(6)*I179)</f>
        <v/>
      </c>
      <c r="F188" s="199">
        <f>SQRT((B188^2 + C188^2+D188^2+E188^2))</f>
        <v/>
      </c>
      <c r="G188" s="573">
        <f>F188*2</f>
        <v/>
      </c>
      <c r="H188" s="572">
        <f>ABS(P179)*100 / (SQRT(6)*H179)</f>
        <v/>
      </c>
      <c r="I188" s="199">
        <f>SQRT((B188^2 + C188^2+H188^2+D188^2))</f>
        <v/>
      </c>
      <c r="J188" s="574">
        <f>I188*2</f>
        <v/>
      </c>
      <c r="M188" s="152" t="n"/>
      <c r="N188" s="202" t="n">
        <v>0.108</v>
      </c>
      <c r="P188" s="549" t="n"/>
    </row>
    <row r="189" outlineLevel="1">
      <c r="A189" s="190">
        <f>A180</f>
        <v/>
      </c>
      <c r="B189" s="199">
        <f>L180*100 / (SQRT(2)*K180)</f>
        <v/>
      </c>
      <c r="C189" s="199">
        <f>M180*100 / (SQRT(2)*K180)</f>
        <v/>
      </c>
      <c r="D189" s="199" t="n">
        <v>0.098</v>
      </c>
      <c r="E189" s="199">
        <f>ABS(O180)*100 / (SQRT(6)*I180)</f>
        <v/>
      </c>
      <c r="F189" s="199">
        <f>SQRT((B189^2 + C189^2+D189^2+E189^2))</f>
        <v/>
      </c>
      <c r="G189" s="573">
        <f>F189*2</f>
        <v/>
      </c>
      <c r="H189" s="572">
        <f>ABS(P180)*100 / (SQRT(6)*H180)</f>
        <v/>
      </c>
      <c r="I189" s="199">
        <f>SQRT((B189^2 + C189^2+H189^2+D189^2))</f>
        <v/>
      </c>
      <c r="J189" s="574">
        <f>I189*2</f>
        <v/>
      </c>
      <c r="M189" s="152" t="n"/>
      <c r="N189" s="202" t="n">
        <v>0.098</v>
      </c>
    </row>
    <row r="192" ht="16.2" customHeight="1">
      <c r="A192" t="inlineStr">
        <is>
          <t>3.  Incertezza stimata con coefficienti punto 1. 1o QUADRANTE (Coppia Positiva)</t>
        </is>
      </c>
      <c r="B192" s="52" t="n"/>
      <c r="I192" s="485" t="n"/>
    </row>
    <row r="193" ht="15" customHeight="1" thickBot="1">
      <c r="A193" s="52" t="n"/>
      <c r="B193" s="52" t="n"/>
      <c r="I193" s="485" t="n"/>
    </row>
    <row r="194">
      <c r="A194" s="52" t="n"/>
      <c r="C194" s="460" t="inlineStr">
        <is>
          <t>Coppia</t>
        </is>
      </c>
      <c r="D194" s="596" t="n"/>
      <c r="E194" s="392">
        <f>A185</f>
        <v/>
      </c>
      <c r="F194" s="392">
        <f>A186</f>
        <v/>
      </c>
      <c r="G194" s="392">
        <f>A187</f>
        <v/>
      </c>
      <c r="H194" s="392">
        <f>A188</f>
        <v/>
      </c>
      <c r="I194" s="393">
        <f>A189</f>
        <v/>
      </c>
    </row>
    <row r="195" ht="15" customHeight="1" thickBot="1">
      <c r="A195" s="52" t="n"/>
      <c r="C195" s="456" t="inlineStr">
        <is>
          <t>Incertezza %</t>
        </is>
      </c>
      <c r="D195" s="597" t="n"/>
      <c r="E195" s="598">
        <f>1/100*J185</f>
        <v/>
      </c>
      <c r="F195" s="598">
        <f>1/100*J186</f>
        <v/>
      </c>
      <c r="G195" s="598">
        <f>1/100*J187</f>
        <v/>
      </c>
      <c r="H195" s="598">
        <f>1/100*J188</f>
        <v/>
      </c>
      <c r="I195" s="599">
        <f>1/100*J189</f>
        <v/>
      </c>
    </row>
    <row r="196">
      <c r="A196" s="52" t="n"/>
      <c r="B196" s="52" t="n"/>
      <c r="I196" s="485" t="n"/>
    </row>
  </sheetData>
  <mergeCells count="32">
    <mergeCell ref="J155:J156"/>
    <mergeCell ref="G21:H21"/>
    <mergeCell ref="Q38:S38"/>
    <mergeCell ref="L50:O50"/>
    <mergeCell ref="C195:D195"/>
    <mergeCell ref="P172:P174"/>
    <mergeCell ref="N172:N174"/>
    <mergeCell ref="P121:P123"/>
    <mergeCell ref="G50:J50"/>
    <mergeCell ref="K121:K123"/>
    <mergeCell ref="K172:K174"/>
    <mergeCell ref="H172:H174"/>
    <mergeCell ref="R121:T121"/>
    <mergeCell ref="I172:I174"/>
    <mergeCell ref="M121:M123"/>
    <mergeCell ref="O121:O123"/>
    <mergeCell ref="I155:I156"/>
    <mergeCell ref="H121:H123"/>
    <mergeCell ref="C21:D21"/>
    <mergeCell ref="G38:J38"/>
    <mergeCell ref="C194:D194"/>
    <mergeCell ref="N121:N123"/>
    <mergeCell ref="O172:O174"/>
    <mergeCell ref="L121:L123"/>
    <mergeCell ref="L172:L174"/>
    <mergeCell ref="R172:T172"/>
    <mergeCell ref="B38:E38"/>
    <mergeCell ref="M172:M174"/>
    <mergeCell ref="I121:I123"/>
    <mergeCell ref="L38:O38"/>
    <mergeCell ref="B21:B22"/>
    <mergeCell ref="E21:F21"/>
  </mergeCells>
  <pageMargins left="0.7" right="0.7" top="0.75" bottom="0.75" header="0.511811023622047" footer="0.511811023622047"/>
  <pageSetup orientation="portrait" paperSize="9" horizontalDpi="300" verticalDpi="300"/>
</worksheet>
</file>

<file path=xl/worksheets/sheet4.xml><?xml version="1.0" encoding="utf-8"?>
<worksheet xmlns:r="http://schemas.openxmlformats.org/officeDocument/2006/relationships" xmlns="http://schemas.openxmlformats.org/spreadsheetml/2006/main">
  <sheetPr>
    <tabColor rgb="FFFF0000"/>
    <outlinePr summaryBelow="1" summaryRight="1"/>
    <pageSetUpPr/>
  </sheetPr>
  <dimension ref="A1:X195"/>
  <sheetViews>
    <sheetView zoomScale="85" zoomScaleNormal="85" workbookViewId="0">
      <selection activeCell="C14" sqref="C14"/>
    </sheetView>
  </sheetViews>
  <sheetFormatPr baseColWidth="8" defaultColWidth="8.5546875" defaultRowHeight="14.4" outlineLevelRow="1"/>
  <cols>
    <col width="14.33203125" customWidth="1" min="1" max="1"/>
    <col width="19.6640625" customWidth="1" min="2" max="2"/>
    <col width="13.44140625" customWidth="1" min="3" max="3"/>
    <col width="20.88671875" bestFit="1" customWidth="1" min="4" max="4"/>
    <col width="13.44140625" customWidth="1" min="5" max="5"/>
    <col width="15.44140625" customWidth="1" min="6" max="6"/>
    <col width="14.109375" customWidth="1" min="7" max="9"/>
    <col width="9.33203125" customWidth="1" min="10" max="10"/>
    <col width="9.109375" customWidth="1" min="11" max="11"/>
    <col width="12.88671875" customWidth="1" min="12" max="12"/>
    <col width="12.6640625" customWidth="1" min="13" max="13"/>
    <col width="12.5546875" customWidth="1" min="14" max="14"/>
    <col width="10.6640625" customWidth="1" min="15" max="16"/>
    <col width="11.5546875" customWidth="1" min="17" max="19"/>
    <col width="10.5546875" customWidth="1" min="20" max="20"/>
    <col width="7.88671875" customWidth="1" min="21" max="21"/>
    <col width="12.5546875" customWidth="1" min="22" max="22"/>
    <col width="13.33203125" customWidth="1" min="23" max="23"/>
    <col width="12.5546875" customWidth="1" min="24" max="24"/>
  </cols>
  <sheetData>
    <row r="1" ht="25.8" customHeight="1">
      <c r="A1" s="246" t="inlineStr">
        <is>
          <t>1. Inzializzazione parametri acquisitore usato per acquisizione dati taratura</t>
        </is>
      </c>
      <c r="B1" s="247" t="n"/>
      <c r="C1" s="247" t="n"/>
      <c r="D1" s="247" t="n"/>
      <c r="E1" s="247" t="n"/>
      <c r="F1" s="247" t="n"/>
      <c r="G1" s="247" t="n"/>
      <c r="H1" s="247" t="n"/>
      <c r="I1" s="247" t="n"/>
      <c r="J1" s="247" t="n"/>
      <c r="K1" s="247" t="n"/>
      <c r="L1" s="247" t="n"/>
      <c r="M1" s="247" t="n"/>
      <c r="N1" s="247" t="n"/>
      <c r="O1" s="247" t="n"/>
      <c r="P1" s="247" t="n"/>
      <c r="Q1" s="247" t="n"/>
      <c r="R1" s="247" t="n"/>
      <c r="S1" s="247" t="n"/>
      <c r="T1" s="247" t="n"/>
      <c r="U1" s="247" t="n"/>
      <c r="V1" s="247" t="n"/>
      <c r="W1" s="247" t="n"/>
      <c r="X1" s="247" t="n"/>
    </row>
    <row r="2" hidden="1" outlineLevel="1">
      <c r="A2" t="inlineStr">
        <is>
          <t>Inserire i valori caratteristici della UUT impiegati nel sistema di acquisizione</t>
        </is>
      </c>
    </row>
    <row r="3" hidden="1" outlineLevel="1">
      <c r="A3" s="63" t="inlineStr">
        <is>
          <t>Scale</t>
        </is>
      </c>
      <c r="B3" s="64">
        <f>CONCATENATE(EUnits,"/V")</f>
        <v/>
      </c>
      <c r="C3" s="65">
        <f>'Istruzioni Uso'!B13</f>
        <v/>
      </c>
      <c r="F3" s="24" t="n"/>
      <c r="K3" s="24" t="n"/>
      <c r="P3" s="24" t="n"/>
    </row>
    <row r="4" hidden="1" outlineLevel="1">
      <c r="A4" s="66" t="inlineStr">
        <is>
          <t>Offset</t>
        </is>
      </c>
      <c r="B4" s="67" t="inlineStr">
        <is>
          <t>Nm</t>
        </is>
      </c>
      <c r="C4" s="68">
        <f>'Istruzioni Uso'!B15</f>
        <v/>
      </c>
      <c r="F4" s="24" t="n"/>
      <c r="K4" s="24" t="n"/>
      <c r="P4" s="24" t="n"/>
    </row>
    <row r="5" hidden="1" outlineLevel="1">
      <c r="A5" t="inlineStr">
        <is>
          <t>Sensitivity</t>
        </is>
      </c>
      <c r="B5">
        <f>CONCATENATE("UUT [V/",EUnits,"]")</f>
        <v/>
      </c>
      <c r="C5">
        <f>1/C3</f>
        <v/>
      </c>
      <c r="F5" s="24" t="n"/>
      <c r="K5" s="24" t="n"/>
      <c r="P5" s="24" t="n"/>
    </row>
    <row r="6" hidden="1" outlineLevel="1">
      <c r="C6">
        <f>-C4/C3</f>
        <v/>
      </c>
      <c r="F6" s="24" t="n"/>
      <c r="K6" s="24" t="n"/>
      <c r="P6" s="24" t="n"/>
    </row>
    <row r="7" collapsed="1">
      <c r="F7" s="24" t="n"/>
      <c r="K7" s="24" t="n"/>
      <c r="P7" s="24" t="n"/>
    </row>
    <row r="8" ht="25.8" customHeight="1">
      <c r="A8" s="246" t="inlineStr">
        <is>
          <t>2. Inzializzazione range di taratura</t>
        </is>
      </c>
      <c r="B8" s="247" t="n"/>
      <c r="C8" s="247" t="n"/>
      <c r="D8" s="247" t="n"/>
      <c r="E8" s="247" t="n"/>
      <c r="F8" s="247" t="n"/>
      <c r="G8" s="247" t="n"/>
      <c r="H8" s="247" t="n"/>
      <c r="I8" s="247" t="n"/>
      <c r="J8" s="247" t="n"/>
      <c r="K8" s="247" t="n"/>
      <c r="L8" s="247" t="n"/>
      <c r="M8" s="247" t="n"/>
      <c r="N8" s="247" t="n"/>
      <c r="O8" s="247" t="n"/>
      <c r="P8" s="247" t="n"/>
      <c r="Q8" s="247" t="n"/>
      <c r="R8" s="247" t="n"/>
      <c r="S8" s="247" t="n"/>
      <c r="T8" s="247" t="n"/>
      <c r="U8" s="247" t="n"/>
      <c r="V8" s="247" t="n"/>
      <c r="W8" s="247" t="n"/>
      <c r="X8" s="247" t="n"/>
    </row>
    <row r="9" outlineLevel="1">
      <c r="F9" s="24" t="n"/>
      <c r="K9" s="24" t="n"/>
      <c r="P9" s="24" t="n"/>
    </row>
    <row r="10" outlineLevel="1">
      <c r="A10" s="12" t="inlineStr">
        <is>
          <t>Input values</t>
        </is>
      </c>
      <c r="D10" s="12" t="inlineStr">
        <is>
          <t>Set points di taratura</t>
        </is>
      </c>
      <c r="F10" s="24" t="n"/>
      <c r="K10" s="24" t="n"/>
      <c r="P10" s="24" t="n"/>
    </row>
    <row r="11" outlineLevel="1">
      <c r="A11">
        <f>CONCATENATE("Min [",EUnits,"]")</f>
        <v/>
      </c>
      <c r="B11" t="n">
        <v>0</v>
      </c>
      <c r="D11" t="inlineStr">
        <is>
          <t>Set Point 0</t>
        </is>
      </c>
      <c r="E11">
        <f>SetPnt_N_0</f>
        <v/>
      </c>
      <c r="F11" s="24" t="n"/>
      <c r="K11" s="24" t="n"/>
      <c r="P11" s="24" t="n"/>
    </row>
    <row r="12" outlineLevel="1">
      <c r="A12">
        <f>CONCATENATE("Max [",EUnits,"]")</f>
        <v/>
      </c>
      <c r="B12">
        <f>C_Tar_min</f>
        <v/>
      </c>
      <c r="D12" t="inlineStr">
        <is>
          <t>Set Point 1</t>
        </is>
      </c>
      <c r="E12" s="17">
        <f>SetPnt_N_1</f>
        <v/>
      </c>
      <c r="F12" s="24" t="n"/>
      <c r="K12" s="24" t="n"/>
      <c r="P12" s="24" t="n"/>
    </row>
    <row r="13" outlineLevel="1">
      <c r="A13" t="inlineStr">
        <is>
          <t>Set points #</t>
        </is>
      </c>
      <c r="B13" t="n">
        <v>5</v>
      </c>
      <c r="D13" t="inlineStr">
        <is>
          <t>Set Point 2</t>
        </is>
      </c>
      <c r="E13" s="17">
        <f>SetPnt_N_2</f>
        <v/>
      </c>
      <c r="F13" s="24" t="n"/>
      <c r="K13" s="24" t="n"/>
      <c r="P13" s="24" t="n"/>
    </row>
    <row r="14" outlineLevel="1">
      <c r="A14">
        <f>CONCATENATE("Step [",EUnits,"]")</f>
        <v/>
      </c>
      <c r="B14" s="17">
        <f>(B12-B11)/B13</f>
        <v/>
      </c>
      <c r="D14" t="inlineStr">
        <is>
          <t>Set Point 3</t>
        </is>
      </c>
      <c r="E14" s="17">
        <f>SetPnt_N_3</f>
        <v/>
      </c>
      <c r="F14" s="24" t="n"/>
      <c r="K14" s="24" t="n"/>
      <c r="P14" s="24" t="n"/>
    </row>
    <row r="15" outlineLevel="1">
      <c r="D15" t="inlineStr">
        <is>
          <t>Set Point 4</t>
        </is>
      </c>
      <c r="E15" s="17">
        <f>SetPnt_N_4</f>
        <v/>
      </c>
      <c r="F15" s="24" t="n"/>
      <c r="K15" s="24" t="n"/>
      <c r="P15" s="24" t="n"/>
    </row>
    <row r="16" outlineLevel="1">
      <c r="D16" t="inlineStr">
        <is>
          <t>Set Point 5</t>
        </is>
      </c>
      <c r="E16" s="17">
        <f>SetPnt_N_5</f>
        <v/>
      </c>
      <c r="F16" s="24" t="n"/>
      <c r="K16" s="24" t="n"/>
      <c r="P16" s="24" t="n"/>
    </row>
    <row r="17">
      <c r="F17" s="24" t="n"/>
      <c r="K17" s="24" t="n"/>
      <c r="P17" s="24" t="n"/>
    </row>
    <row r="18" ht="25.8" customHeight="1">
      <c r="A18" s="246" t="inlineStr">
        <is>
          <t>3. Inserimento dati di taratura acquisiti</t>
        </is>
      </c>
      <c r="B18" s="247" t="n"/>
      <c r="C18" s="247" t="n"/>
      <c r="D18" s="247" t="n"/>
      <c r="E18" s="247" t="n"/>
      <c r="F18" s="247" t="n"/>
      <c r="G18" s="247" t="n"/>
      <c r="H18" s="247" t="n"/>
      <c r="I18" s="247" t="n"/>
      <c r="J18" s="247" t="n"/>
      <c r="K18" s="247" t="n"/>
      <c r="L18" s="247" t="n"/>
      <c r="M18" s="247" t="n"/>
      <c r="N18" s="247" t="n"/>
      <c r="O18" s="247" t="n"/>
      <c r="P18" s="247" t="n"/>
      <c r="Q18" s="247" t="n"/>
      <c r="R18" s="247" t="n"/>
      <c r="S18" s="247" t="n"/>
      <c r="T18" s="247" t="n"/>
      <c r="U18" s="247" t="n"/>
      <c r="V18" s="247" t="n"/>
      <c r="W18" s="247" t="n"/>
      <c r="X18" s="247" t="n"/>
    </row>
    <row r="19" outlineLevel="1">
      <c r="A19" t="inlineStr">
        <is>
          <t>I dati da inserie qui sotto devono derivare da punti stazionari con gli steps di carico imposti (da inserire nota su cifre significa post TO DO)</t>
        </is>
      </c>
      <c r="F19" s="24" t="n"/>
      <c r="K19" s="24" t="n"/>
      <c r="M19" s="25" t="inlineStr">
        <is>
          <t>TO DO: analisi sensibiltà sulla sensitività per espressione cifre significative</t>
        </is>
      </c>
      <c r="P19" s="24" t="n"/>
    </row>
    <row r="20" outlineLevel="1" ht="15" customHeight="1" thickBot="1">
      <c r="F20" s="24" t="n"/>
      <c r="K20" s="24" t="n"/>
      <c r="P20" s="24" t="n"/>
    </row>
    <row r="21" outlineLevel="1" ht="18.75" customHeight="1" thickBot="1">
      <c r="B21" s="464" t="inlineStr">
        <is>
          <t>3 Steps
Precarico</t>
        </is>
      </c>
      <c r="C21" s="465" t="inlineStr">
        <is>
          <t>Precarico 1</t>
        </is>
      </c>
      <c r="D21" s="64" t="n"/>
      <c r="E21" s="466" t="inlineStr">
        <is>
          <t>Precarico 2</t>
        </is>
      </c>
      <c r="F21" s="527" t="n"/>
      <c r="G21" s="467" t="inlineStr">
        <is>
          <t>Precarico 3</t>
        </is>
      </c>
      <c r="H21" s="65" t="n"/>
      <c r="K21" s="24" t="n"/>
      <c r="P21" s="24" t="n"/>
    </row>
    <row r="22" outlineLevel="1" ht="18.75" customHeight="1" thickBot="1" thickTop="1">
      <c r="B22" s="528" t="n"/>
      <c r="C22" s="69">
        <f>$B$11</f>
        <v/>
      </c>
      <c r="D22" s="70">
        <f>$B$12</f>
        <v/>
      </c>
      <c r="E22" s="69">
        <f>$B$11</f>
        <v/>
      </c>
      <c r="F22" s="71">
        <f>$B$12</f>
        <v/>
      </c>
      <c r="G22" s="72">
        <f>$B$11</f>
        <v/>
      </c>
      <c r="H22" s="73">
        <f>$B$12</f>
        <v/>
      </c>
    </row>
    <row r="23" outlineLevel="1" ht="15" customHeight="1" thickTop="1">
      <c r="B23" s="74">
        <f>CONCATENATE("Coppia REF [",EUnits,"]")</f>
        <v/>
      </c>
      <c r="C23" s="75">
        <f>'Istruzioni Uso'!C46</f>
        <v/>
      </c>
      <c r="D23" s="75">
        <f>'Istruzioni Uso'!D46</f>
        <v/>
      </c>
      <c r="E23" s="75">
        <f>'Istruzioni Uso'!E46</f>
        <v/>
      </c>
      <c r="F23" s="76">
        <f>'Istruzioni Uso'!F46</f>
        <v/>
      </c>
      <c r="G23" s="77">
        <f>'Istruzioni Uso'!G46</f>
        <v/>
      </c>
      <c r="H23" s="78">
        <f>'Istruzioni Uso'!H46</f>
        <v/>
      </c>
    </row>
    <row r="24" outlineLevel="1" ht="15" customHeight="1" thickBot="1">
      <c r="B24" s="66">
        <f>CONCATENATE("Coppia UUT [",EUnits,"]")</f>
        <v/>
      </c>
      <c r="C24" s="79">
        <f>'Istruzioni Uso'!C47</f>
        <v/>
      </c>
      <c r="D24" s="79">
        <f>'Istruzioni Uso'!D47</f>
        <v/>
      </c>
      <c r="E24" s="79">
        <f>'Istruzioni Uso'!E47</f>
        <v/>
      </c>
      <c r="F24" s="80">
        <f>'Istruzioni Uso'!F47</f>
        <v/>
      </c>
      <c r="G24" s="81">
        <f>'Istruzioni Uso'!G47</f>
        <v/>
      </c>
      <c r="H24" s="82">
        <f>'Istruzioni Uso'!H47</f>
        <v/>
      </c>
    </row>
    <row r="25" outlineLevel="1" ht="15" customHeight="1" thickBot="1"/>
    <row r="26" outlineLevel="1" ht="39.75" customHeight="1" thickBot="1">
      <c r="B26" s="83" t="inlineStr">
        <is>
          <t>1a Rampa
a gradini</t>
        </is>
      </c>
      <c r="C26" s="84" t="inlineStr">
        <is>
          <t>Set Point
0</t>
        </is>
      </c>
      <c r="D26" s="84" t="inlineStr">
        <is>
          <t>Set Point
1</t>
        </is>
      </c>
      <c r="E26" s="85" t="inlineStr">
        <is>
          <t>Set Point
2</t>
        </is>
      </c>
      <c r="F26" s="84" t="inlineStr">
        <is>
          <t>Set Point
3</t>
        </is>
      </c>
      <c r="G26" s="85" t="inlineStr">
        <is>
          <t>Set Point
4</t>
        </is>
      </c>
      <c r="H26" s="84" t="inlineStr">
        <is>
          <t>Set Point
5</t>
        </is>
      </c>
      <c r="I26" s="86" t="inlineStr">
        <is>
          <t>Set Point
0</t>
        </is>
      </c>
    </row>
    <row r="27" outlineLevel="1" ht="15" customHeight="1" thickTop="1">
      <c r="B27" s="74">
        <f>CONCATENATE("Coppia REF [",EUnits,"]")</f>
        <v/>
      </c>
      <c r="C27" s="76">
        <f>'Istruzioni Uso'!C50</f>
        <v/>
      </c>
      <c r="D27" s="77">
        <f>'Istruzioni Uso'!D50</f>
        <v/>
      </c>
      <c r="E27" s="76">
        <f>'Istruzioni Uso'!E50</f>
        <v/>
      </c>
      <c r="F27" s="77">
        <f>'Istruzioni Uso'!F50</f>
        <v/>
      </c>
      <c r="G27" s="76">
        <f>'Istruzioni Uso'!G50</f>
        <v/>
      </c>
      <c r="H27" s="77">
        <f>'Istruzioni Uso'!H50</f>
        <v/>
      </c>
      <c r="I27" s="78">
        <f>'Istruzioni Uso'!I50</f>
        <v/>
      </c>
    </row>
    <row r="28" outlineLevel="1" ht="15" customHeight="1" thickBot="1">
      <c r="B28" s="66">
        <f>CONCATENATE("Coppia UUT [",EUnits,"]")</f>
        <v/>
      </c>
      <c r="C28" s="80">
        <f>'Istruzioni Uso'!C51</f>
        <v/>
      </c>
      <c r="D28" s="81">
        <f>'Istruzioni Uso'!D51</f>
        <v/>
      </c>
      <c r="E28" s="80">
        <f>'Istruzioni Uso'!E51</f>
        <v/>
      </c>
      <c r="F28" s="81">
        <f>'Istruzioni Uso'!F51</f>
        <v/>
      </c>
      <c r="G28" s="80">
        <f>'Istruzioni Uso'!G51</f>
        <v/>
      </c>
      <c r="H28" s="81">
        <f>'Istruzioni Uso'!H51</f>
        <v/>
      </c>
      <c r="I28" s="82">
        <f>'Istruzioni Uso'!I51</f>
        <v/>
      </c>
    </row>
    <row r="29" outlineLevel="1" ht="15" customHeight="1" thickBot="1"/>
    <row r="30" outlineLevel="1" ht="39.75" customHeight="1" thickBot="1">
      <c r="B30" s="83" t="inlineStr">
        <is>
          <t>2a Rampa
a gradini</t>
        </is>
      </c>
      <c r="C30" s="84" t="inlineStr">
        <is>
          <t>Set Point
0</t>
        </is>
      </c>
      <c r="D30" s="84" t="inlineStr">
        <is>
          <t>Set Point
1</t>
        </is>
      </c>
      <c r="E30" s="85" t="inlineStr">
        <is>
          <t>Set Point
2</t>
        </is>
      </c>
      <c r="F30" s="84" t="inlineStr">
        <is>
          <t>Set Point
3</t>
        </is>
      </c>
      <c r="G30" s="85" t="inlineStr">
        <is>
          <t>Set Point
4</t>
        </is>
      </c>
      <c r="H30" s="84" t="inlineStr">
        <is>
          <t>Set Point
5</t>
        </is>
      </c>
      <c r="I30" s="86" t="inlineStr">
        <is>
          <t>Set Point
0</t>
        </is>
      </c>
    </row>
    <row r="31" outlineLevel="1" ht="15" customHeight="1" thickTop="1">
      <c r="B31" s="74">
        <f>CONCATENATE("Coppia REF [",EUnits,"]")</f>
        <v/>
      </c>
      <c r="C31" s="76">
        <f>'Istruzioni Uso'!C54</f>
        <v/>
      </c>
      <c r="D31" s="77">
        <f>'Istruzioni Uso'!D54</f>
        <v/>
      </c>
      <c r="E31" s="76">
        <f>'Istruzioni Uso'!E54</f>
        <v/>
      </c>
      <c r="F31" s="77">
        <f>'Istruzioni Uso'!F54</f>
        <v/>
      </c>
      <c r="G31" s="76">
        <f>'Istruzioni Uso'!G54</f>
        <v/>
      </c>
      <c r="H31" s="77">
        <f>'Istruzioni Uso'!H54</f>
        <v/>
      </c>
      <c r="I31" s="78">
        <f>'Istruzioni Uso'!I54</f>
        <v/>
      </c>
    </row>
    <row r="32" outlineLevel="1" ht="15" customHeight="1" thickBot="1">
      <c r="B32" s="66">
        <f>CONCATENATE("Coppia UUT [",EUnits,"]")</f>
        <v/>
      </c>
      <c r="C32" s="80">
        <f>'Istruzioni Uso'!C55</f>
        <v/>
      </c>
      <c r="D32" s="81">
        <f>'Istruzioni Uso'!D55</f>
        <v/>
      </c>
      <c r="E32" s="80">
        <f>'Istruzioni Uso'!E55</f>
        <v/>
      </c>
      <c r="F32" s="81">
        <f>'Istruzioni Uso'!F55</f>
        <v/>
      </c>
      <c r="G32" s="80">
        <f>'Istruzioni Uso'!G55</f>
        <v/>
      </c>
      <c r="H32" s="81">
        <f>'Istruzioni Uso'!H55</f>
        <v/>
      </c>
      <c r="I32" s="82">
        <f>'Istruzioni Uso'!I55</f>
        <v/>
      </c>
    </row>
    <row r="33">
      <c r="F33" s="24" t="n"/>
      <c r="K33" s="24" t="n"/>
      <c r="P33" s="24" t="n"/>
    </row>
    <row r="34" ht="25.8" customHeight="1">
      <c r="A34" s="246" t="inlineStr">
        <is>
          <t>4. Riorganizzazione automatica dati ed estrazione Coefficienti Curva Caratteristica</t>
        </is>
      </c>
      <c r="B34" s="247" t="n"/>
      <c r="C34" s="247" t="n"/>
      <c r="D34" s="247" t="n"/>
      <c r="E34" s="247" t="n"/>
      <c r="F34" s="247" t="n"/>
      <c r="G34" s="247" t="n"/>
      <c r="H34" s="247" t="n"/>
      <c r="I34" s="247" t="n"/>
      <c r="J34" s="247" t="n"/>
      <c r="K34" s="247" t="n"/>
      <c r="L34" s="247" t="n"/>
      <c r="M34" s="247" t="n"/>
      <c r="N34" s="247" t="n"/>
      <c r="O34" s="247" t="n"/>
      <c r="P34" s="247" t="n"/>
      <c r="Q34" s="247" t="n"/>
      <c r="R34" s="247" t="n"/>
      <c r="S34" s="247" t="n"/>
      <c r="T34" s="247" t="n"/>
      <c r="U34" s="247" t="n"/>
      <c r="V34" s="247" t="n"/>
      <c r="W34" s="247" t="n"/>
      <c r="X34" s="247" t="n"/>
    </row>
    <row r="35" outlineLevel="1">
      <c r="F35" s="24" t="n"/>
      <c r="K35" s="24" t="n"/>
      <c r="P35" s="24" t="n"/>
    </row>
    <row r="36" outlineLevel="1">
      <c r="F36" s="24" t="n"/>
      <c r="K36" s="24" t="n"/>
      <c r="P36" s="24" t="n"/>
    </row>
    <row r="37" outlineLevel="1" ht="18" customHeight="1">
      <c r="A37" s="87" t="inlineStr">
        <is>
          <t>4.1 Riorganizzazione dati</t>
        </is>
      </c>
      <c r="K37" s="24" t="n"/>
      <c r="P37" s="24" t="n"/>
    </row>
    <row r="38" outlineLevel="1" ht="27" customHeight="1" thickBot="1">
      <c r="B38" s="468" t="inlineStr">
        <is>
          <t>3 Steps Precarico</t>
        </is>
      </c>
      <c r="C38" s="529" t="n"/>
      <c r="D38" s="529" t="n"/>
      <c r="E38" s="529" t="n"/>
      <c r="G38" s="468" t="inlineStr">
        <is>
          <t>1a Rampa a gradini</t>
        </is>
      </c>
      <c r="H38" s="529" t="n"/>
      <c r="I38" s="529" t="n"/>
      <c r="J38" s="529" t="n"/>
      <c r="L38" s="468" t="inlineStr">
        <is>
          <t>2a Rampa a gradini</t>
        </is>
      </c>
      <c r="M38" s="529" t="n"/>
      <c r="N38" s="529" t="n"/>
      <c r="O38" s="529" t="n"/>
      <c r="Q38" s="459" t="inlineStr">
        <is>
          <t>Sequenza (per calcolo Reg Lin)</t>
        </is>
      </c>
      <c r="R38" s="529" t="n"/>
      <c r="S38" s="529" t="n"/>
    </row>
    <row r="39" outlineLevel="1" ht="29.4" customHeight="1" thickTop="1">
      <c r="B39" s="88" t="inlineStr">
        <is>
          <t>Set Point</t>
        </is>
      </c>
      <c r="C39" s="89">
        <f>CONCATENATE("UUT
[",EUnits,"]")</f>
        <v/>
      </c>
      <c r="D39" s="89">
        <f>CONCATENATE("Coppia REF
[",EUnits,"]")</f>
        <v/>
      </c>
      <c r="E39" s="89" t="inlineStr">
        <is>
          <t>WBA Out
[V]</t>
        </is>
      </c>
      <c r="G39" s="88" t="inlineStr">
        <is>
          <t>Set Point</t>
        </is>
      </c>
      <c r="H39" s="89">
        <f>CONCATENATE("UUT
[",EUnits,"]")</f>
        <v/>
      </c>
      <c r="I39" s="89">
        <f>CONCATENATE("Coppia REF
[",EUnits,"]")</f>
        <v/>
      </c>
      <c r="J39" s="89" t="inlineStr">
        <is>
          <t>WBA Out
[V]</t>
        </is>
      </c>
      <c r="L39" s="88" t="inlineStr">
        <is>
          <t>Set Point</t>
        </is>
      </c>
      <c r="M39" s="89">
        <f>CONCATENATE("UUT
[",EUnits,"]")</f>
        <v/>
      </c>
      <c r="N39" s="89">
        <f>CONCATENATE("Coppia REF
[",EUnits,"]")</f>
        <v/>
      </c>
      <c r="O39" s="89" t="inlineStr">
        <is>
          <t>WBA Out
[V]</t>
        </is>
      </c>
      <c r="Q39" s="88" t="inlineStr">
        <is>
          <t>Set Point</t>
        </is>
      </c>
      <c r="R39" s="89">
        <f>CONCATENATE("Coppia REF
[",EUnits,"]")</f>
        <v/>
      </c>
      <c r="S39" s="89" t="inlineStr">
        <is>
          <t>WBA Out
[V]</t>
        </is>
      </c>
    </row>
    <row r="40" outlineLevel="1">
      <c r="B40">
        <f>SetPnt_P_0</f>
        <v/>
      </c>
      <c r="C40">
        <f>C24</f>
        <v/>
      </c>
      <c r="D40">
        <f>C23</f>
        <v/>
      </c>
      <c r="E40" s="530">
        <f>C40*$C$5+$C$6</f>
        <v/>
      </c>
      <c r="G40">
        <f>SetPnt_N_0</f>
        <v/>
      </c>
      <c r="H40">
        <f>C28</f>
        <v/>
      </c>
      <c r="I40">
        <f>C27</f>
        <v/>
      </c>
      <c r="J40" s="530">
        <f>H40*$C$5+$C$6</f>
        <v/>
      </c>
      <c r="L40">
        <f>SetPnt_N_0</f>
        <v/>
      </c>
      <c r="M40">
        <f>C32</f>
        <v/>
      </c>
      <c r="N40">
        <f>C31</f>
        <v/>
      </c>
      <c r="O40" s="530">
        <f>M40*$C$5+$C$6</f>
        <v/>
      </c>
      <c r="Q40">
        <f>SetPnt_N_0</f>
        <v/>
      </c>
      <c r="R40">
        <f>I40</f>
        <v/>
      </c>
      <c r="S40" s="531">
        <f>J40</f>
        <v/>
      </c>
    </row>
    <row r="41" outlineLevel="1">
      <c r="B41">
        <f>C_Tar_min</f>
        <v/>
      </c>
      <c r="C41">
        <f>D24</f>
        <v/>
      </c>
      <c r="D41">
        <f>D23</f>
        <v/>
      </c>
      <c r="E41" s="530">
        <f>C41*$C$5+$C$6</f>
        <v/>
      </c>
      <c r="G41" s="17">
        <f>SetPnt_N_1</f>
        <v/>
      </c>
      <c r="H41">
        <f>D28</f>
        <v/>
      </c>
      <c r="I41">
        <f>D27</f>
        <v/>
      </c>
      <c r="J41" s="530">
        <f>H41*$C$5+$C$6</f>
        <v/>
      </c>
      <c r="L41" s="17">
        <f>SetPnt_N_1</f>
        <v/>
      </c>
      <c r="M41">
        <f>D32</f>
        <v/>
      </c>
      <c r="N41">
        <f>D31</f>
        <v/>
      </c>
      <c r="O41" s="530">
        <f>M41*$C$5+$C$6</f>
        <v/>
      </c>
      <c r="Q41" s="17">
        <f>SetPnt_N_1</f>
        <v/>
      </c>
      <c r="R41">
        <f>I41</f>
        <v/>
      </c>
      <c r="S41" s="531">
        <f>J41</f>
        <v/>
      </c>
    </row>
    <row r="42" outlineLevel="1">
      <c r="B42">
        <f>B40</f>
        <v/>
      </c>
      <c r="C42">
        <f>E24</f>
        <v/>
      </c>
      <c r="D42">
        <f>E23</f>
        <v/>
      </c>
      <c r="E42" s="530">
        <f>C42*$C$5+$C$6</f>
        <v/>
      </c>
      <c r="G42" s="17">
        <f>SetPnt_N_2</f>
        <v/>
      </c>
      <c r="H42">
        <f>E28</f>
        <v/>
      </c>
      <c r="I42">
        <f>E27</f>
        <v/>
      </c>
      <c r="J42" s="530">
        <f>H42*$C$5+$C$6</f>
        <v/>
      </c>
      <c r="L42" s="17">
        <f>SetPnt_N_2</f>
        <v/>
      </c>
      <c r="M42">
        <f>E32</f>
        <v/>
      </c>
      <c r="N42">
        <f>E31</f>
        <v/>
      </c>
      <c r="O42" s="530">
        <f>M42*$C$5+$C$6</f>
        <v/>
      </c>
      <c r="Q42" s="17">
        <f>SetPnt_N_2</f>
        <v/>
      </c>
      <c r="R42">
        <f>I42</f>
        <v/>
      </c>
      <c r="S42" s="531">
        <f>J42</f>
        <v/>
      </c>
    </row>
    <row r="43" outlineLevel="1">
      <c r="B43">
        <f>B41</f>
        <v/>
      </c>
      <c r="C43">
        <f>F24</f>
        <v/>
      </c>
      <c r="D43">
        <f>F23</f>
        <v/>
      </c>
      <c r="E43" s="530">
        <f>C43*$C$5+$C$6</f>
        <v/>
      </c>
      <c r="G43" s="17">
        <f>SetPnt_N_3</f>
        <v/>
      </c>
      <c r="H43">
        <f>F28</f>
        <v/>
      </c>
      <c r="I43">
        <f>F27</f>
        <v/>
      </c>
      <c r="J43" s="530">
        <f>H43*$C$5+$C$6</f>
        <v/>
      </c>
      <c r="L43" s="17">
        <f>SetPnt_N_3</f>
        <v/>
      </c>
      <c r="M43">
        <f>F32</f>
        <v/>
      </c>
      <c r="N43">
        <f>F31</f>
        <v/>
      </c>
      <c r="O43" s="530">
        <f>M43*$C$5+$C$6</f>
        <v/>
      </c>
      <c r="Q43" s="17">
        <f>SetPnt_N_3</f>
        <v/>
      </c>
      <c r="R43">
        <f>I43</f>
        <v/>
      </c>
      <c r="S43" s="531">
        <f>J43</f>
        <v/>
      </c>
    </row>
    <row r="44" outlineLevel="1">
      <c r="B44">
        <f>B42</f>
        <v/>
      </c>
      <c r="C44">
        <f>G24</f>
        <v/>
      </c>
      <c r="D44">
        <f>G23</f>
        <v/>
      </c>
      <c r="E44" s="530">
        <f>C44*$C$5+$C$6</f>
        <v/>
      </c>
      <c r="G44" s="17">
        <f>SetPnt_N_4</f>
        <v/>
      </c>
      <c r="H44">
        <f>G28</f>
        <v/>
      </c>
      <c r="I44">
        <f>G27</f>
        <v/>
      </c>
      <c r="J44" s="530">
        <f>H44*$C$5+$C$6</f>
        <v/>
      </c>
      <c r="L44" s="17">
        <f>SetPnt_N_4</f>
        <v/>
      </c>
      <c r="M44">
        <f>G32</f>
        <v/>
      </c>
      <c r="N44">
        <f>G31</f>
        <v/>
      </c>
      <c r="O44" s="530">
        <f>M44*$C$5+$C$6</f>
        <v/>
      </c>
      <c r="Q44" s="17">
        <f>SetPnt_N_4</f>
        <v/>
      </c>
      <c r="R44">
        <f>I44</f>
        <v/>
      </c>
      <c r="S44" s="531">
        <f>J44</f>
        <v/>
      </c>
    </row>
    <row r="45" outlineLevel="1">
      <c r="B45">
        <f>B43</f>
        <v/>
      </c>
      <c r="C45">
        <f>H24</f>
        <v/>
      </c>
      <c r="D45">
        <f>H23</f>
        <v/>
      </c>
      <c r="E45" s="530">
        <f>C45*$C$5+$C$6</f>
        <v/>
      </c>
      <c r="G45" s="17">
        <f>SetPnt_N_5</f>
        <v/>
      </c>
      <c r="H45">
        <f>H28</f>
        <v/>
      </c>
      <c r="I45">
        <f>H27</f>
        <v/>
      </c>
      <c r="J45" s="530">
        <f>H45*$C$5+$C$6</f>
        <v/>
      </c>
      <c r="L45" s="17">
        <f>SetPnt_N_5</f>
        <v/>
      </c>
      <c r="M45">
        <f>H32</f>
        <v/>
      </c>
      <c r="N45">
        <f>H31</f>
        <v/>
      </c>
      <c r="O45" s="530">
        <f>M45*$C$5+$C$6</f>
        <v/>
      </c>
      <c r="Q45" s="17">
        <f>SetPnt_N_5</f>
        <v/>
      </c>
      <c r="R45">
        <f>I45</f>
        <v/>
      </c>
      <c r="S45" s="531">
        <f>J45</f>
        <v/>
      </c>
    </row>
    <row r="46" outlineLevel="1">
      <c r="G46">
        <f>SetPnt_N_0</f>
        <v/>
      </c>
      <c r="H46">
        <f>I28</f>
        <v/>
      </c>
      <c r="I46">
        <f>I27</f>
        <v/>
      </c>
      <c r="J46" s="530">
        <f>H46*$C$5+$C$6</f>
        <v/>
      </c>
      <c r="L46">
        <f>SetPnt_N_0</f>
        <v/>
      </c>
      <c r="M46">
        <f>I32</f>
        <v/>
      </c>
      <c r="N46">
        <f>I31</f>
        <v/>
      </c>
      <c r="O46" s="530">
        <f>M46*$C$5+$C$6</f>
        <v/>
      </c>
      <c r="Q46">
        <f>SetPnt_N_0</f>
        <v/>
      </c>
      <c r="R46">
        <f>N40</f>
        <v/>
      </c>
      <c r="S46" s="531">
        <f>O40</f>
        <v/>
      </c>
    </row>
    <row r="47" outlineLevel="1" ht="15" customHeight="1" thickBot="1">
      <c r="Q47" s="17">
        <f>SetPnt_N_1</f>
        <v/>
      </c>
      <c r="R47">
        <f>N41</f>
        <v/>
      </c>
      <c r="S47" s="531">
        <f>O41</f>
        <v/>
      </c>
    </row>
    <row r="48" outlineLevel="1" ht="18" customHeight="1">
      <c r="G48" s="63" t="n"/>
      <c r="H48" s="92" t="inlineStr">
        <is>
          <t>Calcolo Coeff Curva Caratteristica Parziali</t>
        </is>
      </c>
      <c r="I48" s="64" t="n"/>
      <c r="J48" s="64" t="n"/>
      <c r="K48" s="64" t="n"/>
      <c r="L48" s="64" t="n"/>
      <c r="M48" s="64" t="n"/>
      <c r="N48" s="64" t="n"/>
      <c r="O48" s="65" t="n"/>
      <c r="Q48" s="17">
        <f>SetPnt_N_2</f>
        <v/>
      </c>
      <c r="R48">
        <f>N42</f>
        <v/>
      </c>
      <c r="S48" s="531">
        <f>O42</f>
        <v/>
      </c>
    </row>
    <row r="49" outlineLevel="1">
      <c r="G49" s="74" t="n"/>
      <c r="H49" t="inlineStr">
        <is>
          <t xml:space="preserve"> Serve per controllare l'influenza dello Zero sempre difficile da mantenere costante</t>
        </is>
      </c>
      <c r="O49" s="93" t="n"/>
      <c r="Q49" s="17">
        <f>SetPnt_N_3</f>
        <v/>
      </c>
      <c r="R49">
        <f>N43</f>
        <v/>
      </c>
      <c r="S49" s="531">
        <f>O43</f>
        <v/>
      </c>
    </row>
    <row r="50" outlineLevel="1" ht="18" customHeight="1" thickBot="1">
      <c r="G50" s="471" t="inlineStr">
        <is>
          <t>1a Rampa a gradini</t>
        </is>
      </c>
      <c r="H50" s="529" t="n"/>
      <c r="I50" s="529" t="n"/>
      <c r="J50" s="529" t="n"/>
      <c r="K50" s="59" t="n"/>
      <c r="L50" s="472" t="inlineStr">
        <is>
          <t>2a Rampa a gradini</t>
        </is>
      </c>
      <c r="M50" s="529" t="n"/>
      <c r="N50" s="529" t="n"/>
      <c r="O50" s="532" t="n"/>
      <c r="Q50" s="17">
        <f>SetPnt_N_4</f>
        <v/>
      </c>
      <c r="R50">
        <f>N44</f>
        <v/>
      </c>
      <c r="S50" s="531">
        <f>O44</f>
        <v/>
      </c>
    </row>
    <row r="51" outlineLevel="1" ht="16.2" customHeight="1" thickTop="1">
      <c r="G51" s="94" t="inlineStr">
        <is>
          <t>Q3 Part R1</t>
        </is>
      </c>
      <c r="H51" s="95" t="inlineStr">
        <is>
          <t>m</t>
        </is>
      </c>
      <c r="I51" s="96" t="inlineStr">
        <is>
          <t>q</t>
        </is>
      </c>
      <c r="J51" s="97" t="inlineStr">
        <is>
          <t>deviaz</t>
        </is>
      </c>
      <c r="L51" s="94" t="inlineStr">
        <is>
          <t>Q3 Part R2</t>
        </is>
      </c>
      <c r="M51" s="95" t="inlineStr">
        <is>
          <t>m</t>
        </is>
      </c>
      <c r="N51" s="96" t="inlineStr">
        <is>
          <t>q</t>
        </is>
      </c>
      <c r="O51" s="97" t="inlineStr">
        <is>
          <t>deviaz</t>
        </is>
      </c>
      <c r="Q51" s="17">
        <f>SetPnt_N_5</f>
        <v/>
      </c>
      <c r="R51">
        <f>N45</f>
        <v/>
      </c>
      <c r="S51" s="531">
        <f>O45</f>
        <v/>
      </c>
    </row>
    <row r="52" outlineLevel="1">
      <c r="G52" s="98" t="inlineStr">
        <is>
          <t>SetPoint 0-5</t>
        </is>
      </c>
      <c r="H52" s="533">
        <f>SLOPE(I40:I45,J40:J45)</f>
        <v/>
      </c>
      <c r="I52" s="534">
        <f>INTERCEPT(I40:I45,J40:J45)</f>
        <v/>
      </c>
      <c r="J52" s="101">
        <f>(H$55-H52)/H$55</f>
        <v/>
      </c>
      <c r="L52" s="98" t="inlineStr">
        <is>
          <t>SetPoint 0-5</t>
        </is>
      </c>
      <c r="M52" s="533">
        <f>SLOPE(N40:N45,O40:O45)</f>
        <v/>
      </c>
      <c r="N52" s="534">
        <f>INTERCEPT(N40:N45,O40:O45)</f>
        <v/>
      </c>
      <c r="O52" s="101">
        <f>(M$55-M52)/M$55</f>
        <v/>
      </c>
    </row>
    <row r="53" outlineLevel="1">
      <c r="G53" s="102" t="inlineStr">
        <is>
          <t>SetPoint 1-5</t>
        </is>
      </c>
      <c r="H53" s="533">
        <f>SLOPE(I41:I45,J41:J45)</f>
        <v/>
      </c>
      <c r="I53" s="534">
        <f>INTERCEPT(I41:I45,J41:J45)</f>
        <v/>
      </c>
      <c r="J53" s="103">
        <f>(H$55-H53)/H$55</f>
        <v/>
      </c>
      <c r="L53" s="102" t="inlineStr">
        <is>
          <t>SetPoint 1-5</t>
        </is>
      </c>
      <c r="M53" s="533">
        <f>SLOPE(N41:N45,O41:O45)</f>
        <v/>
      </c>
      <c r="N53" s="534">
        <f>INTERCEPT(N41:N45,O41:O45)</f>
        <v/>
      </c>
      <c r="O53" s="103">
        <f>(M$55-M53)/M$55</f>
        <v/>
      </c>
    </row>
    <row r="54" outlineLevel="1">
      <c r="G54" s="98" t="inlineStr">
        <is>
          <t>SetPoint 2-5</t>
        </is>
      </c>
      <c r="H54" s="533">
        <f>SLOPE(I42:I45,J42:J45)</f>
        <v/>
      </c>
      <c r="I54" s="534">
        <f>INTERCEPT(I42:I45,J42:J45)</f>
        <v/>
      </c>
      <c r="J54" s="101">
        <f>(H$55-H54)/H$55</f>
        <v/>
      </c>
      <c r="L54" s="98" t="inlineStr">
        <is>
          <t>SetPoint 2-5</t>
        </is>
      </c>
      <c r="M54" s="533">
        <f>SLOPE(N42:N45,O42:O45)</f>
        <v/>
      </c>
      <c r="N54" s="534">
        <f>INTERCEPT(N42:N45,O42:O45)</f>
        <v/>
      </c>
      <c r="O54" s="101">
        <f>(M$55-M54)/M$55</f>
        <v/>
      </c>
    </row>
    <row r="55" outlineLevel="1" ht="18.6" customHeight="1" thickBot="1">
      <c r="A55" s="87" t="inlineStr">
        <is>
          <t>4.2 Estrazione Coefficienti Curva Caratteristica</t>
        </is>
      </c>
      <c r="G55" s="104" t="inlineStr">
        <is>
          <t>SetPoint 3-5</t>
        </is>
      </c>
      <c r="H55" s="535">
        <f>SLOPE(I43:I45,J43:J45)</f>
        <v/>
      </c>
      <c r="I55" s="536">
        <f>INTERCEPT(I43:I45,J43:J45)</f>
        <v/>
      </c>
      <c r="J55" s="107" t="inlineStr">
        <is>
          <t>-</t>
        </is>
      </c>
      <c r="K55" s="67" t="n"/>
      <c r="L55" s="104" t="inlineStr">
        <is>
          <t>SetPoint 3-5</t>
        </is>
      </c>
      <c r="M55" s="535">
        <f>SLOPE(N43:N45,O43:O45)</f>
        <v/>
      </c>
      <c r="N55" s="536">
        <f>INTERCEPT(N43:N45,O43:O45)</f>
        <v/>
      </c>
      <c r="O55" s="107" t="inlineStr">
        <is>
          <t>-</t>
        </is>
      </c>
    </row>
    <row r="56" outlineLevel="1" ht="18" customHeight="1">
      <c r="A56" s="87" t="n"/>
    </row>
    <row r="57" outlineLevel="1" ht="15" customHeight="1" thickBot="1">
      <c r="B57" t="inlineStr">
        <is>
          <t>Coefficienti Curva Caratteristica GLOBALE (ovvero sulle 2 rampe)</t>
        </is>
      </c>
    </row>
    <row r="58" outlineLevel="1" ht="18" customHeight="1">
      <c r="A58" t="inlineStr">
        <is>
          <t>Lineare</t>
        </is>
      </c>
      <c r="B58" s="108" t="inlineStr">
        <is>
          <t>Q3</t>
        </is>
      </c>
      <c r="C58" s="109" t="inlineStr">
        <is>
          <t>m</t>
        </is>
      </c>
      <c r="D58" s="96" t="inlineStr">
        <is>
          <t>q</t>
        </is>
      </c>
      <c r="E58" s="110" t="n"/>
    </row>
    <row r="59" outlineLevel="1" ht="15" customHeight="1" thickBot="1">
      <c r="A59" t="inlineStr">
        <is>
          <t>(1° ordine)</t>
        </is>
      </c>
      <c r="B59" s="111">
        <f>CONCATENATE($B$4,"/V")</f>
        <v/>
      </c>
      <c r="C59" s="537">
        <f>SLOPE(R40:R51,S40:S51)</f>
        <v/>
      </c>
      <c r="D59" s="536">
        <f>INTERCEPT(R40:R51,S40:S51)</f>
        <v/>
      </c>
      <c r="E59" s="110">
        <f>CORREL(AB5:AB55,AA5:AA55)</f>
        <v/>
      </c>
    </row>
    <row r="60" outlineLevel="1" ht="15" customHeight="1" thickBot="1">
      <c r="B60" s="113">
        <f>CONCATENATE("V/",$B$4)</f>
        <v/>
      </c>
      <c r="C60" s="538">
        <f>SLOPE(S40:S51,R40:R51)</f>
        <v/>
      </c>
      <c r="D60" s="539">
        <f>INTERCEPT(S40:S51,R40:R51)</f>
        <v/>
      </c>
    </row>
    <row r="61" outlineLevel="1" ht="15" customHeight="1" thickBot="1">
      <c r="B61" s="110" t="n"/>
    </row>
    <row r="62" outlineLevel="1" ht="18" customHeight="1">
      <c r="A62" t="inlineStr">
        <is>
          <t>Quadratica</t>
        </is>
      </c>
      <c r="B62" s="108" t="inlineStr">
        <is>
          <t>Q3</t>
        </is>
      </c>
      <c r="C62" s="109" t="inlineStr">
        <is>
          <t>H2</t>
        </is>
      </c>
      <c r="D62" s="109" t="inlineStr">
        <is>
          <t>H1</t>
        </is>
      </c>
      <c r="E62" s="96" t="inlineStr">
        <is>
          <t>H0</t>
        </is>
      </c>
    </row>
    <row r="63" outlineLevel="1" ht="15" customHeight="1" thickBot="1">
      <c r="A63" t="inlineStr">
        <is>
          <t>(2° oridne)</t>
        </is>
      </c>
      <c r="B63" s="111">
        <f>CONCATENATE($B$4,"/V")</f>
        <v/>
      </c>
      <c r="C63" s="540">
        <f>INDEX(LINEST(R40:R51,(S40:S51)^{1,2}),1)</f>
        <v/>
      </c>
      <c r="D63" s="540">
        <f>INDEX(LINEST(R40:R51,(S40:S51)^{1,2}),1,2)</f>
        <v/>
      </c>
      <c r="E63" s="541">
        <f>INDEX(LINEST(R40:R51,(S40:S51)^{1,2}),1,3)</f>
        <v/>
      </c>
    </row>
    <row r="64" outlineLevel="1" ht="15" customHeight="1" thickBot="1">
      <c r="B64" s="113">
        <f>CONCATENATE("V/",$B$4)</f>
        <v/>
      </c>
      <c r="C64" s="542">
        <f>INDEX(LINEST(S40:S51,(R40:R51)^{1,2}),1)</f>
        <v/>
      </c>
      <c r="D64" s="542">
        <f>INDEX(LINEST(S40:S51,(R40:R51)^{1,2}),1,2)</f>
        <v/>
      </c>
      <c r="E64" s="543">
        <f>INDEX(LINEST(S40:S51,(R40:R51)^{1,2}),1,3)</f>
        <v/>
      </c>
    </row>
    <row r="66" ht="25.8" customHeight="1">
      <c r="A66" s="246" t="inlineStr">
        <is>
          <t>5. Correzione dati per riportare le misure esattamente al valore di Set Point</t>
        </is>
      </c>
      <c r="B66" s="247" t="n"/>
      <c r="C66" s="247" t="n"/>
      <c r="D66" s="247" t="n"/>
      <c r="E66" s="247" t="n"/>
      <c r="F66" s="247" t="n"/>
      <c r="G66" s="247" t="n"/>
      <c r="H66" s="247" t="n"/>
      <c r="I66" s="247" t="n"/>
      <c r="J66" s="247" t="n"/>
      <c r="K66" s="247" t="n"/>
      <c r="L66" s="247" t="n"/>
      <c r="M66" s="247" t="n"/>
      <c r="N66" s="247" t="n"/>
      <c r="O66" s="247" t="n"/>
      <c r="P66" s="247" t="n"/>
      <c r="Q66" s="247" t="n"/>
      <c r="R66" s="247" t="n"/>
      <c r="S66" s="247" t="n"/>
      <c r="T66" s="247" t="n"/>
      <c r="U66" s="247" t="n"/>
      <c r="V66" s="247" t="n"/>
      <c r="W66" s="247" t="n"/>
      <c r="X66" s="247" t="n"/>
    </row>
    <row r="67" outlineLevel="1"/>
    <row r="68" ht="15" customHeight="1" thickBot="1">
      <c r="F68" t="inlineStr">
        <is>
          <t>Coeff CC PARZIALE 1o precarico</t>
        </is>
      </c>
    </row>
    <row r="69" ht="18" customHeight="1">
      <c r="F69" s="108" t="inlineStr">
        <is>
          <t>Q1 Part R1</t>
        </is>
      </c>
      <c r="G69" s="109" t="inlineStr">
        <is>
          <t>m</t>
        </is>
      </c>
      <c r="H69" s="96" t="inlineStr">
        <is>
          <t>q</t>
        </is>
      </c>
    </row>
    <row r="70" ht="15" customHeight="1" thickBot="1">
      <c r="F70" s="111" t="inlineStr">
        <is>
          <t xml:space="preserve"> [Nm/V]</t>
        </is>
      </c>
      <c r="G70" s="537">
        <f>LINEST(E72:E73,F72:F73)</f>
        <v/>
      </c>
      <c r="H70" s="536">
        <f>INTERCEPT(E72:E73,F72:F73)</f>
        <v/>
      </c>
    </row>
    <row r="71">
      <c r="A71" t="inlineStr">
        <is>
          <t>Correzione Precarico 1</t>
        </is>
      </c>
      <c r="F71" s="120" t="inlineStr">
        <is>
          <t xml:space="preserve"> [V/Nm]</t>
        </is>
      </c>
      <c r="G71" s="544">
        <f>LINEST(F72:F73,E72:E73)</f>
        <v/>
      </c>
      <c r="H71" s="545">
        <f>INTERCEPT(F72:F73,E72:E73)</f>
        <v/>
      </c>
    </row>
    <row r="72" outlineLevel="1">
      <c r="A72" s="74">
        <f>D11</f>
        <v/>
      </c>
      <c r="B72" s="132">
        <f>SetPnt_N_0</f>
        <v/>
      </c>
      <c r="C72" s="531">
        <f>B72*$G$71+$H$71</f>
        <v/>
      </c>
      <c r="D72" s="531">
        <f>B72*$C$60+$D$60</f>
        <v/>
      </c>
      <c r="E72" s="546">
        <f>D40</f>
        <v/>
      </c>
      <c r="F72" s="546">
        <f>E40</f>
        <v/>
      </c>
      <c r="G72" s="531">
        <f>E72*$G$94+$H$94</f>
        <v/>
      </c>
      <c r="H72" s="531">
        <f>F72-G72</f>
        <v/>
      </c>
      <c r="I72" s="547">
        <f>C72+H72</f>
        <v/>
      </c>
      <c r="J72" s="548">
        <f>H72/4</f>
        <v/>
      </c>
      <c r="K72" s="549" t="n"/>
      <c r="L72" s="531">
        <f>E72*$C$60+$D$60</f>
        <v/>
      </c>
      <c r="M72" s="531">
        <f>F72-L72</f>
        <v/>
      </c>
      <c r="N72" s="547">
        <f>C72+M72</f>
        <v/>
      </c>
      <c r="O72" s="550">
        <f>M72/4</f>
        <v/>
      </c>
    </row>
    <row r="73" outlineLevel="1">
      <c r="A73" s="74">
        <f>D16</f>
        <v/>
      </c>
      <c r="B73" s="138">
        <f>SetPnt_N_5</f>
        <v/>
      </c>
      <c r="C73" s="531">
        <f>B73*$G$71+$H$71</f>
        <v/>
      </c>
      <c r="D73" s="531">
        <f>B73*$C$60+$D$60</f>
        <v/>
      </c>
      <c r="E73" s="546">
        <f>D41</f>
        <v/>
      </c>
      <c r="F73" s="546">
        <f>E41</f>
        <v/>
      </c>
      <c r="G73" s="531">
        <f>E73*$G$71+$H$71</f>
        <v/>
      </c>
      <c r="H73" s="531">
        <f>F73-G73</f>
        <v/>
      </c>
      <c r="I73" s="547">
        <f>C73+H73</f>
        <v/>
      </c>
      <c r="J73" s="548">
        <f>H73/4</f>
        <v/>
      </c>
      <c r="K73" s="549" t="n"/>
      <c r="L73" s="531">
        <f>E73*$C$60+$D$60</f>
        <v/>
      </c>
      <c r="M73" s="531">
        <f>F73-L73</f>
        <v/>
      </c>
      <c r="N73" s="547">
        <f>C73+M73</f>
        <v/>
      </c>
      <c r="O73" s="550">
        <f>M73/4</f>
        <v/>
      </c>
    </row>
    <row r="74" outlineLevel="1"/>
    <row r="75" outlineLevel="1" ht="15" customHeight="1" thickBot="1">
      <c r="F75" t="inlineStr">
        <is>
          <t>Coeff CC PARZIALE 2o precarico</t>
        </is>
      </c>
    </row>
    <row r="76" outlineLevel="1" ht="18" customHeight="1">
      <c r="F76" s="108" t="inlineStr">
        <is>
          <t>Q1 Part R1</t>
        </is>
      </c>
      <c r="G76" s="109" t="inlineStr">
        <is>
          <t>m</t>
        </is>
      </c>
      <c r="H76" s="96" t="inlineStr">
        <is>
          <t>q</t>
        </is>
      </c>
    </row>
    <row r="77" outlineLevel="1" ht="15" customHeight="1" thickBot="1">
      <c r="F77" s="111" t="inlineStr">
        <is>
          <t xml:space="preserve"> [Nm/V]</t>
        </is>
      </c>
      <c r="G77" s="537">
        <f>LINEST(E79:E80,F79:F80)</f>
        <v/>
      </c>
      <c r="H77" s="536">
        <f>INTERCEPT(E79:E80,F79:F80)</f>
        <v/>
      </c>
    </row>
    <row r="78">
      <c r="A78" t="inlineStr">
        <is>
          <t>Correzione Precarico 2</t>
        </is>
      </c>
      <c r="F78" s="120" t="inlineStr">
        <is>
          <t xml:space="preserve"> [V/Nm]</t>
        </is>
      </c>
      <c r="G78" s="544">
        <f>LINEST(F79:F80,E79:E80)</f>
        <v/>
      </c>
      <c r="H78" s="545">
        <f>INTERCEPT(F79:F80,E79:E80)</f>
        <v/>
      </c>
    </row>
    <row r="79" outlineLevel="1">
      <c r="A79" s="74">
        <f>D11</f>
        <v/>
      </c>
      <c r="B79" s="132">
        <f>SetPnt_N_0</f>
        <v/>
      </c>
      <c r="C79" s="531">
        <f>B79*$G$78+$H$78</f>
        <v/>
      </c>
      <c r="D79" s="531">
        <f>B79*$C$60+$D$60</f>
        <v/>
      </c>
      <c r="E79" s="546">
        <f>D42</f>
        <v/>
      </c>
      <c r="F79" s="546">
        <f>E42</f>
        <v/>
      </c>
      <c r="G79" s="531">
        <f>E79*$G$94+$H$94</f>
        <v/>
      </c>
      <c r="H79" s="531">
        <f>F79-G79</f>
        <v/>
      </c>
      <c r="I79" s="547">
        <f>C79+H79</f>
        <v/>
      </c>
      <c r="J79" s="548">
        <f>H79/4</f>
        <v/>
      </c>
      <c r="K79" s="549" t="n"/>
      <c r="L79" s="531">
        <f>E79*$C$60+$D$60</f>
        <v/>
      </c>
      <c r="M79" s="531">
        <f>F79-L79</f>
        <v/>
      </c>
      <c r="N79" s="547">
        <f>C79+M79</f>
        <v/>
      </c>
      <c r="O79" s="550">
        <f>M79/4</f>
        <v/>
      </c>
    </row>
    <row r="80" outlineLevel="1">
      <c r="A80" s="74">
        <f>D16</f>
        <v/>
      </c>
      <c r="B80" s="138">
        <f>SetPnt_N_5</f>
        <v/>
      </c>
      <c r="C80" s="531">
        <f>B80*$G$78+$H$78</f>
        <v/>
      </c>
      <c r="D80" s="531">
        <f>B80*$C$60+$D$60</f>
        <v/>
      </c>
      <c r="E80" s="546">
        <f>D43</f>
        <v/>
      </c>
      <c r="F80" s="546">
        <f>E43</f>
        <v/>
      </c>
      <c r="G80" s="531">
        <f>E80*$G$78+$H$78</f>
        <v/>
      </c>
      <c r="H80" s="531">
        <f>F80-G80</f>
        <v/>
      </c>
      <c r="I80" s="547">
        <f>C80+H80</f>
        <v/>
      </c>
      <c r="J80" s="548">
        <f>H80/4</f>
        <v/>
      </c>
      <c r="K80" s="549" t="n"/>
      <c r="L80" s="531">
        <f>E80*$C$60+$D$60</f>
        <v/>
      </c>
      <c r="M80" s="531">
        <f>F80-L80</f>
        <v/>
      </c>
      <c r="N80" s="547">
        <f>C80+M80</f>
        <v/>
      </c>
      <c r="O80" s="550">
        <f>M80/4</f>
        <v/>
      </c>
    </row>
    <row r="81" outlineLevel="1"/>
    <row r="82" outlineLevel="1" ht="15" customHeight="1" thickBot="1">
      <c r="F82" t="inlineStr">
        <is>
          <t>Coeff CC PARZIALE 3o precarico</t>
        </is>
      </c>
    </row>
    <row r="83" outlineLevel="1" ht="18" customHeight="1">
      <c r="F83" s="108" t="inlineStr">
        <is>
          <t>Q1 Part R1</t>
        </is>
      </c>
      <c r="G83" s="109" t="inlineStr">
        <is>
          <t>m</t>
        </is>
      </c>
      <c r="H83" s="96" t="inlineStr">
        <is>
          <t>q</t>
        </is>
      </c>
    </row>
    <row r="84" outlineLevel="1" ht="15" customHeight="1" thickBot="1">
      <c r="F84" s="111" t="inlineStr">
        <is>
          <t xml:space="preserve"> [Nm/V]</t>
        </is>
      </c>
      <c r="G84" s="537">
        <f>LINEST(E86:E87,F86:F87)</f>
        <v/>
      </c>
      <c r="H84" s="536">
        <f>INTERCEPT(E86:E87,F86:F87)</f>
        <v/>
      </c>
    </row>
    <row r="85">
      <c r="A85" t="inlineStr">
        <is>
          <t>Correzione Precarico 3</t>
        </is>
      </c>
      <c r="F85" s="120" t="inlineStr">
        <is>
          <t xml:space="preserve"> [V/Nm]</t>
        </is>
      </c>
      <c r="G85" s="544">
        <f>LINEST(F86:F87,E86:E87)</f>
        <v/>
      </c>
      <c r="H85" s="545">
        <f>INTERCEPT(F86:F87,E86:E87)</f>
        <v/>
      </c>
    </row>
    <row r="86" outlineLevel="1">
      <c r="A86" s="74">
        <f>D11</f>
        <v/>
      </c>
      <c r="B86" s="132">
        <f>SetPnt_N_0</f>
        <v/>
      </c>
      <c r="C86" s="531">
        <f>B86*$G$85+$H$85</f>
        <v/>
      </c>
      <c r="D86" s="531">
        <f>B86*$C$60+$D$60</f>
        <v/>
      </c>
      <c r="E86" s="546">
        <f>D44</f>
        <v/>
      </c>
      <c r="F86" s="546">
        <f>E44</f>
        <v/>
      </c>
      <c r="G86" s="531">
        <f>E86*$G$94+$H$94</f>
        <v/>
      </c>
      <c r="H86" s="531">
        <f>F86-G86</f>
        <v/>
      </c>
      <c r="I86" s="547">
        <f>C86+H86</f>
        <v/>
      </c>
      <c r="J86" s="548">
        <f>H86/4</f>
        <v/>
      </c>
      <c r="K86" s="549" t="n"/>
      <c r="L86" s="531">
        <f>E86*$C$60+$D$60</f>
        <v/>
      </c>
      <c r="M86" s="531">
        <f>F86-L86</f>
        <v/>
      </c>
      <c r="N86" s="547">
        <f>C86+M86</f>
        <v/>
      </c>
      <c r="O86" s="550">
        <f>M86/4</f>
        <v/>
      </c>
    </row>
    <row r="87" outlineLevel="1">
      <c r="A87" s="74">
        <f>D16</f>
        <v/>
      </c>
      <c r="B87" s="138">
        <f>SetPnt_N_5</f>
        <v/>
      </c>
      <c r="C87" s="531">
        <f>B87*$G$85+$H$85</f>
        <v/>
      </c>
      <c r="D87" s="531">
        <f>B87*$C$60+$D$60</f>
        <v/>
      </c>
      <c r="E87" s="546">
        <f>D45</f>
        <v/>
      </c>
      <c r="F87" s="546">
        <f>E45</f>
        <v/>
      </c>
      <c r="G87" s="531">
        <f>E87*$G$85+$H$85</f>
        <v/>
      </c>
      <c r="H87" s="531">
        <f>F87-G87</f>
        <v/>
      </c>
      <c r="I87" s="547">
        <f>C87+H87</f>
        <v/>
      </c>
      <c r="J87" s="548">
        <f>H87/4</f>
        <v/>
      </c>
      <c r="K87" s="549" t="n"/>
      <c r="L87" s="531">
        <f>E87*$C$60+$D$60</f>
        <v/>
      </c>
      <c r="M87" s="531">
        <f>F87-L87</f>
        <v/>
      </c>
      <c r="N87" s="547">
        <f>C87+M87</f>
        <v/>
      </c>
      <c r="O87" s="550">
        <f>M87/4</f>
        <v/>
      </c>
    </row>
    <row r="88" outlineLevel="1"/>
    <row r="89" outlineLevel="1"/>
    <row r="90" outlineLevel="1"/>
    <row r="91" outlineLevel="1" ht="15" customHeight="1" thickBot="1">
      <c r="F91" t="inlineStr">
        <is>
          <t>Coeff CC PARZIALE 1a Rampa</t>
        </is>
      </c>
    </row>
    <row r="92" outlineLevel="1" ht="18" customHeight="1">
      <c r="F92" s="108" t="inlineStr">
        <is>
          <t>Q3 Part R1</t>
        </is>
      </c>
      <c r="G92" s="109" t="inlineStr">
        <is>
          <t>m</t>
        </is>
      </c>
      <c r="H92" s="96" t="inlineStr">
        <is>
          <t>q</t>
        </is>
      </c>
    </row>
    <row r="93" outlineLevel="1" ht="15" customHeight="1" thickBot="1">
      <c r="F93" s="111" t="inlineStr">
        <is>
          <t xml:space="preserve"> [Nm/V]</t>
        </is>
      </c>
      <c r="G93" s="537">
        <f>LINEST(E96:E101,F96:F101)</f>
        <v/>
      </c>
      <c r="H93" s="536">
        <f>INTERCEPT(E96:E101,F96:F101)</f>
        <v/>
      </c>
    </row>
    <row r="94" outlineLevel="1" ht="15" customHeight="1" thickBot="1">
      <c r="F94" s="120" t="inlineStr">
        <is>
          <t xml:space="preserve"> [V/Nm]</t>
        </is>
      </c>
      <c r="G94" s="544">
        <f>LINEST(F96:F101,E96:E101)</f>
        <v/>
      </c>
      <c r="H94" s="545">
        <f>INTERCEPT(F96:F101,E96:E101)</f>
        <v/>
      </c>
    </row>
    <row r="95" outlineLevel="1" ht="38.4" customHeight="1" thickBot="1">
      <c r="A95" s="123" t="inlineStr">
        <is>
          <t>1a Rampa
a gradini</t>
        </is>
      </c>
      <c r="B95" s="124" t="inlineStr">
        <is>
          <t>Set Ponts
Target</t>
        </is>
      </c>
      <c r="C95" s="125" t="inlineStr">
        <is>
          <t>Sig Teorico
Ciclo</t>
        </is>
      </c>
      <c r="D95" s="125" t="inlineStr">
        <is>
          <t>Sig Teorico
TOT</t>
        </is>
      </c>
      <c r="E95" s="126" t="inlineStr">
        <is>
          <t>Riferimento</t>
        </is>
      </c>
      <c r="F95" s="126" t="inlineStr">
        <is>
          <t>Segnale</t>
        </is>
      </c>
      <c r="G95" s="125" t="inlineStr">
        <is>
          <t>Inter
Vout</t>
        </is>
      </c>
      <c r="H95" s="125" t="inlineStr">
        <is>
          <t>Err
Vout</t>
        </is>
      </c>
      <c r="I95" s="127" t="inlineStr">
        <is>
          <t>Corretto</t>
        </is>
      </c>
      <c r="J95" s="128" t="inlineStr">
        <is>
          <t>Err
rel</t>
        </is>
      </c>
      <c r="K95" s="129" t="n"/>
      <c r="L95" s="125" t="inlineStr">
        <is>
          <t>Inter
Vout TOT</t>
        </is>
      </c>
      <c r="M95" s="125" t="inlineStr">
        <is>
          <t>Err
Vout TOT</t>
        </is>
      </c>
      <c r="N95" s="130" t="inlineStr">
        <is>
          <t>Corretto
TOT</t>
        </is>
      </c>
      <c r="O95" s="131" t="inlineStr">
        <is>
          <t>Err
rel</t>
        </is>
      </c>
    </row>
    <row r="96" outlineLevel="1" ht="15" customHeight="1" thickTop="1">
      <c r="A96" s="74">
        <f>D11</f>
        <v/>
      </c>
      <c r="B96" s="132">
        <f>SetPnt_N_0</f>
        <v/>
      </c>
      <c r="C96" s="531">
        <f>B96*$G$94+$H$94</f>
        <v/>
      </c>
      <c r="D96" s="531">
        <f>B96*$C$60+$D$60</f>
        <v/>
      </c>
      <c r="E96" s="546">
        <f>I40</f>
        <v/>
      </c>
      <c r="F96" s="546">
        <f>J40</f>
        <v/>
      </c>
      <c r="G96" s="531">
        <f>E96*$G$94+$H$94</f>
        <v/>
      </c>
      <c r="H96" s="531">
        <f>F96-G96</f>
        <v/>
      </c>
      <c r="I96" s="547">
        <f>C96+H96</f>
        <v/>
      </c>
      <c r="J96" s="548">
        <f>H96/4</f>
        <v/>
      </c>
      <c r="K96" s="549" t="n"/>
      <c r="L96" s="531">
        <f>E96*$C$60+$D$60</f>
        <v/>
      </c>
      <c r="M96" s="531">
        <f>F96-L96</f>
        <v/>
      </c>
      <c r="N96" s="547">
        <f>C96+M96</f>
        <v/>
      </c>
      <c r="O96" s="600">
        <f>M96/4</f>
        <v/>
      </c>
    </row>
    <row r="97" outlineLevel="1">
      <c r="A97" s="74">
        <f>D12</f>
        <v/>
      </c>
      <c r="B97" s="138">
        <f>SetPnt_N_1</f>
        <v/>
      </c>
      <c r="C97" s="531">
        <f>B97*$G$94+$H$94</f>
        <v/>
      </c>
      <c r="D97" s="531">
        <f>B97*$C$60+$D$60</f>
        <v/>
      </c>
      <c r="E97" s="546">
        <f>I41</f>
        <v/>
      </c>
      <c r="F97" s="546">
        <f>J41</f>
        <v/>
      </c>
      <c r="G97" s="531">
        <f>E97*$G$94+$H$94</f>
        <v/>
      </c>
      <c r="H97" s="531">
        <f>F97-G97</f>
        <v/>
      </c>
      <c r="I97" s="547">
        <f>C97+H97</f>
        <v/>
      </c>
      <c r="J97" s="548">
        <f>H97/4</f>
        <v/>
      </c>
      <c r="K97" s="549" t="n"/>
      <c r="L97" s="531">
        <f>E97*$C$60+$D$60</f>
        <v/>
      </c>
      <c r="M97" s="531">
        <f>F97-L97</f>
        <v/>
      </c>
      <c r="N97" s="547">
        <f>C97+M97</f>
        <v/>
      </c>
      <c r="O97" s="600">
        <f>M97/4</f>
        <v/>
      </c>
    </row>
    <row r="98" outlineLevel="1">
      <c r="A98" s="74">
        <f>D13</f>
        <v/>
      </c>
      <c r="B98" s="138">
        <f>SetPnt_N_2</f>
        <v/>
      </c>
      <c r="C98" s="531">
        <f>B98*$G$94+$H$94</f>
        <v/>
      </c>
      <c r="D98" s="531">
        <f>B98*$C$60+$D$60</f>
        <v/>
      </c>
      <c r="E98" s="546">
        <f>I42</f>
        <v/>
      </c>
      <c r="F98" s="546">
        <f>J42</f>
        <v/>
      </c>
      <c r="G98" s="531">
        <f>E98*$G$94+$H$94</f>
        <v/>
      </c>
      <c r="H98" s="531">
        <f>F98-G98</f>
        <v/>
      </c>
      <c r="I98" s="547">
        <f>C98+H98</f>
        <v/>
      </c>
      <c r="J98" s="548">
        <f>H98/4</f>
        <v/>
      </c>
      <c r="K98" s="549" t="n"/>
      <c r="L98" s="531">
        <f>E98*$C$60+$D$60</f>
        <v/>
      </c>
      <c r="M98" s="531">
        <f>F98-L98</f>
        <v/>
      </c>
      <c r="N98" s="547">
        <f>C98+M98</f>
        <v/>
      </c>
      <c r="O98" s="600">
        <f>M98/4</f>
        <v/>
      </c>
    </row>
    <row r="99" outlineLevel="1">
      <c r="A99" s="74">
        <f>D14</f>
        <v/>
      </c>
      <c r="B99" s="138">
        <f>SetPnt_N_3</f>
        <v/>
      </c>
      <c r="C99" s="531">
        <f>B99*$G$94+$H$94</f>
        <v/>
      </c>
      <c r="D99" s="531">
        <f>B99*$C$60+$D$60</f>
        <v/>
      </c>
      <c r="E99" s="546">
        <f>I43</f>
        <v/>
      </c>
      <c r="F99" s="546">
        <f>J43</f>
        <v/>
      </c>
      <c r="G99" s="531">
        <f>E99*$G$94+$H$94</f>
        <v/>
      </c>
      <c r="H99" s="531">
        <f>F99-G99</f>
        <v/>
      </c>
      <c r="I99" s="547">
        <f>C99+H99</f>
        <v/>
      </c>
      <c r="J99" s="548">
        <f>H99/4</f>
        <v/>
      </c>
      <c r="K99" s="549" t="n"/>
      <c r="L99" s="531">
        <f>E99*$C$60+$D$60</f>
        <v/>
      </c>
      <c r="M99" s="531">
        <f>F99-L99</f>
        <v/>
      </c>
      <c r="N99" s="547">
        <f>C99+M99</f>
        <v/>
      </c>
      <c r="O99" s="600">
        <f>M99/4</f>
        <v/>
      </c>
    </row>
    <row r="100" outlineLevel="1">
      <c r="A100" s="74">
        <f>D15</f>
        <v/>
      </c>
      <c r="B100" s="138">
        <f>SetPnt_N_4</f>
        <v/>
      </c>
      <c r="C100" s="531">
        <f>B100*$G$94+$H$94</f>
        <v/>
      </c>
      <c r="D100" s="531">
        <f>B100*$C$60+$D$60</f>
        <v/>
      </c>
      <c r="E100" s="546">
        <f>I44</f>
        <v/>
      </c>
      <c r="F100" s="546">
        <f>J44</f>
        <v/>
      </c>
      <c r="G100" s="531">
        <f>E100*$G$94+$H$94</f>
        <v/>
      </c>
      <c r="H100" s="531">
        <f>F100-G100</f>
        <v/>
      </c>
      <c r="I100" s="547">
        <f>C100+H100</f>
        <v/>
      </c>
      <c r="J100" s="548">
        <f>H100/4</f>
        <v/>
      </c>
      <c r="K100" s="549" t="n"/>
      <c r="L100" s="531">
        <f>E100*$C$60+$D$60</f>
        <v/>
      </c>
      <c r="M100" s="531">
        <f>F100-L100</f>
        <v/>
      </c>
      <c r="N100" s="547">
        <f>C100+M100</f>
        <v/>
      </c>
      <c r="O100" s="600">
        <f>M100/4</f>
        <v/>
      </c>
    </row>
    <row r="101" outlineLevel="1" ht="15" customHeight="1" thickBot="1">
      <c r="A101" s="66">
        <f>D16</f>
        <v/>
      </c>
      <c r="B101" s="139">
        <f>SetPnt_N_5</f>
        <v/>
      </c>
      <c r="C101" s="551">
        <f>B101*$G$94+$H$94</f>
        <v/>
      </c>
      <c r="D101" s="551">
        <f>B101*$C$60+$D$60</f>
        <v/>
      </c>
      <c r="E101" s="552">
        <f>I45</f>
        <v/>
      </c>
      <c r="F101" s="552">
        <f>J45</f>
        <v/>
      </c>
      <c r="G101" s="551">
        <f>E101*$G$94+$H$94</f>
        <v/>
      </c>
      <c r="H101" s="551">
        <f>F101-G101</f>
        <v/>
      </c>
      <c r="I101" s="553">
        <f>C101+H101</f>
        <v/>
      </c>
      <c r="J101" s="554">
        <f>H101/4</f>
        <v/>
      </c>
      <c r="K101" s="555" t="n"/>
      <c r="L101" s="551">
        <f>E101*$C$60+$D$60</f>
        <v/>
      </c>
      <c r="M101" s="551">
        <f>F101-L101</f>
        <v/>
      </c>
      <c r="N101" s="553">
        <f>C101+M101</f>
        <v/>
      </c>
      <c r="O101" s="601">
        <f>M101/4</f>
        <v/>
      </c>
    </row>
    <row r="102" outlineLevel="1" ht="15" customHeight="1" thickBot="1">
      <c r="F102" t="inlineStr">
        <is>
          <t>Coeff CC PARZIALE 2a Rampa</t>
        </is>
      </c>
    </row>
    <row r="103" outlineLevel="1" ht="18" customHeight="1">
      <c r="F103" s="108" t="inlineStr">
        <is>
          <t>Q3 Part R2</t>
        </is>
      </c>
      <c r="G103" s="109" t="inlineStr">
        <is>
          <t>m</t>
        </is>
      </c>
      <c r="H103" s="96" t="inlineStr">
        <is>
          <t>q</t>
        </is>
      </c>
    </row>
    <row r="104" outlineLevel="1" ht="15" customHeight="1" thickBot="1">
      <c r="F104" s="111" t="inlineStr">
        <is>
          <t xml:space="preserve"> [Nm/V]</t>
        </is>
      </c>
      <c r="G104" s="537">
        <f>LINEST(E107:E112,F107:F112)</f>
        <v/>
      </c>
      <c r="H104" s="536">
        <f>INTERCEPT(E107:E112,F107:F112)</f>
        <v/>
      </c>
    </row>
    <row r="105" outlineLevel="1" ht="15" customHeight="1" thickBot="1">
      <c r="F105" s="113" t="inlineStr">
        <is>
          <t xml:space="preserve"> [V/Nm]</t>
        </is>
      </c>
      <c r="G105" s="557">
        <f>LINEST(F107:F112,E107:E112)</f>
        <v/>
      </c>
      <c r="H105" s="558">
        <f>INTERCEPT(F107:F112,E107:E112)</f>
        <v/>
      </c>
    </row>
    <row r="106" outlineLevel="1" ht="31.8" customHeight="1" thickBot="1">
      <c r="A106" s="123" t="inlineStr">
        <is>
          <t>2a rampa</t>
        </is>
      </c>
      <c r="B106" s="124" t="inlineStr">
        <is>
          <t>Teorico</t>
        </is>
      </c>
      <c r="C106" s="125" t="inlineStr">
        <is>
          <t>Sig Teorico Ciclo</t>
        </is>
      </c>
      <c r="D106" s="125" t="inlineStr">
        <is>
          <t>Sig Teorico TOT</t>
        </is>
      </c>
      <c r="E106" s="126" t="inlineStr">
        <is>
          <t>Riferimento</t>
        </is>
      </c>
      <c r="F106" s="126" t="inlineStr">
        <is>
          <t>Segnale</t>
        </is>
      </c>
      <c r="G106" s="125" t="inlineStr">
        <is>
          <t>Inter Vout</t>
        </is>
      </c>
      <c r="H106" s="125" t="inlineStr">
        <is>
          <t>Err Vout</t>
        </is>
      </c>
      <c r="I106" s="127" t="inlineStr">
        <is>
          <t>Corretto</t>
        </is>
      </c>
      <c r="J106" s="128" t="inlineStr">
        <is>
          <t>Err rel</t>
        </is>
      </c>
      <c r="K106" s="129" t="n"/>
      <c r="L106" s="125" t="inlineStr">
        <is>
          <t>Inter Vout TOT</t>
        </is>
      </c>
      <c r="M106" s="125" t="inlineStr">
        <is>
          <t>Err Vout TOT</t>
        </is>
      </c>
      <c r="N106" s="130" t="inlineStr">
        <is>
          <t>Corretto TOT</t>
        </is>
      </c>
      <c r="O106" s="131" t="inlineStr">
        <is>
          <t>Err rel</t>
        </is>
      </c>
    </row>
    <row r="107" outlineLevel="1" ht="15" customHeight="1" thickTop="1">
      <c r="A107" s="74">
        <f>D11</f>
        <v/>
      </c>
      <c r="B107" s="132">
        <f>SetPnt_N_0</f>
        <v/>
      </c>
      <c r="C107" s="531">
        <f>B107*$G$105+$H$105</f>
        <v/>
      </c>
      <c r="D107" s="531">
        <f>B107*$C$60+$D$60</f>
        <v/>
      </c>
      <c r="E107" s="546">
        <f>N40</f>
        <v/>
      </c>
      <c r="F107" s="546">
        <f>O40</f>
        <v/>
      </c>
      <c r="G107" s="531">
        <f>E107*$G$105+$H$105</f>
        <v/>
      </c>
      <c r="H107" s="531">
        <f>F107-G107</f>
        <v/>
      </c>
      <c r="I107" s="547">
        <f>C107+H107</f>
        <v/>
      </c>
      <c r="J107" s="548">
        <f>H107/4</f>
        <v/>
      </c>
      <c r="K107" s="549" t="n"/>
      <c r="L107" s="531">
        <f>E107*$C$60+$D$60</f>
        <v/>
      </c>
      <c r="M107" s="531">
        <f>F107-L107</f>
        <v/>
      </c>
      <c r="N107" s="547">
        <f>C107+M107</f>
        <v/>
      </c>
      <c r="O107" s="600">
        <f>M107/4</f>
        <v/>
      </c>
    </row>
    <row r="108" outlineLevel="1">
      <c r="A108" s="74">
        <f>D12</f>
        <v/>
      </c>
      <c r="B108" s="138">
        <f>SetPnt_N_1</f>
        <v/>
      </c>
      <c r="C108" s="531">
        <f>B108*$G$105+$H$105</f>
        <v/>
      </c>
      <c r="D108" s="531">
        <f>B108*$C$60+$D$60</f>
        <v/>
      </c>
      <c r="E108" s="546">
        <f>N41</f>
        <v/>
      </c>
      <c r="F108" s="546">
        <f>O41</f>
        <v/>
      </c>
      <c r="G108" s="531">
        <f>E108*$G$105+$H$105</f>
        <v/>
      </c>
      <c r="H108" s="531">
        <f>F108-G108</f>
        <v/>
      </c>
      <c r="I108" s="547">
        <f>C108+H108</f>
        <v/>
      </c>
      <c r="J108" s="548">
        <f>H108/4</f>
        <v/>
      </c>
      <c r="K108" s="549" t="n"/>
      <c r="L108" s="531">
        <f>E108*$C$60+$D$60</f>
        <v/>
      </c>
      <c r="M108" s="531">
        <f>F108-L108</f>
        <v/>
      </c>
      <c r="N108" s="547">
        <f>C108+M108</f>
        <v/>
      </c>
      <c r="O108" s="600">
        <f>M108/4</f>
        <v/>
      </c>
    </row>
    <row r="109" outlineLevel="1">
      <c r="A109" s="74">
        <f>D13</f>
        <v/>
      </c>
      <c r="B109" s="138">
        <f>SetPnt_N_2</f>
        <v/>
      </c>
      <c r="C109" s="531">
        <f>B109*$G$105+$H$105</f>
        <v/>
      </c>
      <c r="D109" s="531">
        <f>B109*$C$60+$D$60</f>
        <v/>
      </c>
      <c r="E109" s="546">
        <f>N42</f>
        <v/>
      </c>
      <c r="F109" s="546">
        <f>O42</f>
        <v/>
      </c>
      <c r="G109" s="531">
        <f>E109*$G$105+$H$105</f>
        <v/>
      </c>
      <c r="H109" s="531">
        <f>F109-G109</f>
        <v/>
      </c>
      <c r="I109" s="547">
        <f>C109+H109</f>
        <v/>
      </c>
      <c r="J109" s="548">
        <f>H109/4</f>
        <v/>
      </c>
      <c r="K109" s="549" t="n"/>
      <c r="L109" s="531">
        <f>E109*$C$60+$D$60</f>
        <v/>
      </c>
      <c r="M109" s="531">
        <f>F109-L109</f>
        <v/>
      </c>
      <c r="N109" s="547">
        <f>C109+M109</f>
        <v/>
      </c>
      <c r="O109" s="600">
        <f>M109/4</f>
        <v/>
      </c>
    </row>
    <row r="110" outlineLevel="1">
      <c r="A110" s="74">
        <f>D14</f>
        <v/>
      </c>
      <c r="B110" s="138">
        <f>SetPnt_N_3</f>
        <v/>
      </c>
      <c r="C110" s="531">
        <f>B110*$G$105+$H$105</f>
        <v/>
      </c>
      <c r="D110" s="531">
        <f>B110*$C$60+$D$60</f>
        <v/>
      </c>
      <c r="E110" s="546">
        <f>N43</f>
        <v/>
      </c>
      <c r="F110" s="546">
        <f>O43</f>
        <v/>
      </c>
      <c r="G110" s="531">
        <f>E110*$G$105+$H$105</f>
        <v/>
      </c>
      <c r="H110" s="531">
        <f>F110-G110</f>
        <v/>
      </c>
      <c r="I110" s="547">
        <f>C110+H110</f>
        <v/>
      </c>
      <c r="J110" s="548">
        <f>H110/4</f>
        <v/>
      </c>
      <c r="K110" s="549" t="n"/>
      <c r="L110" s="531">
        <f>E110*$C$60+$D$60</f>
        <v/>
      </c>
      <c r="M110" s="531">
        <f>F110-L110</f>
        <v/>
      </c>
      <c r="N110" s="547">
        <f>C110+M110</f>
        <v/>
      </c>
      <c r="O110" s="600">
        <f>M110/4</f>
        <v/>
      </c>
    </row>
    <row r="111" outlineLevel="1">
      <c r="A111" s="74">
        <f>D15</f>
        <v/>
      </c>
      <c r="B111" s="138">
        <f>SetPnt_N_4</f>
        <v/>
      </c>
      <c r="C111" s="531">
        <f>B111*$G$105+$H$105</f>
        <v/>
      </c>
      <c r="D111" s="531">
        <f>B111*$C$60+$D$60</f>
        <v/>
      </c>
      <c r="E111" s="546">
        <f>N44</f>
        <v/>
      </c>
      <c r="F111" s="546">
        <f>O44</f>
        <v/>
      </c>
      <c r="G111" s="531">
        <f>E111*$G$105+$H$105</f>
        <v/>
      </c>
      <c r="H111" s="531">
        <f>F111-G111</f>
        <v/>
      </c>
      <c r="I111" s="547">
        <f>C111+H111</f>
        <v/>
      </c>
      <c r="J111" s="548">
        <f>H111/4</f>
        <v/>
      </c>
      <c r="K111" s="549" t="n"/>
      <c r="L111" s="531">
        <f>E111*$C$60+$D$60</f>
        <v/>
      </c>
      <c r="M111" s="531">
        <f>F111-L111</f>
        <v/>
      </c>
      <c r="N111" s="547">
        <f>C111+M111</f>
        <v/>
      </c>
      <c r="O111" s="600">
        <f>M111/4</f>
        <v/>
      </c>
    </row>
    <row r="112" outlineLevel="1" ht="15" customHeight="1" thickBot="1">
      <c r="A112" s="66">
        <f>D16</f>
        <v/>
      </c>
      <c r="B112" s="139">
        <f>SetPnt_N_5</f>
        <v/>
      </c>
      <c r="C112" s="551">
        <f>B112*$G$105+$H$105</f>
        <v/>
      </c>
      <c r="D112" s="551">
        <f>B112*$C$60+$D$60</f>
        <v/>
      </c>
      <c r="E112" s="552">
        <f>N45</f>
        <v/>
      </c>
      <c r="F112" s="552">
        <f>O45</f>
        <v/>
      </c>
      <c r="G112" s="551">
        <f>E112*$G$105+$H$105</f>
        <v/>
      </c>
      <c r="H112" s="551">
        <f>F112-G112</f>
        <v/>
      </c>
      <c r="I112" s="553">
        <f>C112+H112</f>
        <v/>
      </c>
      <c r="J112" s="554">
        <f>H112/4</f>
        <v/>
      </c>
      <c r="K112" s="555" t="n"/>
      <c r="L112" s="551">
        <f>E112*$C$60+$D$60</f>
        <v/>
      </c>
      <c r="M112" s="551">
        <f>F112-L112</f>
        <v/>
      </c>
      <c r="N112" s="553">
        <f>C112+M112</f>
        <v/>
      </c>
      <c r="O112" s="601">
        <f>M112/4</f>
        <v/>
      </c>
    </row>
    <row r="114" ht="25.8" customHeight="1">
      <c r="A114" s="246" t="inlineStr">
        <is>
          <t>6. Calcolo secondo Euramet s1s2</t>
        </is>
      </c>
      <c r="B114" s="247" t="n"/>
      <c r="C114" s="247" t="n"/>
      <c r="D114" s="247" t="n"/>
      <c r="E114" s="247" t="n"/>
      <c r="F114" s="247" t="n"/>
      <c r="G114" s="247" t="n"/>
      <c r="H114" s="247" t="n"/>
      <c r="I114" s="247" t="n"/>
      <c r="J114" s="247" t="n"/>
      <c r="K114" s="247" t="n"/>
      <c r="L114" s="247" t="n"/>
      <c r="M114" s="247" t="n"/>
      <c r="N114" s="247" t="n"/>
      <c r="O114" s="247" t="n"/>
      <c r="P114" s="247" t="n"/>
      <c r="Q114" s="247" t="n"/>
      <c r="R114" s="247" t="n"/>
      <c r="S114" s="247" t="n"/>
      <c r="T114" s="247" t="n"/>
      <c r="U114" s="247" t="n"/>
      <c r="V114" s="247" t="n"/>
      <c r="W114" s="247" t="n"/>
      <c r="X114" s="247" t="n"/>
    </row>
    <row r="115" outlineLevel="1" ht="15" customHeight="1" thickBot="1"/>
    <row r="116" outlineLevel="1" ht="18" customHeight="1">
      <c r="A116" s="148" t="inlineStr">
        <is>
          <t>Q3 Euramet</t>
        </is>
      </c>
      <c r="B116" s="149" t="inlineStr">
        <is>
          <t>H2</t>
        </is>
      </c>
      <c r="C116" s="149" t="inlineStr">
        <is>
          <t>H1</t>
        </is>
      </c>
      <c r="D116" s="150" t="inlineStr">
        <is>
          <t>H0</t>
        </is>
      </c>
      <c r="E116" s="151" t="n"/>
      <c r="F116" s="148" t="inlineStr">
        <is>
          <t>Q3 Euramet</t>
        </is>
      </c>
      <c r="G116" s="149" t="inlineStr">
        <is>
          <t>m</t>
        </is>
      </c>
      <c r="H116" s="150" t="inlineStr">
        <is>
          <t>q</t>
        </is>
      </c>
      <c r="M116" s="152" t="n"/>
      <c r="N116" s="152" t="n"/>
      <c r="O116" s="152" t="n"/>
    </row>
    <row r="117" outlineLevel="1">
      <c r="A117" s="153">
        <f>CONCATENATE("Cert [",EUnits,"/V]")</f>
        <v/>
      </c>
      <c r="B117" s="559">
        <f>INDEX(LINEST(T123:T134,(S123:S134)^{1,2}),1)</f>
        <v/>
      </c>
      <c r="C117" s="559">
        <f>INDEX(LINEST(T123:T134,(S123:S134)^{1,2}),1,2)</f>
        <v/>
      </c>
      <c r="D117" s="560">
        <f>INDEX(LINEST(T123:T134,(S123:S134)^{1,2}),1,3)</f>
        <v/>
      </c>
      <c r="F117" s="156">
        <f>CONCATENATE("Cert [",EUnits,"/V]")</f>
        <v/>
      </c>
      <c r="G117" s="561">
        <f>LINEST(T123:T134,S123:S134)</f>
        <v/>
      </c>
      <c r="H117" s="562">
        <f>INTERCEPT(T123:T134,S123:S134)</f>
        <v/>
      </c>
      <c r="O117" s="152" t="n"/>
    </row>
    <row r="118" outlineLevel="1">
      <c r="A118" s="113">
        <f>CONCATENATE("Cert [V/",EUnits,"]")</f>
        <v/>
      </c>
      <c r="B118" s="563">
        <f>INDEX(LINEST(S123:S134,(T123:T134)^{1,2}),1)</f>
        <v/>
      </c>
      <c r="C118" s="563">
        <f>INDEX(LINEST(S123:S134,(T123:T134)^{1,2}),1,2)</f>
        <v/>
      </c>
      <c r="D118" s="564">
        <f>INDEX(LINEST(S123:S134,(T123:T134)^{1,2}),1,3)</f>
        <v/>
      </c>
      <c r="F118" s="113">
        <f>CONCATENATE("Cert [V/",EUnits,"]")</f>
        <v/>
      </c>
      <c r="G118" s="565">
        <f>LINEST(S123:S134,T123:T134)</f>
        <v/>
      </c>
      <c r="H118" s="162">
        <f>INTERCEPT(S123:S134,T123:T134)</f>
        <v/>
      </c>
      <c r="O118" s="152" t="n"/>
    </row>
    <row r="119" outlineLevel="1"/>
    <row r="120" outlineLevel="1" ht="18" customHeight="1">
      <c r="A120" s="87" t="inlineStr">
        <is>
          <t>6.1 Corretto (che cosa intenti Emanuele?)</t>
        </is>
      </c>
      <c r="B120" s="163" t="n"/>
      <c r="C120" s="163" t="n"/>
      <c r="D120" s="163" t="n"/>
      <c r="P120" s="152" t="n"/>
    </row>
    <row r="121" outlineLevel="1" ht="16.2" customHeight="1">
      <c r="A121" s="164" t="inlineStr">
        <is>
          <t>Momento</t>
        </is>
      </c>
      <c r="B121" s="165" t="inlineStr">
        <is>
          <t>0°</t>
        </is>
      </c>
      <c r="C121" s="166" t="inlineStr">
        <is>
          <t>0°</t>
        </is>
      </c>
      <c r="D121" s="167" t="inlineStr">
        <is>
          <t>0°</t>
        </is>
      </c>
      <c r="E121" s="168" t="inlineStr">
        <is>
          <t>Salita 1</t>
        </is>
      </c>
      <c r="F121" s="166" t="inlineStr">
        <is>
          <t>Discesa 3</t>
        </is>
      </c>
      <c r="G121" s="167" t="inlineStr">
        <is>
          <t>Salita 2</t>
        </is>
      </c>
      <c r="H121" s="462" t="inlineStr">
        <is>
          <t>Interpolato
2° ordine</t>
        </is>
      </c>
      <c r="I121" s="463" t="inlineStr">
        <is>
          <t>Interpolato
1° ordine</t>
        </is>
      </c>
      <c r="J121" s="169" t="n"/>
      <c r="K121" s="458" t="inlineStr">
        <is>
          <t>X
medio</t>
        </is>
      </c>
      <c r="L121" s="458" t="inlineStr">
        <is>
          <t>b'
Ripetibilità</t>
        </is>
      </c>
      <c r="M121" s="458" t="inlineStr">
        <is>
          <t>b
Riproducibilità</t>
        </is>
      </c>
      <c r="N121" s="458" t="inlineStr">
        <is>
          <t>h
reversibilità</t>
        </is>
      </c>
      <c r="O121" s="458" t="inlineStr">
        <is>
          <t>fa
1° ordine</t>
        </is>
      </c>
      <c r="P121" s="458" t="inlineStr">
        <is>
          <t>fa
2° ordine</t>
        </is>
      </c>
      <c r="R121" s="459" t="inlineStr">
        <is>
          <t>Sequenza (per calcolo Reg Lin)</t>
        </is>
      </c>
      <c r="S121" s="529" t="n"/>
      <c r="T121" s="529" t="n"/>
    </row>
    <row r="122" outlineLevel="1" ht="28.8" customHeight="1">
      <c r="A122" s="170" t="n"/>
      <c r="B122" s="171" t="inlineStr">
        <is>
          <t>Precarico</t>
        </is>
      </c>
      <c r="C122" s="172" t="inlineStr">
        <is>
          <t>Precarico</t>
        </is>
      </c>
      <c r="D122" s="173" t="inlineStr">
        <is>
          <t>Precarico</t>
        </is>
      </c>
      <c r="E122" s="174" t="inlineStr">
        <is>
          <t>Crescente</t>
        </is>
      </c>
      <c r="F122" s="172" t="inlineStr">
        <is>
          <t>Decrescente</t>
        </is>
      </c>
      <c r="G122" s="173" t="inlineStr">
        <is>
          <t>Crescente</t>
        </is>
      </c>
      <c r="H122" s="74" t="n"/>
      <c r="J122" s="169" t="n"/>
      <c r="R122" s="175" t="n"/>
      <c r="S122" s="176" t="inlineStr">
        <is>
          <t>WBA Out
[V]</t>
        </is>
      </c>
      <c r="T122" s="176" t="inlineStr">
        <is>
          <t>Set Point
#</t>
        </is>
      </c>
    </row>
    <row r="123" outlineLevel="1" ht="15.6" customHeight="1">
      <c r="A123" s="177" t="inlineStr">
        <is>
          <t xml:space="preserve"> [Nm]</t>
        </is>
      </c>
      <c r="B123" s="178" t="inlineStr">
        <is>
          <t>[V]</t>
        </is>
      </c>
      <c r="C123" s="179" t="inlineStr">
        <is>
          <t>[V]</t>
        </is>
      </c>
      <c r="D123" s="180" t="inlineStr">
        <is>
          <t>[V]</t>
        </is>
      </c>
      <c r="E123" s="181" t="inlineStr">
        <is>
          <t>[V]</t>
        </is>
      </c>
      <c r="F123" s="179" t="inlineStr">
        <is>
          <t>[V]</t>
        </is>
      </c>
      <c r="G123" s="180" t="inlineStr">
        <is>
          <t>[V]</t>
        </is>
      </c>
      <c r="H123" s="74" t="n"/>
      <c r="J123" s="169" t="n"/>
      <c r="R123" s="182" t="inlineStr">
        <is>
          <t>1a rampa</t>
        </is>
      </c>
      <c r="S123" s="566">
        <f>E124</f>
        <v/>
      </c>
      <c r="T123" s="184">
        <f>SetPnt_N_0</f>
        <v/>
      </c>
    </row>
    <row r="124" outlineLevel="1" ht="15.6" customHeight="1">
      <c r="A124" s="185">
        <f>SetPnt_N_0</f>
        <v/>
      </c>
      <c r="B124" s="594">
        <f>$I$72</f>
        <v/>
      </c>
      <c r="C124" s="594">
        <f>I79</f>
        <v/>
      </c>
      <c r="D124" s="594">
        <f>I86</f>
        <v/>
      </c>
      <c r="E124" s="594">
        <f>I96</f>
        <v/>
      </c>
      <c r="F124" s="568" t="inlineStr">
        <is>
          <t>x</t>
        </is>
      </c>
      <c r="G124" s="594">
        <f>I107</f>
        <v/>
      </c>
      <c r="H124" s="569">
        <f>$B$118*A124^2 + $C$118*A124+$D$118</f>
        <v/>
      </c>
      <c r="I124" s="569">
        <f>A124*$G$118+$H$118</f>
        <v/>
      </c>
      <c r="J124" s="569" t="n"/>
      <c r="K124" s="569">
        <f>AVERAGE(E124:G124)</f>
        <v/>
      </c>
      <c r="L124" s="569">
        <f>ABS(E124-G124)</f>
        <v/>
      </c>
      <c r="M124" s="569">
        <f>SQRT((E124-K124)^2+(G124-K124)^2)</f>
        <v/>
      </c>
      <c r="N124" s="569">
        <f>(ABS(E124-F124) )</f>
        <v/>
      </c>
      <c r="O124" s="569">
        <f>I124-K124</f>
        <v/>
      </c>
      <c r="P124" s="569">
        <f>H124-K124</f>
        <v/>
      </c>
      <c r="R124" s="182" t="n"/>
      <c r="S124" s="566">
        <f>E125</f>
        <v/>
      </c>
      <c r="T124" s="189">
        <f>SetPnt_N_1</f>
        <v/>
      </c>
    </row>
    <row r="125" outlineLevel="1" ht="15.6" customHeight="1">
      <c r="A125" s="190">
        <f>SetPnt_N_1</f>
        <v/>
      </c>
      <c r="B125" s="595" t="inlineStr">
        <is>
          <t>-</t>
        </is>
      </c>
      <c r="C125" s="595" t="inlineStr">
        <is>
          <t>-</t>
        </is>
      </c>
      <c r="D125" s="595" t="inlineStr">
        <is>
          <t>-</t>
        </is>
      </c>
      <c r="E125" s="594">
        <f>I97</f>
        <v/>
      </c>
      <c r="F125" s="568" t="inlineStr">
        <is>
          <t>x</t>
        </is>
      </c>
      <c r="G125" s="594">
        <f>I108</f>
        <v/>
      </c>
      <c r="H125" s="569">
        <f>$B$118*A125^2 + $C$118*A125+$D$118</f>
        <v/>
      </c>
      <c r="I125" s="569">
        <f>A125*$G$118+$H$118</f>
        <v/>
      </c>
      <c r="J125" s="569" t="n"/>
      <c r="K125" s="569">
        <f>AVERAGE(E125:G125)</f>
        <v/>
      </c>
      <c r="L125" s="569">
        <f>ABS(E125-G125)</f>
        <v/>
      </c>
      <c r="M125" s="569">
        <f>SQRT((E125-K125)^2+(G125-K125)^2)</f>
        <v/>
      </c>
      <c r="N125" s="569">
        <f>(ABS(E125-F125) )</f>
        <v/>
      </c>
      <c r="O125" s="569">
        <f>H125-K125</f>
        <v/>
      </c>
      <c r="P125" s="569">
        <f>H125-K125</f>
        <v/>
      </c>
      <c r="R125" s="182" t="n"/>
      <c r="S125" s="566">
        <f>E126</f>
        <v/>
      </c>
      <c r="T125" s="189">
        <f>SetPnt_N_2</f>
        <v/>
      </c>
    </row>
    <row r="126" outlineLevel="1" ht="15.6" customHeight="1">
      <c r="A126" s="190">
        <f>SetPnt_N_2</f>
        <v/>
      </c>
      <c r="B126" s="595" t="inlineStr">
        <is>
          <t>-</t>
        </is>
      </c>
      <c r="C126" s="595" t="inlineStr">
        <is>
          <t>-</t>
        </is>
      </c>
      <c r="D126" s="595" t="inlineStr">
        <is>
          <t>-</t>
        </is>
      </c>
      <c r="E126" s="594">
        <f>I98</f>
        <v/>
      </c>
      <c r="F126" s="568" t="inlineStr">
        <is>
          <t>x</t>
        </is>
      </c>
      <c r="G126" s="594">
        <f>I109</f>
        <v/>
      </c>
      <c r="H126" s="569">
        <f>$B$118*A126^2 + $C$118*A126+$D$118</f>
        <v/>
      </c>
      <c r="I126" s="569">
        <f>A126*$G$118+$H$118</f>
        <v/>
      </c>
      <c r="J126" s="569" t="n"/>
      <c r="K126" s="569">
        <f>AVERAGE(E126:G126)</f>
        <v/>
      </c>
      <c r="L126" s="569">
        <f>ABS(E126-G126)</f>
        <v/>
      </c>
      <c r="M126" s="569">
        <f>SQRT((E126-K126)^2+(G126-K126)^2)</f>
        <v/>
      </c>
      <c r="N126" s="569">
        <f>(ABS(E126-F126) )</f>
        <v/>
      </c>
      <c r="O126" s="569">
        <f>H126-K126</f>
        <v/>
      </c>
      <c r="P126" s="569">
        <f>H126-K126</f>
        <v/>
      </c>
      <c r="R126" s="182" t="n"/>
      <c r="S126" s="566">
        <f>E127</f>
        <v/>
      </c>
      <c r="T126" s="189">
        <f>SetPnt_N_3</f>
        <v/>
      </c>
    </row>
    <row r="127" outlineLevel="1" ht="15.6" customHeight="1">
      <c r="A127" s="190">
        <f>SetPnt_N_3</f>
        <v/>
      </c>
      <c r="B127" s="595" t="inlineStr">
        <is>
          <t>-</t>
        </is>
      </c>
      <c r="C127" s="595" t="inlineStr">
        <is>
          <t>-</t>
        </is>
      </c>
      <c r="D127" s="595" t="inlineStr">
        <is>
          <t>-</t>
        </is>
      </c>
      <c r="E127" s="594">
        <f>I99</f>
        <v/>
      </c>
      <c r="F127" s="568" t="inlineStr">
        <is>
          <t>x</t>
        </is>
      </c>
      <c r="G127" s="594">
        <f>I110</f>
        <v/>
      </c>
      <c r="H127" s="569">
        <f>$B$118*A127^2 + $C$118*A127+$D$118</f>
        <v/>
      </c>
      <c r="I127" s="569">
        <f>A127*$G$118+$H$118</f>
        <v/>
      </c>
      <c r="J127" s="569" t="n"/>
      <c r="K127" s="569">
        <f>AVERAGE(E127:G127)</f>
        <v/>
      </c>
      <c r="L127" s="569">
        <f>ABS(E127-G127)</f>
        <v/>
      </c>
      <c r="M127" s="569">
        <f>SQRT((E127-K127)^2+(G127-K127)^2)</f>
        <v/>
      </c>
      <c r="N127" s="569">
        <f>(ABS(E127-F127) )</f>
        <v/>
      </c>
      <c r="O127" s="569">
        <f>H127-K127</f>
        <v/>
      </c>
      <c r="P127" s="569">
        <f>H127-K127</f>
        <v/>
      </c>
      <c r="R127" s="182" t="n"/>
      <c r="S127" s="566">
        <f>E128</f>
        <v/>
      </c>
      <c r="T127" s="189">
        <f>SetPnt_N_4</f>
        <v/>
      </c>
    </row>
    <row r="128" outlineLevel="1" ht="15.6" customHeight="1">
      <c r="A128" s="190">
        <f>SetPnt_N_4</f>
        <v/>
      </c>
      <c r="B128" s="595" t="inlineStr">
        <is>
          <t>-</t>
        </is>
      </c>
      <c r="C128" s="595" t="inlineStr">
        <is>
          <t>-</t>
        </is>
      </c>
      <c r="D128" s="595" t="inlineStr">
        <is>
          <t>-</t>
        </is>
      </c>
      <c r="E128" s="594">
        <f>I100</f>
        <v/>
      </c>
      <c r="F128" s="568" t="inlineStr">
        <is>
          <t>x</t>
        </is>
      </c>
      <c r="G128" s="594">
        <f>I111</f>
        <v/>
      </c>
      <c r="H128" s="569">
        <f>$B$118*A128^2 + $C$118*A128+$D$118</f>
        <v/>
      </c>
      <c r="I128" s="569">
        <f>A128*$G$118+$H$118</f>
        <v/>
      </c>
      <c r="J128" s="569" t="n"/>
      <c r="K128" s="569">
        <f>AVERAGE(E128:G128)</f>
        <v/>
      </c>
      <c r="L128" s="569">
        <f>ABS(E128-G128)</f>
        <v/>
      </c>
      <c r="M128" s="569">
        <f>SQRT((E128-K128)^2+(G128-K128)^2)</f>
        <v/>
      </c>
      <c r="N128" s="569">
        <f>(ABS(E128-F128) )</f>
        <v/>
      </c>
      <c r="O128" s="569">
        <f>H128-K128</f>
        <v/>
      </c>
      <c r="P128" s="569">
        <f>H128-K128</f>
        <v/>
      </c>
      <c r="R128" s="192" t="n"/>
      <c r="S128" s="571">
        <f>E129</f>
        <v/>
      </c>
      <c r="T128" s="189">
        <f>SetPnt_N_5</f>
        <v/>
      </c>
    </row>
    <row r="129" outlineLevel="1" ht="15.6" customHeight="1">
      <c r="A129" s="190">
        <f>SetPnt_N_5</f>
        <v/>
      </c>
      <c r="B129" s="594">
        <f>I73</f>
        <v/>
      </c>
      <c r="C129" s="594">
        <f>I80</f>
        <v/>
      </c>
      <c r="D129" s="594">
        <f>I87</f>
        <v/>
      </c>
      <c r="E129" s="594">
        <f>I101</f>
        <v/>
      </c>
      <c r="F129" s="568" t="inlineStr">
        <is>
          <t>x</t>
        </is>
      </c>
      <c r="G129" s="594">
        <f>I112</f>
        <v/>
      </c>
      <c r="H129" s="569">
        <f>$B$118*A129^2 + $C$118*A129+$D$118</f>
        <v/>
      </c>
      <c r="I129" s="569">
        <f>A129*$G$118+$H$118</f>
        <v/>
      </c>
      <c r="J129" s="569" t="n"/>
      <c r="K129" s="569">
        <f>AVERAGE(E129:G129)</f>
        <v/>
      </c>
      <c r="L129" s="569">
        <f>ABS(E129-G129)</f>
        <v/>
      </c>
      <c r="M129" s="569">
        <f>SQRT((E129-K129)^2+(G129-K129)^2)</f>
        <v/>
      </c>
      <c r="N129" s="569">
        <f>(ABS(E129-F129) )</f>
        <v/>
      </c>
      <c r="O129" s="569">
        <f>H129-K129</f>
        <v/>
      </c>
      <c r="P129" s="569">
        <f>H129-K129</f>
        <v/>
      </c>
      <c r="R129" s="182" t="inlineStr">
        <is>
          <t>2a rampa</t>
        </is>
      </c>
      <c r="S129" s="566">
        <f>G124</f>
        <v/>
      </c>
      <c r="T129" s="184">
        <f>SetPnt_N_0</f>
        <v/>
      </c>
    </row>
    <row r="130" outlineLevel="1">
      <c r="P130" s="549" t="n"/>
      <c r="R130" s="195" t="n"/>
      <c r="S130" s="566">
        <f>G125</f>
        <v/>
      </c>
      <c r="T130" s="189">
        <f>SetPnt_N_1</f>
        <v/>
      </c>
    </row>
    <row r="131" outlineLevel="1" ht="18" customHeight="1">
      <c r="A131" s="87" t="inlineStr">
        <is>
          <t>6.2 w(X) incertezza (funziona quando vi sono presenti i valori per la curva di discesa)</t>
        </is>
      </c>
      <c r="P131" s="549" t="n"/>
      <c r="R131" s="195" t="n"/>
      <c r="S131" s="566">
        <f>G126</f>
        <v/>
      </c>
      <c r="T131" s="189">
        <f>SetPnt_N_2</f>
        <v/>
      </c>
    </row>
    <row r="132" outlineLevel="1">
      <c r="A132" s="250" t="inlineStr">
        <is>
          <t>Coppia</t>
        </is>
      </c>
      <c r="B132" s="198" t="inlineStr">
        <is>
          <t>wb'</t>
        </is>
      </c>
      <c r="C132" s="198" t="inlineStr">
        <is>
          <t>wb</t>
        </is>
      </c>
      <c r="D132" s="198" t="inlineStr">
        <is>
          <t>wr</t>
        </is>
      </c>
      <c r="E132" s="198" t="inlineStr">
        <is>
          <t>w fa 1°</t>
        </is>
      </c>
      <c r="F132" s="198" t="inlineStr">
        <is>
          <t>w(X)</t>
        </is>
      </c>
      <c r="G132" s="198" t="inlineStr">
        <is>
          <t>W(X)=2*w</t>
        </is>
      </c>
      <c r="H132" s="198" t="inlineStr">
        <is>
          <t>w fa 2°</t>
        </is>
      </c>
      <c r="I132" s="198" t="inlineStr">
        <is>
          <t>w(X)</t>
        </is>
      </c>
      <c r="J132" s="198" t="inlineStr">
        <is>
          <t>W(X)=2*w</t>
        </is>
      </c>
      <c r="K132" s="74" t="n"/>
      <c r="M132" s="152" t="n"/>
      <c r="N132" s="198" t="inlineStr">
        <is>
          <t>wr</t>
        </is>
      </c>
      <c r="P132" s="549" t="n"/>
      <c r="R132" s="110" t="n"/>
      <c r="S132" s="566">
        <f>G127</f>
        <v/>
      </c>
      <c r="T132" s="189">
        <f>SetPnt_N_3</f>
        <v/>
      </c>
    </row>
    <row r="133" outlineLevel="1">
      <c r="A133" s="5">
        <f>SetPnt_N_0</f>
        <v/>
      </c>
      <c r="B133" s="199">
        <f>L124*100 / (SQRT(2)*K124)</f>
        <v/>
      </c>
      <c r="C133" s="199">
        <f>M124*100 / (SQRT(2)*K124)</f>
        <v/>
      </c>
      <c r="D133" s="199" t="n">
        <v>0.469</v>
      </c>
      <c r="E133" s="199">
        <f>ABS(O124)*100 / (SQRT(6)*I124)</f>
        <v/>
      </c>
      <c r="F133" s="199">
        <f>SQRT((B133^2 + C133^2+D133^2+E133^2))</f>
        <v/>
      </c>
      <c r="G133" s="573">
        <f>F133*2</f>
        <v/>
      </c>
      <c r="H133" s="572">
        <f>ABS(P124)*100 / (SQRT(6)*H124)</f>
        <v/>
      </c>
      <c r="I133" s="199">
        <f>SQRT((B133^2 + C133^2+H133^2+D133^2))</f>
        <v/>
      </c>
      <c r="J133" s="199">
        <f>I133*2</f>
        <v/>
      </c>
      <c r="M133" s="152" t="n"/>
      <c r="N133" s="202" t="n">
        <v>0.469</v>
      </c>
      <c r="P133" s="549" t="n"/>
      <c r="R133" s="110" t="n"/>
      <c r="S133" s="566">
        <f>G128</f>
        <v/>
      </c>
      <c r="T133" s="189">
        <f>SetPnt_N_4</f>
        <v/>
      </c>
    </row>
    <row r="134" outlineLevel="1">
      <c r="A134" s="190">
        <f>SetPnt_N_1</f>
        <v/>
      </c>
      <c r="B134" s="199">
        <f>L125*100 / (SQRT(2)*K125)</f>
        <v/>
      </c>
      <c r="C134" s="199">
        <f>M125*100 / (SQRT(2)*K125)</f>
        <v/>
      </c>
      <c r="D134" s="199" t="n">
        <v>0.109</v>
      </c>
      <c r="E134" s="199">
        <f>ABS(O125)*100 / (SQRT(6)*I125)</f>
        <v/>
      </c>
      <c r="F134" s="199">
        <f>SQRT((B134^2 + C134^2+D134^2+E134^2))</f>
        <v/>
      </c>
      <c r="G134" s="573">
        <f>F134*2</f>
        <v/>
      </c>
      <c r="H134" s="572">
        <f>ABS(P125)*100 / (SQRT(6)*H125)</f>
        <v/>
      </c>
      <c r="I134" s="199">
        <f>SQRT((B134^2 + C134^2+H134^2+D134^2))</f>
        <v/>
      </c>
      <c r="J134" s="574">
        <f>I134*2</f>
        <v/>
      </c>
      <c r="M134" s="152" t="n"/>
      <c r="N134" s="202" t="n">
        <v>0.469</v>
      </c>
      <c r="P134" s="549" t="n"/>
      <c r="R134" s="110" t="n"/>
      <c r="S134" s="566">
        <f>G129</f>
        <v/>
      </c>
      <c r="T134" s="189">
        <f>SetPnt_N_5</f>
        <v/>
      </c>
    </row>
    <row r="135" outlineLevel="1">
      <c r="A135" s="190">
        <f>SetPnt_N_2</f>
        <v/>
      </c>
      <c r="B135" s="199">
        <f>L126*100 / (SQRT(2)*K126)</f>
        <v/>
      </c>
      <c r="C135" s="199">
        <f>M126*100 / (SQRT(2)*K126)</f>
        <v/>
      </c>
      <c r="D135" s="199" t="n">
        <v>0.109</v>
      </c>
      <c r="E135" s="199">
        <f>ABS(O126)*100 / (SQRT(6)*I126)</f>
        <v/>
      </c>
      <c r="F135" s="199">
        <f>SQRT((B135^2 + C135^2+D135^2+E135^2))</f>
        <v/>
      </c>
      <c r="G135" s="573">
        <f>F135*2</f>
        <v/>
      </c>
      <c r="H135" s="572">
        <f>ABS(P126)*100 / (SQRT(6)*H126)</f>
        <v/>
      </c>
      <c r="I135" s="199">
        <f>SQRT((B135^2 + C135^2+H135^2+D135^2))</f>
        <v/>
      </c>
      <c r="J135" s="574">
        <f>I135*2</f>
        <v/>
      </c>
      <c r="M135" s="152" t="n"/>
      <c r="N135" s="202" t="n">
        <v>0.109</v>
      </c>
      <c r="P135" s="549" t="n"/>
    </row>
    <row r="136" outlineLevel="1">
      <c r="A136" s="190">
        <f>SetPnt_N_3</f>
        <v/>
      </c>
      <c r="B136" s="199">
        <f>L127*100 / (SQRT(2)*K127)</f>
        <v/>
      </c>
      <c r="C136" s="199">
        <f>M127*100 / (SQRT(2)*K127)</f>
        <v/>
      </c>
      <c r="D136" s="199" t="n">
        <v>0.109</v>
      </c>
      <c r="E136" s="199">
        <f>ABS(O127)*100 / (SQRT(6)*I127)</f>
        <v/>
      </c>
      <c r="F136" s="199">
        <f>SQRT((B136^2 + C136^2+D136^2+E136^2))</f>
        <v/>
      </c>
      <c r="G136" s="573">
        <f>F136*2</f>
        <v/>
      </c>
      <c r="H136" s="572">
        <f>ABS(P127)*100 / (SQRT(6)*H127)</f>
        <v/>
      </c>
      <c r="I136" s="199">
        <f>SQRT((B136^2 + C136^2+H136^2+D136^2))</f>
        <v/>
      </c>
      <c r="J136" s="574">
        <f>I136*2</f>
        <v/>
      </c>
      <c r="M136" s="152" t="n"/>
      <c r="N136" s="202" t="n">
        <v>0.109</v>
      </c>
      <c r="P136" s="549" t="n"/>
    </row>
    <row r="137" outlineLevel="1">
      <c r="A137" s="190">
        <f>SetPnt_N_4</f>
        <v/>
      </c>
      <c r="B137" s="199">
        <f>L128*100 / (SQRT(2)*K128)</f>
        <v/>
      </c>
      <c r="C137" s="199">
        <f>M128*100 / (SQRT(2)*K128)</f>
        <v/>
      </c>
      <c r="D137" s="199" t="n">
        <v>0.108</v>
      </c>
      <c r="E137" s="199">
        <f>ABS(O128)*100 / (SQRT(6)*I128)</f>
        <v/>
      </c>
      <c r="F137" s="199">
        <f>SQRT((B137^2 + C137^2+D137^2+E137^2))</f>
        <v/>
      </c>
      <c r="G137" s="573">
        <f>F137*2</f>
        <v/>
      </c>
      <c r="H137" s="572">
        <f>ABS(P128)*100 / (SQRT(6)*H128)</f>
        <v/>
      </c>
      <c r="I137" s="199">
        <f>SQRT((B137^2 + C137^2+H137^2+D137^2))</f>
        <v/>
      </c>
      <c r="J137" s="574">
        <f>I137*2</f>
        <v/>
      </c>
      <c r="M137" s="152" t="n"/>
      <c r="N137" s="202" t="n">
        <v>0.108</v>
      </c>
      <c r="P137" s="549" t="n"/>
    </row>
    <row r="138" outlineLevel="1">
      <c r="A138" s="190">
        <f>SetPnt_N_5</f>
        <v/>
      </c>
      <c r="B138" s="199">
        <f>L129*100 / (SQRT(2)*K129)</f>
        <v/>
      </c>
      <c r="C138" s="199">
        <f>M129*100 / (SQRT(2)*K129)</f>
        <v/>
      </c>
      <c r="D138" s="199" t="n">
        <v>0.098</v>
      </c>
      <c r="E138" s="199">
        <f>ABS(O129)*100 / (SQRT(6)*I129)</f>
        <v/>
      </c>
      <c r="F138" s="199">
        <f>SQRT((B138^2 + C138^2+D138^2+E138^2))</f>
        <v/>
      </c>
      <c r="G138" s="573">
        <f>F138*2</f>
        <v/>
      </c>
      <c r="H138" s="572">
        <f>ABS(P129)*100 / (SQRT(6)*H129)</f>
        <v/>
      </c>
      <c r="I138" s="199">
        <f>SQRT((B138^2 + C138^2+H138^2+D138^2))</f>
        <v/>
      </c>
      <c r="J138" s="574">
        <f>I138*2</f>
        <v/>
      </c>
      <c r="M138" s="152" t="n"/>
      <c r="N138" s="202" t="n">
        <v>0.098</v>
      </c>
    </row>
    <row r="140" ht="25.8" customHeight="1">
      <c r="A140" s="246" t="inlineStr">
        <is>
          <t>7. Impaginazione report</t>
        </is>
      </c>
      <c r="B140" s="247" t="n"/>
      <c r="C140" s="247" t="n"/>
      <c r="D140" s="247" t="n"/>
      <c r="E140" s="247" t="n"/>
      <c r="F140" s="247" t="n"/>
      <c r="G140" s="247" t="n"/>
      <c r="H140" s="247" t="n"/>
      <c r="I140" s="247" t="n"/>
      <c r="J140" s="247" t="n"/>
      <c r="K140" s="247" t="n"/>
      <c r="L140" s="247" t="n"/>
      <c r="M140" s="247" t="n"/>
      <c r="N140" s="247" t="n"/>
      <c r="O140" s="247" t="n"/>
      <c r="P140" s="247" t="n"/>
      <c r="Q140" s="247" t="n"/>
      <c r="R140" s="247" t="n"/>
      <c r="S140" s="247" t="n"/>
      <c r="T140" s="247" t="n"/>
      <c r="U140" s="247" t="n"/>
      <c r="V140" s="247" t="n"/>
      <c r="W140" s="247" t="n"/>
      <c r="X140" s="247" t="n"/>
    </row>
    <row r="141" outlineLevel="1"/>
    <row r="142" outlineLevel="1" ht="15.75" customHeight="1" thickBot="1">
      <c r="B142" s="575" t="inlineStr">
        <is>
          <t>Variabile dipendente Coppia Meccanica; Variabile indipendente Vout strumento</t>
        </is>
      </c>
      <c r="C142" s="576" t="n"/>
      <c r="D142" s="576" t="n"/>
      <c r="E142" s="576" t="n"/>
      <c r="F142" s="576" t="n"/>
    </row>
    <row r="143" outlineLevel="1" ht="14.25" customHeight="1">
      <c r="B143" s="206" t="inlineStr">
        <is>
          <t>Momento applicato → M = a*X2 + b*X</t>
        </is>
      </c>
      <c r="C143" s="207" t="n"/>
      <c r="D143" s="208" t="n"/>
    </row>
    <row r="144" outlineLevel="1" ht="14.25" customHeight="1">
      <c r="B144" s="209" t="n"/>
      <c r="C144" s="210" t="inlineStr">
        <is>
          <t>a [Nm/mV2]</t>
        </is>
      </c>
      <c r="D144" s="211" t="inlineStr">
        <is>
          <t>b [Nm/mV]</t>
        </is>
      </c>
    </row>
    <row r="145" outlineLevel="1">
      <c r="B145" s="212" t="inlineStr">
        <is>
          <t>1° ordine</t>
        </is>
      </c>
      <c r="C145" s="494" t="n">
        <v>0</v>
      </c>
      <c r="D145" s="577">
        <f>$C$59/1000</f>
        <v/>
      </c>
    </row>
    <row r="146" outlineLevel="1" ht="15" customHeight="1" thickBot="1">
      <c r="B146" s="215" t="inlineStr">
        <is>
          <t>2° ordine</t>
        </is>
      </c>
      <c r="C146" s="578">
        <f>$B$117/1000</f>
        <v/>
      </c>
      <c r="D146" s="579">
        <f>$C$117/1000</f>
        <v/>
      </c>
    </row>
    <row r="147" outlineLevel="1">
      <c r="B147" s="218" t="n"/>
      <c r="C147" s="580" t="n"/>
      <c r="D147" s="580" t="n"/>
    </row>
    <row r="148" outlineLevel="1" ht="15.75" customHeight="1" thickBot="1">
      <c r="B148" s="581" t="inlineStr">
        <is>
          <t>Variabile dipendente Vout strumento; Variabile indipendente Coppia Meccanica</t>
        </is>
      </c>
      <c r="C148" s="221" t="n"/>
      <c r="D148" s="221" t="n"/>
      <c r="E148" s="221" t="n"/>
      <c r="F148" s="221" t="n"/>
    </row>
    <row r="149" outlineLevel="1" ht="14.25" customHeight="1">
      <c r="B149" s="206" t="inlineStr">
        <is>
          <t>Misura elettrica → X = d*M2 + e*M</t>
        </is>
      </c>
      <c r="C149" s="207" t="n"/>
      <c r="D149" s="208" t="n"/>
    </row>
    <row r="150" outlineLevel="1" ht="14.25" customHeight="1">
      <c r="B150" s="209" t="n"/>
      <c r="C150" s="210" t="inlineStr">
        <is>
          <t>d [mV/Nm2]</t>
        </is>
      </c>
      <c r="D150" s="211" t="inlineStr">
        <is>
          <t>e [mV/Nm]</t>
        </is>
      </c>
    </row>
    <row r="151" outlineLevel="1">
      <c r="B151" s="212" t="inlineStr">
        <is>
          <t>1° ordine</t>
        </is>
      </c>
      <c r="C151" s="494" t="n">
        <v>0</v>
      </c>
      <c r="D151" s="577">
        <f>$G$118*1000</f>
        <v/>
      </c>
      <c r="F151" s="582" t="n"/>
    </row>
    <row r="152" outlineLevel="1" ht="15" customHeight="1" thickBot="1">
      <c r="B152" s="215" t="inlineStr">
        <is>
          <t>2° ordine</t>
        </is>
      </c>
      <c r="C152" s="578">
        <f>$B$118*1000</f>
        <v/>
      </c>
      <c r="D152" s="579">
        <f>$C$118*1000</f>
        <v/>
      </c>
      <c r="F152" s="582" t="n"/>
    </row>
    <row r="153" outlineLevel="1"/>
    <row r="154" outlineLevel="1" ht="15" customHeight="1" thickBot="1">
      <c r="B154" s="223" t="inlineStr">
        <is>
          <t>Valori numerici di taratura</t>
        </is>
      </c>
    </row>
    <row r="155" outlineLevel="1" ht="14.25" customHeight="1" thickBot="1">
      <c r="B155" s="224" t="inlineStr">
        <is>
          <t>Coppia</t>
        </is>
      </c>
      <c r="C155" s="225" t="inlineStr">
        <is>
          <t>Precarico</t>
        </is>
      </c>
      <c r="D155" s="225" t="inlineStr">
        <is>
          <t>Precarico</t>
        </is>
      </c>
      <c r="E155" s="225" t="inlineStr">
        <is>
          <t>Precarico</t>
        </is>
      </c>
      <c r="F155" s="225" t="inlineStr">
        <is>
          <t>Crescente</t>
        </is>
      </c>
      <c r="G155" s="226" t="inlineStr">
        <is>
          <t>Crescente</t>
        </is>
      </c>
      <c r="H155" s="227" t="n"/>
      <c r="I155" s="469" t="inlineStr">
        <is>
          <t>Coppia</t>
        </is>
      </c>
      <c r="J155" s="470" t="inlineStr">
        <is>
          <t>Incertezza %</t>
        </is>
      </c>
    </row>
    <row r="156" outlineLevel="1">
      <c r="B156" s="228" t="inlineStr">
        <is>
          <t>Nm</t>
        </is>
      </c>
      <c r="C156" s="229" t="inlineStr">
        <is>
          <t>mV</t>
        </is>
      </c>
      <c r="D156" s="229" t="inlineStr">
        <is>
          <t>mV</t>
        </is>
      </c>
      <c r="E156" s="229" t="inlineStr">
        <is>
          <t>mV</t>
        </is>
      </c>
      <c r="F156" s="229" t="inlineStr">
        <is>
          <t>mV</t>
        </is>
      </c>
      <c r="G156" s="230" t="inlineStr">
        <is>
          <t>mV</t>
        </is>
      </c>
      <c r="H156" s="231" t="n"/>
      <c r="I156" s="583" t="n"/>
      <c r="J156" s="584" t="n"/>
    </row>
    <row r="157" outlineLevel="1">
      <c r="B157" s="232">
        <f>SetPnt_N_0</f>
        <v/>
      </c>
      <c r="C157" s="585">
        <f>B124*1000</f>
        <v/>
      </c>
      <c r="D157" s="585">
        <f>C124*1000</f>
        <v/>
      </c>
      <c r="E157" s="585">
        <f>D124*1000</f>
        <v/>
      </c>
      <c r="F157" s="585">
        <f>E124*1000</f>
        <v/>
      </c>
      <c r="G157" s="586">
        <f>G124*1000</f>
        <v/>
      </c>
      <c r="H157" s="235" t="n"/>
      <c r="I157" s="236">
        <f>SetPnt_N_1</f>
        <v/>
      </c>
      <c r="J157" s="587">
        <f>J134</f>
        <v/>
      </c>
    </row>
    <row r="158" outlineLevel="1">
      <c r="B158" s="236">
        <f>SetPnt_N_1</f>
        <v/>
      </c>
      <c r="C158" s="588">
        <f>B125</f>
        <v/>
      </c>
      <c r="D158" s="588">
        <f>C125</f>
        <v/>
      </c>
      <c r="E158" s="588">
        <f>D125</f>
        <v/>
      </c>
      <c r="F158" s="589">
        <f>E125*1000</f>
        <v/>
      </c>
      <c r="G158" s="590">
        <f>G125*1000</f>
        <v/>
      </c>
      <c r="H158" s="235" t="n"/>
      <c r="I158" s="236">
        <f>SetPnt_N_2</f>
        <v/>
      </c>
      <c r="J158" s="587">
        <f>J135</f>
        <v/>
      </c>
    </row>
    <row r="159" outlineLevel="1">
      <c r="B159" s="236">
        <f>SetPnt_N_2</f>
        <v/>
      </c>
      <c r="C159" s="588">
        <f>B126</f>
        <v/>
      </c>
      <c r="D159" s="588">
        <f>C126</f>
        <v/>
      </c>
      <c r="E159" s="588">
        <f>D126</f>
        <v/>
      </c>
      <c r="F159" s="589">
        <f>E126*1000</f>
        <v/>
      </c>
      <c r="G159" s="590">
        <f>G126*1000</f>
        <v/>
      </c>
      <c r="H159" s="235" t="n"/>
      <c r="I159" s="236">
        <f>SetPnt_N_3</f>
        <v/>
      </c>
      <c r="J159" s="587">
        <f>J136</f>
        <v/>
      </c>
    </row>
    <row r="160" outlineLevel="1">
      <c r="B160" s="236">
        <f>SetPnt_N_3</f>
        <v/>
      </c>
      <c r="C160" s="588">
        <f>B127</f>
        <v/>
      </c>
      <c r="D160" s="588">
        <f>C127</f>
        <v/>
      </c>
      <c r="E160" s="588">
        <f>D127</f>
        <v/>
      </c>
      <c r="F160" s="589">
        <f>E127*1000</f>
        <v/>
      </c>
      <c r="G160" s="590">
        <f>G127*1000</f>
        <v/>
      </c>
      <c r="H160" s="235" t="n"/>
      <c r="I160" s="236">
        <f>SetPnt_N_4</f>
        <v/>
      </c>
      <c r="J160" s="587">
        <f>J137</f>
        <v/>
      </c>
    </row>
    <row r="161" outlineLevel="1" ht="15" customHeight="1" thickBot="1">
      <c r="B161" s="236">
        <f>SetPnt_N_4</f>
        <v/>
      </c>
      <c r="C161" s="588">
        <f>B128</f>
        <v/>
      </c>
      <c r="D161" s="588">
        <f>C128</f>
        <v/>
      </c>
      <c r="E161" s="588">
        <f>D128</f>
        <v/>
      </c>
      <c r="F161" s="589">
        <f>E128*1000</f>
        <v/>
      </c>
      <c r="G161" s="590">
        <f>G128*1000</f>
        <v/>
      </c>
      <c r="H161" s="235" t="n"/>
      <c r="I161" s="241">
        <f>SetPnt_N_5</f>
        <v/>
      </c>
      <c r="J161" s="591">
        <f>J138</f>
        <v/>
      </c>
    </row>
    <row r="162" outlineLevel="1" ht="15" customHeight="1" thickBot="1">
      <c r="B162" s="241">
        <f>SetPnt_N_5</f>
        <v/>
      </c>
      <c r="C162" s="592">
        <f>B129*1000</f>
        <v/>
      </c>
      <c r="D162" s="592">
        <f>C129*1000</f>
        <v/>
      </c>
      <c r="E162" s="592">
        <f>D129*1000</f>
        <v/>
      </c>
      <c r="F162" s="592">
        <f>E129*1000</f>
        <v/>
      </c>
      <c r="G162" s="593">
        <f>G129*1000</f>
        <v/>
      </c>
      <c r="H162" s="235" t="n"/>
      <c r="I162" s="245" t="n"/>
      <c r="J162" s="245" t="n"/>
    </row>
    <row r="163" outlineLevel="1"/>
    <row r="165" ht="25.8" customHeight="1">
      <c r="A165" s="246" t="inlineStr">
        <is>
          <t>8. Incertezza su coefficineti globali Q1+Q3</t>
        </is>
      </c>
      <c r="B165" s="247" t="n"/>
      <c r="C165" s="247" t="n"/>
      <c r="D165" s="247" t="n"/>
      <c r="E165" s="247" t="n"/>
      <c r="F165" s="247" t="n"/>
      <c r="G165" s="247" t="n"/>
      <c r="H165" s="247" t="n"/>
      <c r="I165" s="247" t="n"/>
      <c r="J165" s="247" t="n"/>
      <c r="K165" s="247" t="n"/>
      <c r="L165" s="247" t="n"/>
      <c r="M165" s="247" t="n"/>
      <c r="N165" s="247" t="n"/>
      <c r="O165" s="247" t="n"/>
      <c r="P165" s="247" t="n"/>
      <c r="Q165" s="247" t="n"/>
      <c r="R165" s="247" t="n"/>
      <c r="S165" s="247" t="n"/>
      <c r="T165" s="247" t="n"/>
      <c r="U165" s="247" t="n"/>
      <c r="V165" s="247" t="n"/>
      <c r="W165" s="247" t="n"/>
      <c r="X165" s="247" t="n"/>
    </row>
    <row r="166" outlineLevel="1" ht="15" customHeight="1" thickBot="1"/>
    <row r="167" outlineLevel="1" ht="18.6" customHeight="1" thickBot="1">
      <c r="A167" s="148" t="inlineStr">
        <is>
          <t>Q1+Q3 Euramet</t>
        </is>
      </c>
      <c r="B167" s="149" t="inlineStr">
        <is>
          <t>H2</t>
        </is>
      </c>
      <c r="C167" s="149" t="inlineStr">
        <is>
          <t>H1</t>
        </is>
      </c>
      <c r="D167" s="150" t="inlineStr">
        <is>
          <t>H0</t>
        </is>
      </c>
      <c r="E167" s="151" t="n"/>
      <c r="F167" s="148" t="inlineStr">
        <is>
          <t>Q1+Q3 Euramet</t>
        </is>
      </c>
      <c r="G167" s="149" t="inlineStr">
        <is>
          <t>m</t>
        </is>
      </c>
      <c r="H167" s="150" t="inlineStr">
        <is>
          <t>q</t>
        </is>
      </c>
      <c r="M167" s="152" t="n"/>
      <c r="N167" s="152" t="n"/>
      <c r="O167" s="152" t="n"/>
    </row>
    <row r="168" outlineLevel="1" ht="15" customHeight="1" thickTop="1">
      <c r="A168" s="153">
        <f>CONCATENATE("Cert [",EUnits,"/V]")</f>
        <v/>
      </c>
      <c r="B168" s="559">
        <f>'Check Q1 vs Q3 '!P17</f>
        <v/>
      </c>
      <c r="C168" s="559">
        <f>'Check Q1 vs Q3 '!Q17</f>
        <v/>
      </c>
      <c r="D168" s="559">
        <f>'Check Q1 vs Q3 '!R17</f>
        <v/>
      </c>
      <c r="F168" s="156">
        <f>CONCATENATE("Cert [",EUnits,"/V]")</f>
        <v/>
      </c>
      <c r="G168" s="561">
        <f>'Check Q1 vs Q3 '!P13</f>
        <v/>
      </c>
      <c r="H168" s="562">
        <f>'Check Q1 vs Q3 '!Q13</f>
        <v/>
      </c>
      <c r="O168" s="152" t="n"/>
    </row>
    <row r="169" outlineLevel="1" ht="15" customHeight="1" thickBot="1">
      <c r="A169" s="113">
        <f>CONCATENATE("Cert [V/",EUnits,"]")</f>
        <v/>
      </c>
      <c r="B169" s="563">
        <f>'Check Q1 vs Q3 '!P18</f>
        <v/>
      </c>
      <c r="C169" s="563">
        <f>'Check Q1 vs Q3 '!Q18</f>
        <v/>
      </c>
      <c r="D169" s="564">
        <f>'Check Q1 vs Q3 '!R18</f>
        <v/>
      </c>
      <c r="F169" s="113">
        <f>CONCATENATE("Cert [V/",EUnits,"]")</f>
        <v/>
      </c>
      <c r="G169" s="565">
        <f>'Check Q1 vs Q3 '!P14</f>
        <v/>
      </c>
      <c r="H169" s="162">
        <f>'Check Q1 vs Q3 '!Q14</f>
        <v/>
      </c>
      <c r="O169" s="152" t="n"/>
    </row>
    <row r="170" outlineLevel="1"/>
    <row r="171" outlineLevel="1" ht="18.6" customHeight="1" thickBot="1">
      <c r="A171" s="87" t="inlineStr">
        <is>
          <t>8.1 Corretto (che cosa intenti Emanuele?)</t>
        </is>
      </c>
      <c r="B171" s="163" t="n"/>
      <c r="C171" s="163" t="n"/>
      <c r="D171" s="163" t="n"/>
      <c r="P171" s="152" t="n"/>
    </row>
    <row r="172" outlineLevel="1" ht="16.2" customHeight="1" thickBot="1">
      <c r="A172" s="164" t="inlineStr">
        <is>
          <t>Momento</t>
        </is>
      </c>
      <c r="B172" s="165" t="inlineStr">
        <is>
          <t>0°</t>
        </is>
      </c>
      <c r="C172" s="166" t="inlineStr">
        <is>
          <t>0°</t>
        </is>
      </c>
      <c r="D172" s="167" t="inlineStr">
        <is>
          <t>0°</t>
        </is>
      </c>
      <c r="E172" s="168" t="inlineStr">
        <is>
          <t>Salita 1</t>
        </is>
      </c>
      <c r="F172" s="166" t="inlineStr">
        <is>
          <t>Discesa 3</t>
        </is>
      </c>
      <c r="G172" s="167" t="inlineStr">
        <is>
          <t>Salita 2</t>
        </is>
      </c>
      <c r="H172" s="462" t="inlineStr">
        <is>
          <t>Interpolato
2° ordine</t>
        </is>
      </c>
      <c r="I172" s="463" t="inlineStr">
        <is>
          <t>Interpolato
1° ordine</t>
        </is>
      </c>
      <c r="J172" s="169" t="n"/>
      <c r="K172" s="458" t="inlineStr">
        <is>
          <t>X
medio</t>
        </is>
      </c>
      <c r="L172" s="458" t="inlineStr">
        <is>
          <t>b'
Ripetibilità</t>
        </is>
      </c>
      <c r="M172" s="458" t="inlineStr">
        <is>
          <t>b
Riproducibilità</t>
        </is>
      </c>
      <c r="N172" s="458" t="inlineStr">
        <is>
          <t>h
reversibilità</t>
        </is>
      </c>
      <c r="O172" s="458" t="inlineStr">
        <is>
          <t>fa
1° ordine</t>
        </is>
      </c>
      <c r="P172" s="458" t="inlineStr">
        <is>
          <t>fa
2° ordine</t>
        </is>
      </c>
      <c r="R172" s="459" t="inlineStr">
        <is>
          <t>Sequenza (per calcolo Reg Lin)</t>
        </is>
      </c>
      <c r="S172" s="529" t="n"/>
      <c r="T172" s="529" t="n"/>
    </row>
    <row r="173" outlineLevel="1" ht="29.4" customHeight="1" thickTop="1">
      <c r="A173" s="170" t="n"/>
      <c r="B173" s="171" t="inlineStr">
        <is>
          <t>Precarico</t>
        </is>
      </c>
      <c r="C173" s="172" t="inlineStr">
        <is>
          <t>Precarico</t>
        </is>
      </c>
      <c r="D173" s="173" t="inlineStr">
        <is>
          <t>Precarico</t>
        </is>
      </c>
      <c r="E173" s="174" t="inlineStr">
        <is>
          <t>Crescente</t>
        </is>
      </c>
      <c r="F173" s="172" t="inlineStr">
        <is>
          <t>Decrescente</t>
        </is>
      </c>
      <c r="G173" s="173" t="inlineStr">
        <is>
          <t>Crescente</t>
        </is>
      </c>
      <c r="H173" s="74" t="n"/>
      <c r="J173" s="169" t="n"/>
      <c r="R173" s="175" t="n"/>
      <c r="S173" s="176" t="inlineStr">
        <is>
          <t>WBA Out
[V]</t>
        </is>
      </c>
      <c r="T173" s="176" t="inlineStr">
        <is>
          <t>Set Point
#</t>
        </is>
      </c>
    </row>
    <row r="174" outlineLevel="1" ht="16.2" customHeight="1" thickBot="1">
      <c r="A174" s="177" t="inlineStr">
        <is>
          <t xml:space="preserve"> [Nm]</t>
        </is>
      </c>
      <c r="B174" s="178" t="inlineStr">
        <is>
          <t>[V]</t>
        </is>
      </c>
      <c r="C174" s="179" t="inlineStr">
        <is>
          <t>[V]</t>
        </is>
      </c>
      <c r="D174" s="180" t="inlineStr">
        <is>
          <t>[V]</t>
        </is>
      </c>
      <c r="E174" s="181" t="inlineStr">
        <is>
          <t>[V]</t>
        </is>
      </c>
      <c r="F174" s="179" t="inlineStr">
        <is>
          <t>[V]</t>
        </is>
      </c>
      <c r="G174" s="180" t="inlineStr">
        <is>
          <t>[V]</t>
        </is>
      </c>
      <c r="H174" s="74" t="n"/>
      <c r="J174" s="169" t="n"/>
      <c r="R174" s="182" t="inlineStr">
        <is>
          <t>1a rampa</t>
        </is>
      </c>
      <c r="S174" s="566">
        <f>E175</f>
        <v/>
      </c>
      <c r="T174" s="184">
        <f>SetPnt_N_0</f>
        <v/>
      </c>
    </row>
    <row r="175" outlineLevel="1" ht="15.6" customHeight="1">
      <c r="A175" s="185">
        <f>A124</f>
        <v/>
      </c>
      <c r="B175" s="594">
        <f>B124</f>
        <v/>
      </c>
      <c r="C175" s="594">
        <f>C124</f>
        <v/>
      </c>
      <c r="D175" s="594">
        <f>D124</f>
        <v/>
      </c>
      <c r="E175" s="594">
        <f>E124</f>
        <v/>
      </c>
      <c r="F175" s="568">
        <f>F124</f>
        <v/>
      </c>
      <c r="G175" s="594">
        <f>G124</f>
        <v/>
      </c>
      <c r="H175" s="569">
        <f>$B$169*A175^2 + $C$169*A175+$D$169</f>
        <v/>
      </c>
      <c r="I175" s="569">
        <f>A175*$G$169+$H$169</f>
        <v/>
      </c>
      <c r="J175" s="569" t="n"/>
      <c r="K175" s="569">
        <f>AVERAGE(E175:G175)</f>
        <v/>
      </c>
      <c r="L175" s="569">
        <f>ABS(E175-G175)</f>
        <v/>
      </c>
      <c r="M175" s="569">
        <f>SQRT((E175-K175)^2+(G175-K175)^2)</f>
        <v/>
      </c>
      <c r="N175" s="569">
        <f>(ABS(E175-F175) )</f>
        <v/>
      </c>
      <c r="O175" s="569">
        <f>I175-K175</f>
        <v/>
      </c>
      <c r="P175" s="569">
        <f>H175-K175</f>
        <v/>
      </c>
      <c r="R175" s="182" t="n"/>
      <c r="S175" s="566">
        <f>E176</f>
        <v/>
      </c>
      <c r="T175" s="189">
        <f>SetPnt_N_1</f>
        <v/>
      </c>
    </row>
    <row r="176" outlineLevel="1" ht="15.6" customHeight="1">
      <c r="A176" s="190">
        <f>A125</f>
        <v/>
      </c>
      <c r="B176" s="595">
        <f>B125</f>
        <v/>
      </c>
      <c r="C176" s="595">
        <f>C125</f>
        <v/>
      </c>
      <c r="D176" s="595">
        <f>D125</f>
        <v/>
      </c>
      <c r="E176" s="594">
        <f>E125</f>
        <v/>
      </c>
      <c r="F176" s="568">
        <f>F125</f>
        <v/>
      </c>
      <c r="G176" s="594">
        <f>G125</f>
        <v/>
      </c>
      <c r="H176" s="569">
        <f>$B$169*A176^2 + $C$169*A176+$D$169</f>
        <v/>
      </c>
      <c r="I176" s="569">
        <f>A176*$G$169+$H$169</f>
        <v/>
      </c>
      <c r="J176" s="569" t="n"/>
      <c r="K176" s="569">
        <f>AVERAGE(E176:G176)</f>
        <v/>
      </c>
      <c r="L176" s="569">
        <f>ABS(E176-G176)</f>
        <v/>
      </c>
      <c r="M176" s="569">
        <f>SQRT((E176-K176)^2+(G176-K176)^2)</f>
        <v/>
      </c>
      <c r="N176" s="569">
        <f>(ABS(E176-F176) )</f>
        <v/>
      </c>
      <c r="O176" s="569">
        <f>I176-K176</f>
        <v/>
      </c>
      <c r="P176" s="569">
        <f>H176-K176</f>
        <v/>
      </c>
      <c r="R176" s="182" t="n"/>
      <c r="S176" s="566">
        <f>E177</f>
        <v/>
      </c>
      <c r="T176" s="189">
        <f>SetPnt_N_2</f>
        <v/>
      </c>
    </row>
    <row r="177" outlineLevel="1" ht="15.6" customHeight="1">
      <c r="A177" s="190">
        <f>A126</f>
        <v/>
      </c>
      <c r="B177" s="595">
        <f>B126</f>
        <v/>
      </c>
      <c r="C177" s="595">
        <f>C126</f>
        <v/>
      </c>
      <c r="D177" s="595">
        <f>D126</f>
        <v/>
      </c>
      <c r="E177" s="594">
        <f>E126</f>
        <v/>
      </c>
      <c r="F177" s="568">
        <f>F126</f>
        <v/>
      </c>
      <c r="G177" s="594">
        <f>G126</f>
        <v/>
      </c>
      <c r="H177" s="569">
        <f>$B$169*A177^2 + $C$169*A177+$D$169</f>
        <v/>
      </c>
      <c r="I177" s="569">
        <f>A177*$G$169+$H$169</f>
        <v/>
      </c>
      <c r="J177" s="569" t="n"/>
      <c r="K177" s="569">
        <f>AVERAGE(E177:G177)</f>
        <v/>
      </c>
      <c r="L177" s="569">
        <f>ABS(E177-G177)</f>
        <v/>
      </c>
      <c r="M177" s="569">
        <f>SQRT((E177-K177)^2+(G177-K177)^2)</f>
        <v/>
      </c>
      <c r="N177" s="569">
        <f>(ABS(E177-F177) )</f>
        <v/>
      </c>
      <c r="O177" s="569">
        <f>I177-K177</f>
        <v/>
      </c>
      <c r="P177" s="569">
        <f>H177-K177</f>
        <v/>
      </c>
      <c r="R177" s="182" t="n"/>
      <c r="S177" s="566">
        <f>E178</f>
        <v/>
      </c>
      <c r="T177" s="189">
        <f>SetPnt_N_3</f>
        <v/>
      </c>
    </row>
    <row r="178" outlineLevel="1" ht="15.6" customHeight="1">
      <c r="A178" s="190">
        <f>A127</f>
        <v/>
      </c>
      <c r="B178" s="595">
        <f>B127</f>
        <v/>
      </c>
      <c r="C178" s="595">
        <f>C127</f>
        <v/>
      </c>
      <c r="D178" s="595">
        <f>D127</f>
        <v/>
      </c>
      <c r="E178" s="594">
        <f>E127</f>
        <v/>
      </c>
      <c r="F178" s="568">
        <f>F127</f>
        <v/>
      </c>
      <c r="G178" s="594">
        <f>G127</f>
        <v/>
      </c>
      <c r="H178" s="569">
        <f>$B$169*A178^2 + $C$169*A178+$D$169</f>
        <v/>
      </c>
      <c r="I178" s="569">
        <f>A178*$G$169+$H$169</f>
        <v/>
      </c>
      <c r="J178" s="569" t="n"/>
      <c r="K178" s="569">
        <f>AVERAGE(E178:G178)</f>
        <v/>
      </c>
      <c r="L178" s="569">
        <f>ABS(E178-G178)</f>
        <v/>
      </c>
      <c r="M178" s="569">
        <f>SQRT((E178-K178)^2+(G178-K178)^2)</f>
        <v/>
      </c>
      <c r="N178" s="569">
        <f>(ABS(E178-F178) )</f>
        <v/>
      </c>
      <c r="O178" s="569">
        <f>I178-K178</f>
        <v/>
      </c>
      <c r="P178" s="569">
        <f>H178-K178</f>
        <v/>
      </c>
      <c r="R178" s="182" t="n"/>
      <c r="S178" s="566">
        <f>E179</f>
        <v/>
      </c>
      <c r="T178" s="189">
        <f>SetPnt_N_4</f>
        <v/>
      </c>
    </row>
    <row r="179" outlineLevel="1" ht="15.6" customHeight="1">
      <c r="A179" s="190">
        <f>A128</f>
        <v/>
      </c>
      <c r="B179" s="595">
        <f>B128</f>
        <v/>
      </c>
      <c r="C179" s="595">
        <f>C128</f>
        <v/>
      </c>
      <c r="D179" s="595">
        <f>D128</f>
        <v/>
      </c>
      <c r="E179" s="594">
        <f>E128</f>
        <v/>
      </c>
      <c r="F179" s="568">
        <f>F128</f>
        <v/>
      </c>
      <c r="G179" s="594">
        <f>G128</f>
        <v/>
      </c>
      <c r="H179" s="569">
        <f>$B$169*A179^2 + $C$169*A179+$D$169</f>
        <v/>
      </c>
      <c r="I179" s="569">
        <f>A179*$G$169+$H$169</f>
        <v/>
      </c>
      <c r="J179" s="569" t="n"/>
      <c r="K179" s="569">
        <f>AVERAGE(E179:G179)</f>
        <v/>
      </c>
      <c r="L179" s="569">
        <f>ABS(E179-G179)</f>
        <v/>
      </c>
      <c r="M179" s="569">
        <f>SQRT((E179-K179)^2+(G179-K179)^2)</f>
        <v/>
      </c>
      <c r="N179" s="569">
        <f>(ABS(E179-F179) )</f>
        <v/>
      </c>
      <c r="O179" s="569">
        <f>I179-K179</f>
        <v/>
      </c>
      <c r="P179" s="569">
        <f>H179-K179</f>
        <v/>
      </c>
      <c r="R179" s="192" t="n"/>
      <c r="S179" s="571">
        <f>E180</f>
        <v/>
      </c>
      <c r="T179" s="189">
        <f>SetPnt_N_5</f>
        <v/>
      </c>
    </row>
    <row r="180" outlineLevel="1" ht="15.6" customHeight="1">
      <c r="A180" s="190">
        <f>A129</f>
        <v/>
      </c>
      <c r="B180" s="594">
        <f>B129</f>
        <v/>
      </c>
      <c r="C180" s="594">
        <f>C129</f>
        <v/>
      </c>
      <c r="D180" s="594">
        <f>D129</f>
        <v/>
      </c>
      <c r="E180" s="594">
        <f>E129</f>
        <v/>
      </c>
      <c r="F180" s="568">
        <f>F129</f>
        <v/>
      </c>
      <c r="G180" s="594">
        <f>G129</f>
        <v/>
      </c>
      <c r="H180" s="569">
        <f>$B$169*A180^2 + $C$169*A180+$D$169</f>
        <v/>
      </c>
      <c r="I180" s="569">
        <f>A180*$G$169+$H$169</f>
        <v/>
      </c>
      <c r="J180" s="569" t="n"/>
      <c r="K180" s="569">
        <f>AVERAGE(E180:G180)</f>
        <v/>
      </c>
      <c r="L180" s="569">
        <f>ABS(E180-G180)</f>
        <v/>
      </c>
      <c r="M180" s="569">
        <f>SQRT((E180-K180)^2+(G180-K180)^2)</f>
        <v/>
      </c>
      <c r="N180" s="569">
        <f>(ABS(E180-F180) )</f>
        <v/>
      </c>
      <c r="O180" s="569">
        <f>I180-K180</f>
        <v/>
      </c>
      <c r="P180" s="569">
        <f>H180-K180</f>
        <v/>
      </c>
      <c r="R180" s="182" t="inlineStr">
        <is>
          <t>2a rampa</t>
        </is>
      </c>
      <c r="S180" s="566">
        <f>G175</f>
        <v/>
      </c>
      <c r="T180" s="184">
        <f>SetPnt_N_0</f>
        <v/>
      </c>
    </row>
    <row r="181" outlineLevel="1">
      <c r="P181" s="549" t="n"/>
      <c r="R181" s="195" t="n"/>
      <c r="S181" s="566">
        <f>G176</f>
        <v/>
      </c>
      <c r="T181" s="189">
        <f>SetPnt_N_1</f>
        <v/>
      </c>
    </row>
    <row r="182" outlineLevel="1" ht="18.6" customHeight="1" thickBot="1">
      <c r="A182" s="87" t="inlineStr">
        <is>
          <t>8.2 w(X) incertezza (funziona quando vi sono presenti i valori per la curva di discesa)</t>
        </is>
      </c>
      <c r="P182" s="549" t="n"/>
      <c r="R182" s="195" t="n"/>
      <c r="S182" s="566">
        <f>G177</f>
        <v/>
      </c>
      <c r="T182" s="189">
        <f>SetPnt_N_2</f>
        <v/>
      </c>
    </row>
    <row r="183" outlineLevel="1" ht="15" customHeight="1" thickBot="1">
      <c r="A183" s="250" t="inlineStr">
        <is>
          <t>Coppia</t>
        </is>
      </c>
      <c r="B183" s="198" t="inlineStr">
        <is>
          <t>wb'</t>
        </is>
      </c>
      <c r="C183" s="198" t="inlineStr">
        <is>
          <t>wb</t>
        </is>
      </c>
      <c r="D183" s="198" t="inlineStr">
        <is>
          <t>wr</t>
        </is>
      </c>
      <c r="E183" s="198" t="inlineStr">
        <is>
          <t>w fa 1°</t>
        </is>
      </c>
      <c r="F183" s="198" t="inlineStr">
        <is>
          <t>w(X)</t>
        </is>
      </c>
      <c r="G183" s="198" t="inlineStr">
        <is>
          <t>W(X)=2*w</t>
        </is>
      </c>
      <c r="H183" s="198" t="inlineStr">
        <is>
          <t>w fa 2°</t>
        </is>
      </c>
      <c r="I183" s="198" t="inlineStr">
        <is>
          <t>w(X)</t>
        </is>
      </c>
      <c r="J183" s="198" t="inlineStr">
        <is>
          <t>W(X)=2*w</t>
        </is>
      </c>
      <c r="K183" s="74" t="n"/>
      <c r="M183" s="152" t="n"/>
      <c r="N183" s="198" t="inlineStr">
        <is>
          <t>wr</t>
        </is>
      </c>
      <c r="P183" s="549" t="n"/>
      <c r="R183" s="110" t="n"/>
      <c r="S183" s="566">
        <f>G178</f>
        <v/>
      </c>
      <c r="T183" s="189">
        <f>SetPnt_N_3</f>
        <v/>
      </c>
    </row>
    <row r="184" outlineLevel="1">
      <c r="A184" s="5">
        <f>SetPnt_N_0</f>
        <v/>
      </c>
      <c r="B184" s="199">
        <f>L175*100 / (SQRT(2)*K175)</f>
        <v/>
      </c>
      <c r="C184" s="199">
        <f>M175*100 / (SQRT(2)*K175)</f>
        <v/>
      </c>
      <c r="D184" s="199" t="n">
        <v>0.469</v>
      </c>
      <c r="E184" s="199">
        <f>ABS(O175)*100 / (SQRT(6)*I175)</f>
        <v/>
      </c>
      <c r="F184" s="199">
        <f>SQRT((B184^2 + C184^2+D184^2+E184^2))</f>
        <v/>
      </c>
      <c r="G184" s="573">
        <f>F184*2</f>
        <v/>
      </c>
      <c r="H184" s="572">
        <f>ABS(P175)*100 / (SQRT(6)*H175)</f>
        <v/>
      </c>
      <c r="I184" s="199">
        <f>SQRT((B184^2 + C184^2+H184^2+D184^2))</f>
        <v/>
      </c>
      <c r="J184" s="199">
        <f>I184*2</f>
        <v/>
      </c>
      <c r="M184" s="152" t="n"/>
      <c r="N184" s="202" t="n">
        <v>0.469</v>
      </c>
      <c r="P184" s="549" t="n"/>
      <c r="R184" s="110" t="n"/>
      <c r="S184" s="566">
        <f>G179</f>
        <v/>
      </c>
      <c r="T184" s="189">
        <f>SetPnt_N_4</f>
        <v/>
      </c>
    </row>
    <row r="185" outlineLevel="1">
      <c r="A185" s="190">
        <f>SetPnt_N_1</f>
        <v/>
      </c>
      <c r="B185" s="199">
        <f>L176*100 / (SQRT(2)*K176)</f>
        <v/>
      </c>
      <c r="C185" s="199">
        <f>M176*100 / (SQRT(2)*K176)</f>
        <v/>
      </c>
      <c r="D185" s="199" t="n">
        <v>0.109</v>
      </c>
      <c r="E185" s="199">
        <f>ABS(O176)*100 / (SQRT(6)*I176)</f>
        <v/>
      </c>
      <c r="F185" s="199">
        <f>SQRT((B185^2 + C185^2+D185^2+E185^2))</f>
        <v/>
      </c>
      <c r="G185" s="573">
        <f>F185*2</f>
        <v/>
      </c>
      <c r="H185" s="572">
        <f>ABS(P176)*100 / (SQRT(6)*H176)</f>
        <v/>
      </c>
      <c r="I185" s="199">
        <f>SQRT((B185^2 + C185^2+H185^2+D185^2))</f>
        <v/>
      </c>
      <c r="J185" s="574">
        <f>I185*2</f>
        <v/>
      </c>
      <c r="M185" s="152" t="n"/>
      <c r="N185" s="202" t="n">
        <v>0.469</v>
      </c>
      <c r="P185" s="549" t="n"/>
      <c r="R185" s="110" t="n"/>
      <c r="S185" s="566">
        <f>G180</f>
        <v/>
      </c>
      <c r="T185" s="189">
        <f>SetPnt_N_5</f>
        <v/>
      </c>
    </row>
    <row r="186" outlineLevel="1">
      <c r="A186" s="190">
        <f>SetPnt_N_2</f>
        <v/>
      </c>
      <c r="B186" s="199">
        <f>L177*100 / (SQRT(2)*K177)</f>
        <v/>
      </c>
      <c r="C186" s="199">
        <f>M177*100 / (SQRT(2)*K177)</f>
        <v/>
      </c>
      <c r="D186" s="199" t="n">
        <v>0.109</v>
      </c>
      <c r="E186" s="199">
        <f>ABS(O177)*100 / (SQRT(6)*I177)</f>
        <v/>
      </c>
      <c r="F186" s="199">
        <f>SQRT((B186^2 + C186^2+D186^2+E186^2))</f>
        <v/>
      </c>
      <c r="G186" s="573">
        <f>F186*2</f>
        <v/>
      </c>
      <c r="H186" s="572">
        <f>ABS(P177)*100 / (SQRT(6)*H177)</f>
        <v/>
      </c>
      <c r="I186" s="199">
        <f>SQRT((B186^2 + C186^2+H186^2+D186^2))</f>
        <v/>
      </c>
      <c r="J186" s="574">
        <f>I186*2</f>
        <v/>
      </c>
      <c r="M186" s="152" t="n"/>
      <c r="N186" s="202" t="n">
        <v>0.109</v>
      </c>
      <c r="P186" s="549" t="n"/>
    </row>
    <row r="187" outlineLevel="1">
      <c r="A187" s="190">
        <f>SetPnt_N_3</f>
        <v/>
      </c>
      <c r="B187" s="199">
        <f>L178*100 / (SQRT(2)*K178)</f>
        <v/>
      </c>
      <c r="C187" s="199">
        <f>M178*100 / (SQRT(2)*K178)</f>
        <v/>
      </c>
      <c r="D187" s="199" t="n">
        <v>0.109</v>
      </c>
      <c r="E187" s="199">
        <f>ABS(O178)*100 / (SQRT(6)*I178)</f>
        <v/>
      </c>
      <c r="F187" s="199">
        <f>SQRT((B187^2 + C187^2+D187^2+E187^2))</f>
        <v/>
      </c>
      <c r="G187" s="573">
        <f>F187*2</f>
        <v/>
      </c>
      <c r="H187" s="572">
        <f>ABS(P178)*100 / (SQRT(6)*H178)</f>
        <v/>
      </c>
      <c r="I187" s="199">
        <f>SQRT((B187^2 + C187^2+H187^2+D187^2))</f>
        <v/>
      </c>
      <c r="J187" s="574">
        <f>I187*2</f>
        <v/>
      </c>
      <c r="M187" s="152" t="n"/>
      <c r="N187" s="202" t="n">
        <v>0.109</v>
      </c>
      <c r="P187" s="549" t="n"/>
    </row>
    <row r="188" outlineLevel="1">
      <c r="A188" s="190">
        <f>SetPnt_N_4</f>
        <v/>
      </c>
      <c r="B188" s="199">
        <f>L179*100 / (SQRT(2)*K179)</f>
        <v/>
      </c>
      <c r="C188" s="199">
        <f>M179*100 / (SQRT(2)*K179)</f>
        <v/>
      </c>
      <c r="D188" s="199" t="n">
        <v>0.108</v>
      </c>
      <c r="E188" s="199">
        <f>ABS(O179)*100 / (SQRT(6)*I179)</f>
        <v/>
      </c>
      <c r="F188" s="199">
        <f>SQRT((B188^2 + C188^2+D188^2+E188^2))</f>
        <v/>
      </c>
      <c r="G188" s="573">
        <f>F188*2</f>
        <v/>
      </c>
      <c r="H188" s="572">
        <f>ABS(P179)*100 / (SQRT(6)*H179)</f>
        <v/>
      </c>
      <c r="I188" s="199">
        <f>SQRT((B188^2 + C188^2+H188^2+D188^2))</f>
        <v/>
      </c>
      <c r="J188" s="574">
        <f>I188*2</f>
        <v/>
      </c>
      <c r="M188" s="152" t="n"/>
      <c r="N188" s="202" t="n">
        <v>0.108</v>
      </c>
      <c r="P188" s="549" t="n"/>
    </row>
    <row r="189" outlineLevel="1">
      <c r="A189" s="190">
        <f>SetPnt_N_5</f>
        <v/>
      </c>
      <c r="B189" s="199">
        <f>L180*100 / (SQRT(2)*K180)</f>
        <v/>
      </c>
      <c r="C189" s="199">
        <f>M180*100 / (SQRT(2)*K180)</f>
        <v/>
      </c>
      <c r="D189" s="199" t="n">
        <v>0.098</v>
      </c>
      <c r="E189" s="199">
        <f>ABS(O180)*100 / (SQRT(6)*I180)</f>
        <v/>
      </c>
      <c r="F189" s="199">
        <f>SQRT((B189^2 + C189^2+D189^2+E189^2))</f>
        <v/>
      </c>
      <c r="G189" s="573">
        <f>F189*2</f>
        <v/>
      </c>
      <c r="H189" s="572">
        <f>ABS(P180)*100 / (SQRT(6)*H180)</f>
        <v/>
      </c>
      <c r="I189" s="199">
        <f>SQRT((B189^2 + C189^2+H189^2+D189^2))</f>
        <v/>
      </c>
      <c r="J189" s="574">
        <f>I189*2</f>
        <v/>
      </c>
      <c r="M189" s="152" t="n"/>
      <c r="N189" s="202" t="n">
        <v>0.098</v>
      </c>
    </row>
    <row r="192" ht="16.2" customHeight="1">
      <c r="A192" t="inlineStr">
        <is>
          <t>3.  Incertezza stimata con coefficienti punto 1. 3o QUADRANTE (Coppia Negativa)</t>
        </is>
      </c>
      <c r="B192" s="52" t="n"/>
      <c r="I192" s="485" t="n"/>
    </row>
    <row r="193" ht="15" customHeight="1" thickBot="1">
      <c r="A193" s="52" t="n"/>
      <c r="B193" s="52" t="n"/>
      <c r="I193" s="485" t="n"/>
    </row>
    <row r="194">
      <c r="A194" s="52" t="n"/>
      <c r="C194" s="460" t="inlineStr">
        <is>
          <t>Coppia</t>
        </is>
      </c>
      <c r="D194" s="596" t="n"/>
      <c r="E194" s="392">
        <f>A185</f>
        <v/>
      </c>
      <c r="F194" s="392">
        <f>A186</f>
        <v/>
      </c>
      <c r="G194" s="392">
        <f>A187</f>
        <v/>
      </c>
      <c r="H194" s="392">
        <f>A188</f>
        <v/>
      </c>
      <c r="I194" s="393">
        <f>A189</f>
        <v/>
      </c>
    </row>
    <row r="195" ht="15" customHeight="1" thickBot="1">
      <c r="A195" s="52" t="n"/>
      <c r="C195" s="456" t="inlineStr">
        <is>
          <t>Incertezza %</t>
        </is>
      </c>
      <c r="D195" s="597" t="n"/>
      <c r="E195" s="598">
        <f>1/100*J185</f>
        <v/>
      </c>
      <c r="F195" s="598">
        <f>1/100*J186</f>
        <v/>
      </c>
      <c r="G195" s="598">
        <f>1/100*J187</f>
        <v/>
      </c>
      <c r="H195" s="598">
        <f>1/100*J188</f>
        <v/>
      </c>
      <c r="I195" s="599">
        <f>1/100*J189</f>
        <v/>
      </c>
    </row>
  </sheetData>
  <mergeCells count="32">
    <mergeCell ref="J155:J156"/>
    <mergeCell ref="G21:H21"/>
    <mergeCell ref="Q38:S38"/>
    <mergeCell ref="L50:O50"/>
    <mergeCell ref="P172:P174"/>
    <mergeCell ref="C195:D195"/>
    <mergeCell ref="N172:N174"/>
    <mergeCell ref="P121:P123"/>
    <mergeCell ref="G50:J50"/>
    <mergeCell ref="K121:K123"/>
    <mergeCell ref="K172:K174"/>
    <mergeCell ref="H172:H174"/>
    <mergeCell ref="R121:T121"/>
    <mergeCell ref="I172:I174"/>
    <mergeCell ref="M121:M123"/>
    <mergeCell ref="O121:O123"/>
    <mergeCell ref="I155:I156"/>
    <mergeCell ref="H121:H123"/>
    <mergeCell ref="C21:D21"/>
    <mergeCell ref="G38:J38"/>
    <mergeCell ref="C194:D194"/>
    <mergeCell ref="N121:N123"/>
    <mergeCell ref="O172:O174"/>
    <mergeCell ref="L121:L123"/>
    <mergeCell ref="L172:L174"/>
    <mergeCell ref="R172:T172"/>
    <mergeCell ref="B38:E38"/>
    <mergeCell ref="M172:M174"/>
    <mergeCell ref="I121:I123"/>
    <mergeCell ref="L38:O38"/>
    <mergeCell ref="B21:B22"/>
    <mergeCell ref="E21:F21"/>
  </mergeCells>
  <pageMargins left="0.7" right="0.7" top="0.75" bottom="0.75" header="0.511811023622047" footer="0.511811023622047"/>
  <pageSetup orientation="portrait" paperSize="9" horizontalDpi="300" verticalDpi="300"/>
  <legacyDrawing r:id="anysvml"/>
</worksheet>
</file>

<file path=xl/worksheets/sheet5.xml><?xml version="1.0" encoding="utf-8"?>
<worksheet xmlns="http://schemas.openxmlformats.org/spreadsheetml/2006/main">
  <sheetPr>
    <tabColor rgb="FFFFFF00"/>
    <outlinePr summaryBelow="1" summaryRight="1"/>
    <pageSetUpPr/>
  </sheetPr>
  <dimension ref="A1:R36"/>
  <sheetViews>
    <sheetView zoomScaleNormal="100" workbookViewId="0">
      <selection activeCell="D3" sqref="D3"/>
    </sheetView>
  </sheetViews>
  <sheetFormatPr baseColWidth="8" defaultColWidth="8.5546875" defaultRowHeight="14.4"/>
  <cols>
    <col width="9" customWidth="1" min="2" max="2"/>
    <col width="13.5546875" customWidth="1" min="3" max="3"/>
    <col width="12.109375" customWidth="1" min="4" max="5"/>
    <col width="10.5546875" customWidth="1" min="6" max="6"/>
    <col width="13.109375" customWidth="1" min="8" max="8"/>
    <col width="13.44140625" customWidth="1" min="9" max="10"/>
    <col width="11.44140625" bestFit="1" customWidth="1" min="14" max="14"/>
    <col width="9.5546875" bestFit="1" customWidth="1" min="16" max="16"/>
    <col width="12.6640625" bestFit="1" customWidth="1" min="17" max="17"/>
    <col width="11.5546875" bestFit="1" customWidth="1" min="18" max="18"/>
    <col width="12.33203125" bestFit="1" customWidth="1" min="19" max="19"/>
    <col width="9.5546875" bestFit="1" customWidth="1" min="20" max="20"/>
    <col width="12.6640625" bestFit="1" customWidth="1" min="21" max="21"/>
  </cols>
  <sheetData>
    <row r="1" ht="15" customHeight="1" thickBot="1">
      <c r="A1" t="inlineStr">
        <is>
          <t>Riporto dati misurati</t>
        </is>
      </c>
    </row>
    <row r="2" ht="21.6" customHeight="1" thickBot="1">
      <c r="B2" t="inlineStr">
        <is>
          <t>Set Point</t>
        </is>
      </c>
      <c r="C2" s="251" t="inlineStr">
        <is>
          <t>WBA 2.0 [Nm]</t>
        </is>
      </c>
      <c r="D2" t="inlineStr">
        <is>
          <t>WBA Out [V]</t>
        </is>
      </c>
      <c r="F2" s="252" t="inlineStr">
        <is>
          <t>Q1+Q3</t>
        </is>
      </c>
      <c r="G2" s="253" t="n"/>
      <c r="H2" s="253" t="n"/>
      <c r="I2" s="253" t="n"/>
      <c r="J2" s="254" t="n"/>
      <c r="O2" s="263" t="inlineStr">
        <is>
          <t>CANCELLAMI quando non servo più</t>
        </is>
      </c>
      <c r="P2" s="264" t="n"/>
      <c r="Q2" s="264" t="n"/>
      <c r="R2" s="265" t="n"/>
    </row>
    <row r="3" ht="18" customHeight="1">
      <c r="A3" s="476" t="inlineStr">
        <is>
          <t>Q1
POSITIVO</t>
        </is>
      </c>
      <c r="B3" s="62">
        <f>'1°Q - Positivo'!Q40</f>
        <v/>
      </c>
      <c r="C3" s="255">
        <f>'1°Q - Positivo'!R40</f>
        <v/>
      </c>
      <c r="D3" s="602">
        <f>'1°Q - Positivo'!S40</f>
        <v/>
      </c>
      <c r="F3" s="257" t="n"/>
      <c r="G3" s="108" t="inlineStr">
        <is>
          <t>Q1+Q3</t>
        </is>
      </c>
      <c r="H3" s="109" t="inlineStr">
        <is>
          <t>m</t>
        </is>
      </c>
      <c r="I3" s="96" t="inlineStr">
        <is>
          <t>q</t>
        </is>
      </c>
      <c r="J3" s="258" t="n"/>
      <c r="O3" s="267" t="n"/>
      <c r="P3" s="132" t="inlineStr">
        <is>
          <t>ferrar</t>
        </is>
      </c>
      <c r="Q3" s="132" t="inlineStr">
        <is>
          <t>mas</t>
        </is>
      </c>
      <c r="R3" s="268" t="inlineStr">
        <is>
          <t>ferr 2nd</t>
        </is>
      </c>
    </row>
    <row r="4" ht="15" customHeight="1" thickBot="1">
      <c r="B4" s="259">
        <f>'1°Q - Positivo'!Q41</f>
        <v/>
      </c>
      <c r="C4" s="255">
        <f>'1°Q - Positivo'!R41</f>
        <v/>
      </c>
      <c r="D4" s="602">
        <f>'1°Q - Positivo'!S41</f>
        <v/>
      </c>
      <c r="F4" s="260" t="inlineStr">
        <is>
          <t>Lineare</t>
        </is>
      </c>
      <c r="G4" s="111" t="inlineStr">
        <is>
          <t xml:space="preserve"> [Nm/V]</t>
        </is>
      </c>
      <c r="H4" s="537">
        <f>SLOPE(C3:C26,D3:D26)</f>
        <v/>
      </c>
      <c r="I4" s="536">
        <f>INTERCEPT(C3:C26,D3:D26)</f>
        <v/>
      </c>
      <c r="J4" s="258" t="n"/>
      <c r="O4" s="267" t="inlineStr">
        <is>
          <t>post</t>
        </is>
      </c>
      <c r="P4" s="270" t="n">
        <v>0.5016619</v>
      </c>
      <c r="Q4" s="270" t="n">
        <v>1.138111</v>
      </c>
      <c r="R4" s="268" t="n">
        <v>0.49718842487348</v>
      </c>
    </row>
    <row r="5" ht="15" customHeight="1" thickBot="1">
      <c r="B5" s="259">
        <f>'1°Q - Positivo'!Q42</f>
        <v/>
      </c>
      <c r="C5" s="255">
        <f>'1°Q - Positivo'!R42</f>
        <v/>
      </c>
      <c r="D5" s="602">
        <f>'1°Q - Positivo'!S42</f>
        <v/>
      </c>
      <c r="F5" s="260" t="inlineStr">
        <is>
          <t>(1° ordine)</t>
        </is>
      </c>
      <c r="G5" s="113" t="inlineStr">
        <is>
          <t xml:space="preserve"> [V/Nm]</t>
        </is>
      </c>
      <c r="H5" s="538">
        <f>SLOPE(D3:D26,C3:C26)</f>
        <v/>
      </c>
      <c r="I5" s="539">
        <f>INTERCEPT(D3:D26,C3:C26)</f>
        <v/>
      </c>
      <c r="J5" s="258" t="n"/>
      <c r="O5" s="267" t="inlineStr">
        <is>
          <t>neg</t>
        </is>
      </c>
      <c r="P5" s="270" t="n">
        <v>0.4979638</v>
      </c>
      <c r="Q5" s="270" t="n">
        <v>1.123381</v>
      </c>
      <c r="R5" s="268" t="n">
        <v>0.5010787812970831</v>
      </c>
    </row>
    <row r="6" ht="15" customHeight="1" thickBot="1">
      <c r="B6" s="259">
        <f>'1°Q - Positivo'!Q43</f>
        <v/>
      </c>
      <c r="C6" s="255">
        <f>'1°Q - Positivo'!R43</f>
        <v/>
      </c>
      <c r="D6" s="602">
        <f>'1°Q - Positivo'!S43</f>
        <v/>
      </c>
      <c r="F6" s="260" t="n"/>
      <c r="G6" s="261" t="n"/>
      <c r="H6" s="262" t="n"/>
      <c r="I6" s="262" t="n"/>
      <c r="J6" s="258" t="n"/>
      <c r="O6" s="275" t="n"/>
      <c r="P6" s="276">
        <f>2*(P4-P5)/(P4+P5)</f>
        <v/>
      </c>
      <c r="Q6" s="276">
        <f>2*(Q4-Q5)/(Q4+Q5)</f>
        <v/>
      </c>
      <c r="R6" s="277">
        <f>2*(R4-R5)/(R4+R5)</f>
        <v/>
      </c>
    </row>
    <row r="7" ht="18" customHeight="1">
      <c r="B7" s="259">
        <f>'1°Q - Positivo'!Q44</f>
        <v/>
      </c>
      <c r="C7" s="255">
        <f>'1°Q - Positivo'!R44</f>
        <v/>
      </c>
      <c r="D7" s="602">
        <f>'1°Q - Positivo'!S44</f>
        <v/>
      </c>
      <c r="F7" s="260" t="n"/>
      <c r="G7" s="108" t="inlineStr">
        <is>
          <t>Q1+Q3</t>
        </is>
      </c>
      <c r="H7" s="109" t="inlineStr">
        <is>
          <t>H2</t>
        </is>
      </c>
      <c r="I7" s="109" t="inlineStr">
        <is>
          <t>H1</t>
        </is>
      </c>
      <c r="J7" s="266" t="inlineStr">
        <is>
          <t>H0</t>
        </is>
      </c>
    </row>
    <row r="8" ht="15" customHeight="1" thickBot="1">
      <c r="B8" s="259">
        <f>'1°Q - Positivo'!Q45</f>
        <v/>
      </c>
      <c r="C8" s="255">
        <f>'1°Q - Positivo'!R45</f>
        <v/>
      </c>
      <c r="D8" s="602">
        <f>'1°Q - Positivo'!S45</f>
        <v/>
      </c>
      <c r="F8" s="260" t="inlineStr">
        <is>
          <t>Quadratica</t>
        </is>
      </c>
      <c r="G8" s="111" t="inlineStr">
        <is>
          <t>Nm/V</t>
        </is>
      </c>
      <c r="H8" s="540">
        <f>INDEX(LINEST(C3:C26,(D3:D26)^{1,2}),1)</f>
        <v/>
      </c>
      <c r="I8" s="540">
        <f>INDEX(LINEST(C3:C26,(D3:D26)^{1,2}),1,2)</f>
        <v/>
      </c>
      <c r="J8" s="603">
        <f>INDEX(LINEST(C3:C26,(D3:D26)^{1,2}),1,3)</f>
        <v/>
      </c>
    </row>
    <row r="9" ht="15" customHeight="1" thickBot="1">
      <c r="B9" s="62">
        <f>'1°Q - Positivo'!Q46</f>
        <v/>
      </c>
      <c r="C9" s="255">
        <f>'1°Q - Positivo'!R46</f>
        <v/>
      </c>
      <c r="D9" s="602">
        <f>'1°Q - Positivo'!S46</f>
        <v/>
      </c>
      <c r="F9" s="271" t="inlineStr">
        <is>
          <t>(2° oridne)</t>
        </is>
      </c>
      <c r="G9" s="272" t="inlineStr">
        <is>
          <t>V/Nm</t>
        </is>
      </c>
      <c r="H9" s="604">
        <f t="array" ref="H9">_xlfn.SINGLE(INDEX(LINEST(D3:D26,(C3:C26)^{1,2}),1))</f>
        <v/>
      </c>
      <c r="I9" s="604">
        <f t="array" ref="I9">INDEX(LINEST(D3:D26,(C3:C26)^{1,2}),1,2)</f>
        <v/>
      </c>
      <c r="J9" s="605">
        <f>INDEX(LINEST(D3:D26,(C3:C26)^{1,2}),1,3)</f>
        <v/>
      </c>
    </row>
    <row r="10" ht="15" customHeight="1" thickBot="1">
      <c r="B10" s="259">
        <f>'1°Q - Positivo'!Q47</f>
        <v/>
      </c>
      <c r="C10" s="255">
        <f>'1°Q - Positivo'!R47</f>
        <v/>
      </c>
      <c r="D10" s="602">
        <f>'1°Q - Positivo'!S47</f>
        <v/>
      </c>
    </row>
    <row r="11" ht="21.6" customHeight="1" thickBot="1">
      <c r="B11" s="259">
        <f>'1°Q - Positivo'!Q48</f>
        <v/>
      </c>
      <c r="C11" s="255">
        <f>'1°Q - Positivo'!R48</f>
        <v/>
      </c>
      <c r="D11" s="602">
        <f>'1°Q - Positivo'!S48</f>
        <v/>
      </c>
      <c r="F11" s="278" t="inlineStr">
        <is>
          <t>Q1</t>
        </is>
      </c>
      <c r="G11" s="279" t="n"/>
      <c r="H11" s="279" t="n"/>
      <c r="I11" s="279" t="n"/>
      <c r="J11" s="280" t="n"/>
      <c r="N11" s="606" t="inlineStr">
        <is>
          <t>Valori scelti per Q1+Q3</t>
        </is>
      </c>
      <c r="O11" s="64" t="n"/>
      <c r="P11" s="64" t="n"/>
      <c r="Q11" s="64" t="n"/>
      <c r="R11" s="65" t="n"/>
    </row>
    <row r="12" ht="18" customHeight="1">
      <c r="B12" s="259">
        <f>'1°Q - Positivo'!Q49</f>
        <v/>
      </c>
      <c r="C12" s="255">
        <f>'1°Q - Positivo'!R49</f>
        <v/>
      </c>
      <c r="D12" s="602">
        <f>'1°Q - Positivo'!S49</f>
        <v/>
      </c>
      <c r="F12" s="29" t="n"/>
      <c r="G12" s="108">
        <f>'1°Q - Positivo'!B58</f>
        <v/>
      </c>
      <c r="H12" s="109">
        <f>'1°Q - Positivo'!C58</f>
        <v/>
      </c>
      <c r="I12" s="96">
        <f>'1°Q - Positivo'!D58</f>
        <v/>
      </c>
      <c r="J12" s="281" t="n"/>
      <c r="L12" t="inlineStr">
        <is>
          <t>errore rel</t>
        </is>
      </c>
      <c r="N12" s="404" t="n"/>
      <c r="O12" s="108" t="inlineStr">
        <is>
          <t>Q3</t>
        </is>
      </c>
      <c r="P12" s="109" t="inlineStr">
        <is>
          <t>m</t>
        </is>
      </c>
      <c r="Q12" s="96" t="inlineStr">
        <is>
          <t>q</t>
        </is>
      </c>
      <c r="R12" s="406" t="n"/>
    </row>
    <row r="13" ht="15" customHeight="1" thickBot="1">
      <c r="B13" s="259">
        <f>'1°Q - Positivo'!Q50</f>
        <v/>
      </c>
      <c r="C13" s="255">
        <f>'1°Q - Positivo'!R50</f>
        <v/>
      </c>
      <c r="D13" s="602">
        <f>'1°Q - Positivo'!S50</f>
        <v/>
      </c>
      <c r="F13" s="282" t="inlineStr">
        <is>
          <t>Lineare</t>
        </is>
      </c>
      <c r="G13" s="111">
        <f>'1°Q - Positivo'!B59</f>
        <v/>
      </c>
      <c r="H13" s="537">
        <f>'1°Q - Positivo'!C59</f>
        <v/>
      </c>
      <c r="I13" s="536">
        <f>'1°Q - Positivo'!D59</f>
        <v/>
      </c>
      <c r="J13" s="281" t="n"/>
      <c r="L13" s="607">
        <f>(-$H$4+H13)/$H$4</f>
        <v/>
      </c>
      <c r="M13" s="607" t="n"/>
      <c r="N13" s="405" t="inlineStr">
        <is>
          <t>Lineare</t>
        </is>
      </c>
      <c r="O13" s="111" t="inlineStr">
        <is>
          <t>Nm/V</t>
        </is>
      </c>
      <c r="P13" s="537">
        <f>H4</f>
        <v/>
      </c>
      <c r="Q13" s="537">
        <f>I4</f>
        <v/>
      </c>
      <c r="R13" s="406" t="n"/>
    </row>
    <row r="14" ht="15" customHeight="1" thickBot="1">
      <c r="B14" s="259">
        <f>'1°Q - Positivo'!Q51</f>
        <v/>
      </c>
      <c r="C14" s="255">
        <f>'1°Q - Positivo'!R51</f>
        <v/>
      </c>
      <c r="D14" s="602">
        <f>'1°Q - Positivo'!S51</f>
        <v/>
      </c>
      <c r="F14" s="282" t="inlineStr">
        <is>
          <t>(1° ordine)</t>
        </is>
      </c>
      <c r="G14" s="113">
        <f>'1°Q - Positivo'!B60</f>
        <v/>
      </c>
      <c r="H14" s="538">
        <f>'1°Q - Positivo'!C60</f>
        <v/>
      </c>
      <c r="I14" s="539">
        <f>'1°Q - Positivo'!D60</f>
        <v/>
      </c>
      <c r="J14" s="281" t="n"/>
      <c r="N14" s="405" t="inlineStr">
        <is>
          <t>(1° ordine)</t>
        </is>
      </c>
      <c r="O14" s="113" t="inlineStr">
        <is>
          <t>V/Nm</t>
        </is>
      </c>
      <c r="P14" s="538">
        <f>H5</f>
        <v/>
      </c>
      <c r="Q14" s="539">
        <f>I5</f>
        <v/>
      </c>
      <c r="R14" s="406" t="n"/>
    </row>
    <row r="15" ht="15" customHeight="1" thickBot="1">
      <c r="A15" s="477" t="inlineStr">
        <is>
          <t>Q3
NEGATIVO</t>
        </is>
      </c>
      <c r="B15" s="247">
        <f>'3°Q - Negativo'!Q40</f>
        <v/>
      </c>
      <c r="C15" s="284">
        <f>'3°Q - Negativo'!R40</f>
        <v/>
      </c>
      <c r="D15" s="608">
        <f>'3°Q - Negativo'!S40</f>
        <v/>
      </c>
      <c r="F15" s="282" t="n"/>
      <c r="G15" s="286" t="n"/>
      <c r="H15" s="255" t="n"/>
      <c r="I15" s="255" t="n"/>
      <c r="J15" s="281" t="n"/>
      <c r="N15" s="407" t="n"/>
      <c r="O15" s="408" t="n"/>
      <c r="P15" s="408" t="n"/>
      <c r="Q15" s="408" t="n"/>
      <c r="R15" s="406" t="n"/>
    </row>
    <row r="16" ht="18" customHeight="1">
      <c r="B16" s="287">
        <f>'3°Q - Negativo'!Q41</f>
        <v/>
      </c>
      <c r="C16" s="284">
        <f>'3°Q - Negativo'!R41</f>
        <v/>
      </c>
      <c r="D16" s="608">
        <f>'3°Q - Negativo'!S41</f>
        <v/>
      </c>
      <c r="F16" s="282" t="n"/>
      <c r="G16" s="108">
        <f>'1°Q - Positivo'!B62</f>
        <v/>
      </c>
      <c r="H16" s="109">
        <f>'1°Q - Positivo'!C62</f>
        <v/>
      </c>
      <c r="I16" s="109">
        <f>'1°Q - Positivo'!D62</f>
        <v/>
      </c>
      <c r="J16" s="288">
        <f>'1°Q - Positivo'!E62</f>
        <v/>
      </c>
      <c r="N16" s="409" t="n"/>
      <c r="O16" s="108" t="inlineStr">
        <is>
          <t>Q1+Q3</t>
        </is>
      </c>
      <c r="P16" s="109" t="inlineStr">
        <is>
          <t>H2</t>
        </is>
      </c>
      <c r="Q16" s="109" t="inlineStr">
        <is>
          <t>H1</t>
        </is>
      </c>
      <c r="R16" s="96" t="inlineStr">
        <is>
          <t>H0</t>
        </is>
      </c>
    </row>
    <row r="17" ht="15" customHeight="1" thickBot="1">
      <c r="B17" s="287">
        <f>'3°Q - Negativo'!Q42</f>
        <v/>
      </c>
      <c r="C17" s="284">
        <f>'3°Q - Negativo'!R42</f>
        <v/>
      </c>
      <c r="D17" s="608">
        <f>'3°Q - Negativo'!S42</f>
        <v/>
      </c>
      <c r="F17" s="282" t="inlineStr">
        <is>
          <t>Quadratica</t>
        </is>
      </c>
      <c r="G17" s="111">
        <f>'1°Q - Positivo'!B63</f>
        <v/>
      </c>
      <c r="H17" s="540">
        <f>'1°Q - Positivo'!C63</f>
        <v/>
      </c>
      <c r="I17" s="540">
        <f>'1°Q - Positivo'!D63</f>
        <v/>
      </c>
      <c r="J17" s="609">
        <f>'1°Q - Positivo'!E63</f>
        <v/>
      </c>
      <c r="N17" s="409" t="inlineStr">
        <is>
          <t>Quadratica</t>
        </is>
      </c>
      <c r="O17" s="111" t="inlineStr">
        <is>
          <t>Nm/V</t>
        </is>
      </c>
      <c r="P17" s="610">
        <f>H8</f>
        <v/>
      </c>
      <c r="Q17" s="610">
        <f>I8</f>
        <v/>
      </c>
      <c r="R17" s="611">
        <f>J8</f>
        <v/>
      </c>
    </row>
    <row r="18" ht="15" customHeight="1" thickBot="1">
      <c r="B18" s="287">
        <f>'3°Q - Negativo'!Q43</f>
        <v/>
      </c>
      <c r="C18" s="284">
        <f>'3°Q - Negativo'!R43</f>
        <v/>
      </c>
      <c r="D18" s="608">
        <f>'3°Q - Negativo'!S43</f>
        <v/>
      </c>
      <c r="F18" s="290" t="inlineStr">
        <is>
          <t>(2° oridne)</t>
        </is>
      </c>
      <c r="G18" s="291">
        <f>'1°Q - Positivo'!B64</f>
        <v/>
      </c>
      <c r="H18" s="612">
        <f>'1°Q - Positivo'!C64</f>
        <v/>
      </c>
      <c r="I18" s="612">
        <f>'1°Q - Positivo'!D64</f>
        <v/>
      </c>
      <c r="J18" s="613">
        <f>'1°Q - Positivo'!E64</f>
        <v/>
      </c>
      <c r="N18" s="411" t="inlineStr">
        <is>
          <t>(2° oridne)</t>
        </is>
      </c>
      <c r="O18" s="113" t="inlineStr">
        <is>
          <t>V/Nm</t>
        </is>
      </c>
      <c r="P18" s="614">
        <f>H9</f>
        <v/>
      </c>
      <c r="Q18" s="614">
        <f>I9</f>
        <v/>
      </c>
      <c r="R18" s="615">
        <f>J9</f>
        <v/>
      </c>
    </row>
    <row r="19" ht="15" customHeight="1" thickBot="1">
      <c r="B19" s="287">
        <f>'3°Q - Negativo'!Q44</f>
        <v/>
      </c>
      <c r="C19" s="284">
        <f>'3°Q - Negativo'!R44</f>
        <v/>
      </c>
      <c r="D19" s="608">
        <f>'3°Q - Negativo'!S44</f>
        <v/>
      </c>
    </row>
    <row r="20" ht="21.6" customHeight="1" thickBot="1">
      <c r="B20" s="287">
        <f>'3°Q - Negativo'!Q45</f>
        <v/>
      </c>
      <c r="C20" s="284">
        <f>'3°Q - Negativo'!R45</f>
        <v/>
      </c>
      <c r="D20" s="608">
        <f>'3°Q - Negativo'!S45</f>
        <v/>
      </c>
      <c r="F20" s="294" t="inlineStr">
        <is>
          <t>Q3</t>
        </is>
      </c>
      <c r="G20" s="295" t="n"/>
      <c r="H20" s="295" t="n"/>
      <c r="I20" s="295" t="n"/>
      <c r="J20" s="296" t="n"/>
    </row>
    <row r="21" ht="18" customHeight="1">
      <c r="B21" s="247">
        <f>'3°Q - Negativo'!Q46</f>
        <v/>
      </c>
      <c r="C21" s="284">
        <f>'3°Q - Negativo'!R46</f>
        <v/>
      </c>
      <c r="D21" s="608">
        <f>'3°Q - Negativo'!S46</f>
        <v/>
      </c>
      <c r="F21" s="46" t="n"/>
      <c r="G21" s="108">
        <f>'3°Q - Negativo'!B58</f>
        <v/>
      </c>
      <c r="H21" s="109">
        <f>'3°Q - Negativo'!C58</f>
        <v/>
      </c>
      <c r="I21" s="96">
        <f>'3°Q - Negativo'!D58</f>
        <v/>
      </c>
      <c r="J21" s="297" t="n"/>
      <c r="L21" t="inlineStr">
        <is>
          <t>errore rel</t>
        </is>
      </c>
    </row>
    <row r="22" ht="26.25" customHeight="1" thickBot="1">
      <c r="B22" s="287">
        <f>'3°Q - Negativo'!Q47</f>
        <v/>
      </c>
      <c r="C22" s="284">
        <f>'3°Q - Negativo'!R47</f>
        <v/>
      </c>
      <c r="D22" s="608">
        <f>'3°Q - Negativo'!S47</f>
        <v/>
      </c>
      <c r="F22" s="298" t="inlineStr">
        <is>
          <t>Lineare</t>
        </is>
      </c>
      <c r="G22" s="111">
        <f>'3°Q - Negativo'!B59</f>
        <v/>
      </c>
      <c r="H22" s="537">
        <f>'3°Q - Negativo'!C59</f>
        <v/>
      </c>
      <c r="I22" s="536">
        <f>'3°Q - Negativo'!D59</f>
        <v/>
      </c>
      <c r="J22" s="297" t="n"/>
      <c r="L22" s="607">
        <f>(-$H$4+H22)/$H$4</f>
        <v/>
      </c>
    </row>
    <row r="23" ht="15" customHeight="1" thickBot="1">
      <c r="B23" s="287">
        <f>'3°Q - Negativo'!Q48</f>
        <v/>
      </c>
      <c r="C23" s="284">
        <f>'3°Q - Negativo'!R48</f>
        <v/>
      </c>
      <c r="D23" s="608">
        <f>'3°Q - Negativo'!S48</f>
        <v/>
      </c>
      <c r="F23" s="298" t="inlineStr">
        <is>
          <t>(1° ordine)</t>
        </is>
      </c>
      <c r="G23" s="113">
        <f>'3°Q - Negativo'!B60</f>
        <v/>
      </c>
      <c r="H23" s="538">
        <f>'3°Q - Negativo'!C60</f>
        <v/>
      </c>
      <c r="I23" s="539">
        <f>'3°Q - Negativo'!D60</f>
        <v/>
      </c>
      <c r="J23" s="297" t="n"/>
    </row>
    <row r="24" ht="15" customHeight="1" thickBot="1">
      <c r="B24" s="287">
        <f>'3°Q - Negativo'!Q49</f>
        <v/>
      </c>
      <c r="C24" s="284">
        <f>'3°Q - Negativo'!R49</f>
        <v/>
      </c>
      <c r="D24" s="608">
        <f>'3°Q - Negativo'!S49</f>
        <v/>
      </c>
      <c r="F24" s="298" t="n"/>
      <c r="G24" s="299" t="n"/>
      <c r="H24" s="284" t="n"/>
      <c r="I24" s="284" t="n"/>
      <c r="J24" s="297" t="n"/>
    </row>
    <row r="25" ht="18" customHeight="1">
      <c r="B25" s="287">
        <f>'3°Q - Negativo'!Q50</f>
        <v/>
      </c>
      <c r="C25" s="284">
        <f>'3°Q - Negativo'!R50</f>
        <v/>
      </c>
      <c r="D25" s="608">
        <f>'3°Q - Negativo'!S50</f>
        <v/>
      </c>
      <c r="F25" s="298" t="n"/>
      <c r="G25" s="108">
        <f>'3°Q - Negativo'!B62</f>
        <v/>
      </c>
      <c r="H25" s="109">
        <f>'3°Q - Negativo'!C62</f>
        <v/>
      </c>
      <c r="I25" s="109">
        <f>'3°Q - Negativo'!D62</f>
        <v/>
      </c>
      <c r="J25" s="300">
        <f>'3°Q - Negativo'!E62</f>
        <v/>
      </c>
    </row>
    <row r="26" ht="15" customHeight="1" thickBot="1">
      <c r="B26" s="287">
        <f>'3°Q - Negativo'!Q51</f>
        <v/>
      </c>
      <c r="C26" s="284">
        <f>'3°Q - Negativo'!R51</f>
        <v/>
      </c>
      <c r="D26" s="608">
        <f>'3°Q - Negativo'!S51</f>
        <v/>
      </c>
      <c r="F26" s="298" t="inlineStr">
        <is>
          <t>Quadratica</t>
        </is>
      </c>
      <c r="G26" s="111">
        <f>'3°Q - Negativo'!B63</f>
        <v/>
      </c>
      <c r="H26" s="540">
        <f>'3°Q - Negativo'!C63</f>
        <v/>
      </c>
      <c r="I26" s="540">
        <f>'3°Q - Negativo'!D63</f>
        <v/>
      </c>
      <c r="J26" s="616">
        <f>'3°Q - Negativo'!E63</f>
        <v/>
      </c>
    </row>
    <row r="27" ht="15" customHeight="1" thickBot="1">
      <c r="F27" s="302" t="inlineStr">
        <is>
          <t>(2° oridne)</t>
        </is>
      </c>
      <c r="G27" s="303">
        <f>'3°Q - Negativo'!B64</f>
        <v/>
      </c>
      <c r="H27" s="617">
        <f>'3°Q - Negativo'!C64</f>
        <v/>
      </c>
      <c r="I27" s="617">
        <f>'3°Q - Negativo'!D64</f>
        <v/>
      </c>
      <c r="J27" s="618">
        <f>'3°Q - Negativo'!E64</f>
        <v/>
      </c>
    </row>
    <row r="28" ht="15" customHeight="1" thickBot="1"/>
    <row r="29" ht="21.6" customHeight="1" thickBot="1">
      <c r="F29" s="382" t="inlineStr">
        <is>
          <t>MEDIA</t>
        </is>
      </c>
      <c r="G29" s="383" t="n"/>
      <c r="H29" s="383" t="n"/>
      <c r="I29" s="383" t="n"/>
      <c r="J29" s="384" t="n"/>
    </row>
    <row r="30" ht="18" customHeight="1">
      <c r="F30" s="385" t="n"/>
      <c r="G30" s="108" t="inlineStr">
        <is>
          <t>Q3</t>
        </is>
      </c>
      <c r="H30" s="109" t="inlineStr">
        <is>
          <t>m</t>
        </is>
      </c>
      <c r="I30" s="96" t="inlineStr">
        <is>
          <t>q</t>
        </is>
      </c>
      <c r="J30" s="386" t="n"/>
    </row>
    <row r="31" ht="15.75" customHeight="1" thickBot="1">
      <c r="F31" s="387" t="inlineStr">
        <is>
          <t>Lineare</t>
        </is>
      </c>
      <c r="G31" s="111" t="inlineStr">
        <is>
          <t>Nm/V</t>
        </is>
      </c>
      <c r="H31" s="537">
        <f>AVERAGE(H13,H22)</f>
        <v/>
      </c>
      <c r="I31" s="536">
        <f>AVERAGE(I13,I22)</f>
        <v/>
      </c>
      <c r="J31" s="386" t="n"/>
    </row>
    <row r="32" ht="15.75" customHeight="1" thickBot="1">
      <c r="F32" s="387" t="inlineStr">
        <is>
          <t>(1° ordine)</t>
        </is>
      </c>
      <c r="G32" s="113" t="inlineStr">
        <is>
          <t>V/Nm</t>
        </is>
      </c>
      <c r="H32" s="538">
        <f>AVERAGE(H14,H23)</f>
        <v/>
      </c>
      <c r="I32" s="539">
        <f>AVERAGE(I14,I23)</f>
        <v/>
      </c>
      <c r="J32" s="386" t="n"/>
    </row>
    <row r="33" ht="15" customHeight="1" thickBot="1">
      <c r="F33" s="387" t="n"/>
      <c r="G33" s="388" t="n"/>
      <c r="H33" s="389" t="n"/>
      <c r="I33" s="389" t="n"/>
      <c r="J33" s="386" t="n"/>
    </row>
    <row r="34" ht="18" customHeight="1">
      <c r="F34" s="387" t="n"/>
      <c r="G34" s="108" t="inlineStr">
        <is>
          <t>Q3</t>
        </is>
      </c>
      <c r="H34" s="109" t="inlineStr">
        <is>
          <t>H2</t>
        </is>
      </c>
      <c r="I34" s="109" t="inlineStr">
        <is>
          <t>H1</t>
        </is>
      </c>
      <c r="J34" s="96" t="inlineStr">
        <is>
          <t>H0</t>
        </is>
      </c>
    </row>
    <row r="35" ht="15" customHeight="1" thickBot="1">
      <c r="F35" s="387" t="inlineStr">
        <is>
          <t>Quadratica</t>
        </is>
      </c>
      <c r="G35" s="111" t="inlineStr">
        <is>
          <t>Nm/V</t>
        </is>
      </c>
      <c r="H35" s="537">
        <f>AVERAGE(H17,H26)</f>
        <v/>
      </c>
      <c r="I35" s="537">
        <f>AVERAGE(I17,I26)</f>
        <v/>
      </c>
      <c r="J35" s="536">
        <f>AVERAGE(J17,J26)</f>
        <v/>
      </c>
    </row>
    <row r="36" ht="15" customHeight="1" thickBot="1">
      <c r="F36" s="390" t="inlineStr">
        <is>
          <t>(2° oridne)</t>
        </is>
      </c>
      <c r="G36" s="113" t="inlineStr">
        <is>
          <t>V/Nm</t>
        </is>
      </c>
      <c r="H36" s="542">
        <f>AVERAGE(H18,H27)</f>
        <v/>
      </c>
      <c r="I36" s="542">
        <f>AVERAGE(I18,I27)</f>
        <v/>
      </c>
      <c r="J36" s="543">
        <f>AVERAGE(J18,J27)</f>
        <v/>
      </c>
    </row>
    <row r="38" ht="15.75" customHeight="1"/>
  </sheetData>
  <mergeCells count="3">
    <mergeCell ref="A3:A14"/>
    <mergeCell ref="N11:R11"/>
    <mergeCell ref="A15:A26"/>
  </mergeCells>
  <pageMargins left="0.7" right="0.7" top="0.75" bottom="0.75" header="0.511811023622047" footer="0.511811023622047"/>
  <pageSetup orientation="portrait" horizontalDpi="300" verticalDpi="300"/>
</worksheet>
</file>

<file path=xl/worksheets/sheet6.xml><?xml version="1.0" encoding="utf-8"?>
<worksheet xmlns:r="http://schemas.openxmlformats.org/officeDocument/2006/relationships" xmlns="http://schemas.openxmlformats.org/spreadsheetml/2006/main">
  <sheetPr>
    <tabColor rgb="FF00B050"/>
    <outlinePr summaryBelow="1" summaryRight="1"/>
    <pageSetUpPr/>
  </sheetPr>
  <dimension ref="C1:R109"/>
  <sheetViews>
    <sheetView topLeftCell="A19" zoomScale="145" zoomScaleNormal="145" workbookViewId="0">
      <selection activeCell="Q23" sqref="Q23"/>
    </sheetView>
  </sheetViews>
  <sheetFormatPr baseColWidth="8" defaultColWidth="8.5546875" defaultRowHeight="14.4"/>
  <cols>
    <col width="3" customWidth="1" min="1" max="1"/>
    <col width="3.5546875" customWidth="1" min="2" max="2"/>
    <col width="5.44140625" customWidth="1" min="3" max="3"/>
    <col width="8.6640625" customWidth="1" min="4" max="12"/>
    <col width="3" customWidth="1" min="13" max="13"/>
    <col width="2.44140625" customWidth="1" min="14" max="14"/>
    <col width="9.109375" customWidth="1" min="15" max="15"/>
  </cols>
  <sheetData>
    <row r="1" ht="11.25" customHeight="1">
      <c r="M1" s="306" t="inlineStr">
        <is>
          <t>Easting Electronics srl</t>
        </is>
      </c>
    </row>
    <row r="2" ht="11.25" customHeight="1">
      <c r="M2" s="306" t="inlineStr">
        <is>
          <t>p.IVA/CF 01325430328</t>
        </is>
      </c>
    </row>
    <row r="3" ht="11.25" customHeight="1">
      <c r="M3" s="306" t="inlineStr">
        <is>
          <t xml:space="preserve">Loc. Santa Barbara 32/A, 34015 Muggia (TS) </t>
        </is>
      </c>
    </row>
    <row r="4" ht="11.25" customHeight="1">
      <c r="M4" s="306" t="inlineStr">
        <is>
          <t>T +39 040 9778167</t>
        </is>
      </c>
    </row>
    <row r="5" ht="11.25" customHeight="1">
      <c r="M5" s="307" t="inlineStr">
        <is>
          <t>www.eastingelectronics.com</t>
        </is>
      </c>
    </row>
    <row r="6" ht="15.75" customHeight="1"/>
    <row r="7" ht="19.5" customHeight="1">
      <c r="C7" s="482">
        <f>CONCATENATE("Report taratura"," - ",'Istruzioni Uso'!$B$67," - ",'Istruzioni Uso'!$B$68)</f>
        <v/>
      </c>
    </row>
    <row r="8" ht="16.5" customHeight="1"/>
    <row r="9" ht="15" customHeight="1">
      <c r="C9" s="308" t="inlineStr">
        <is>
          <t>Data:</t>
        </is>
      </c>
      <c r="D9" s="308" t="n"/>
      <c r="E9" s="58" t="n"/>
      <c r="F9" s="619">
        <f>'Istruzioni Uso'!$B$63</f>
        <v/>
      </c>
    </row>
    <row r="10" ht="15" customHeight="1">
      <c r="C10" s="309" t="inlineStr">
        <is>
          <t>Rif interno attività:</t>
        </is>
      </c>
      <c r="D10" s="309" t="n"/>
      <c r="E10" s="310" t="n"/>
      <c r="F10" s="484">
        <f>'Istruzioni Uso'!$B$64</f>
        <v/>
      </c>
    </row>
    <row r="11" ht="15" customHeight="1">
      <c r="C11" s="308" t="inlineStr">
        <is>
          <t>Cliente:</t>
        </is>
      </c>
      <c r="D11" s="308" t="n"/>
      <c r="E11" s="58" t="n"/>
      <c r="F11" s="485">
        <f>'Istruzioni Uso'!$B$65</f>
        <v/>
      </c>
    </row>
    <row r="12" ht="15" customHeight="1">
      <c r="C12" s="309" t="inlineStr">
        <is>
          <t>SN UUT:</t>
        </is>
      </c>
      <c r="D12" s="309" t="n"/>
      <c r="E12" s="310" t="n"/>
      <c r="F12" s="484">
        <f>'Istruzioni Uso'!B69</f>
        <v/>
      </c>
    </row>
    <row r="13" ht="15" customHeight="1">
      <c r="C13" s="308" t="inlineStr">
        <is>
          <t>Note UUT:</t>
        </is>
      </c>
      <c r="D13" s="308" t="n"/>
      <c r="E13" s="58" t="n"/>
      <c r="F13" s="485">
        <f>'Istruzioni Uso'!B67</f>
        <v/>
      </c>
    </row>
    <row r="14" ht="15" customHeight="1">
      <c r="C14" s="309" t="inlineStr">
        <is>
          <t>Progetto UUT:</t>
        </is>
      </c>
      <c r="D14" s="309" t="n"/>
      <c r="E14" s="309" t="n"/>
      <c r="F14" s="484">
        <f>'Istruzioni Uso'!B68</f>
        <v/>
      </c>
    </row>
    <row r="15" ht="15" customHeight="1">
      <c r="C15" s="308" t="inlineStr">
        <is>
          <t>Report di calibrazione:</t>
        </is>
      </c>
      <c r="D15" s="308" t="n"/>
      <c r="E15" s="308" t="n"/>
      <c r="F15" s="485">
        <f>'Istruzioni Uso'!B70</f>
        <v/>
      </c>
    </row>
    <row r="16" ht="15" customHeight="1">
      <c r="C16" s="309" t="inlineStr">
        <is>
          <t>Seriale trasmettitore</t>
        </is>
      </c>
      <c r="D16" s="309" t="n"/>
      <c r="E16" s="309" t="n"/>
      <c r="F16" s="484">
        <f>'Istruzioni Uso'!$B$66</f>
        <v/>
      </c>
    </row>
    <row r="17" ht="15" customHeight="1">
      <c r="C17" s="52" t="n"/>
      <c r="D17" s="52" t="n"/>
      <c r="E17" s="52" t="n"/>
      <c r="P17" s="486" t="inlineStr">
        <is>
          <t>NOTA: fose vale la pena di pubblicare questa come sensibilità ovvero la sensibilità totale calcolata su Q1 e Q3</t>
        </is>
      </c>
      <c r="Q17" s="64" t="n"/>
      <c r="R17" s="65" t="n"/>
    </row>
    <row r="18" ht="15" customHeight="1">
      <c r="C18" s="487" t="inlineStr">
        <is>
          <t>Parametri di calibrazione</t>
        </is>
      </c>
      <c r="P18" s="74" t="n"/>
      <c r="R18" s="93" t="n"/>
    </row>
    <row r="19" ht="12" customHeight="1">
      <c r="P19" s="74" t="n"/>
      <c r="R19" s="93" t="n"/>
    </row>
    <row r="20">
      <c r="C20" t="inlineStr">
        <is>
          <t>1. Caratteristica di uscita</t>
        </is>
      </c>
      <c r="L20" s="58" t="n"/>
      <c r="M20" s="58" t="n"/>
      <c r="P20" s="74" t="n"/>
      <c r="R20" s="93" t="n"/>
    </row>
    <row r="21">
      <c r="E21" s="311" t="inlineStr">
        <is>
          <t>Sensibilità</t>
        </is>
      </c>
      <c r="F21" s="11" t="n"/>
      <c r="G21" s="11" t="n"/>
      <c r="H21" s="11" t="n"/>
      <c r="I21" s="11" t="n"/>
      <c r="J21" s="11" t="n"/>
      <c r="K21" s="488">
        <f>CONCATENATE(ROUND('Check Q1 vs Q3 '!$P$13,2),"  ",EUnits,"/V")</f>
        <v/>
      </c>
      <c r="P21" s="489">
        <f>CONCATENATE(ROUND('Check Q1 vs Q3 '!$I$4,3)," ",UUT_EUnits)</f>
        <v/>
      </c>
      <c r="R21" s="93" t="n"/>
    </row>
    <row r="22">
      <c r="E22" s="311" t="inlineStr">
        <is>
          <t>Offset</t>
        </is>
      </c>
      <c r="F22" s="11" t="n"/>
      <c r="G22" s="11" t="n"/>
      <c r="H22" s="11" t="n"/>
      <c r="I22" s="11" t="n"/>
      <c r="J22" s="11" t="n"/>
      <c r="K22" s="488">
        <f>CONCATENATE(ROUND('Check Q1 vs Q3 '!$Q$14,4),"  V")</f>
        <v/>
      </c>
      <c r="P22" s="490">
        <f>CONCATENATE(ROUND('Check Q1 vs Q3 '!$H$4,2)," ",EUnits,"/",UUT_EUnits)</f>
        <v/>
      </c>
      <c r="Q22" s="67" t="n"/>
      <c r="R22" s="68" t="n"/>
    </row>
    <row r="23" ht="17.25" customHeight="1">
      <c r="L23" s="58" t="n"/>
      <c r="M23" s="58" t="n"/>
    </row>
    <row r="24" ht="17.25" customHeight="1">
      <c r="L24" s="58" t="n"/>
      <c r="M24" s="58" t="n"/>
    </row>
    <row r="25" ht="17.25" customHeight="1">
      <c r="L25" s="58" t="n"/>
      <c r="M25" s="58" t="n"/>
    </row>
    <row r="26" ht="13.5" customHeight="1">
      <c r="D26" s="245" t="n"/>
      <c r="E26" s="620" t="n"/>
      <c r="F26" s="620" t="n"/>
      <c r="G26" s="620" t="n"/>
      <c r="H26" s="620" t="n"/>
      <c r="I26" s="620" t="n"/>
      <c r="J26" s="235" t="n"/>
      <c r="K26" s="245" t="n"/>
      <c r="L26" s="245" t="n"/>
    </row>
    <row r="27">
      <c r="C27" s="52" t="inlineStr">
        <is>
          <t>2. Range dello strumento FS</t>
        </is>
      </c>
      <c r="D27" s="52" t="n"/>
      <c r="K27" s="485">
        <f>'Istruzioni Uso'!$B$72</f>
        <v/>
      </c>
    </row>
    <row r="28" ht="12" customHeight="1">
      <c r="C28" s="52" t="n"/>
      <c r="D28" s="52" t="n"/>
      <c r="K28" s="485" t="n"/>
      <c r="L28" s="485" t="n"/>
      <c r="M28" s="485" t="n"/>
    </row>
    <row r="29" ht="12" customHeight="1">
      <c r="C29" s="52" t="n"/>
      <c r="D29" s="52" t="n"/>
      <c r="K29" s="485" t="n"/>
      <c r="L29" s="485" t="n"/>
      <c r="M29" s="485" t="n"/>
    </row>
    <row r="30" ht="16.2" customHeight="1">
      <c r="C30" t="inlineStr">
        <is>
          <t>3.  Incertezza stimata con coefficienti punto 1. 1o QUADRANTE (Coppia Positiva)</t>
        </is>
      </c>
      <c r="D30" s="52" t="n"/>
      <c r="K30" s="485" t="n"/>
      <c r="L30" s="485" t="n"/>
      <c r="M30" s="485" t="n"/>
    </row>
    <row r="31" ht="12" customHeight="1" thickBot="1">
      <c r="C31" s="52" t="n"/>
      <c r="D31" s="52" t="n"/>
      <c r="K31" s="485" t="n"/>
      <c r="L31" s="485" t="n"/>
      <c r="M31" s="485" t="n"/>
    </row>
    <row r="32">
      <c r="C32" s="52" t="n"/>
      <c r="E32" s="460" t="inlineStr">
        <is>
          <t>Coppia</t>
        </is>
      </c>
      <c r="F32" s="596" t="n"/>
      <c r="G32" s="392">
        <f>'1°Q - Positivo'!E194</f>
        <v/>
      </c>
      <c r="H32" s="392">
        <f>'1°Q - Positivo'!F194</f>
        <v/>
      </c>
      <c r="I32" s="392">
        <f>'1°Q - Positivo'!G194</f>
        <v/>
      </c>
      <c r="J32" s="392">
        <f>'1°Q - Positivo'!H194</f>
        <v/>
      </c>
      <c r="K32" s="393">
        <f>'1°Q - Positivo'!I194</f>
        <v/>
      </c>
      <c r="L32" s="485" t="n"/>
      <c r="M32" s="485" t="n"/>
    </row>
    <row r="33" ht="15" customHeight="1" thickBot="1">
      <c r="C33" s="52" t="n"/>
      <c r="E33" s="456" t="inlineStr">
        <is>
          <t>Incertezza %</t>
        </is>
      </c>
      <c r="F33" s="597" t="n"/>
      <c r="G33" s="598">
        <f>'1°Q - Positivo'!E195</f>
        <v/>
      </c>
      <c r="H33" s="598">
        <f>'1°Q - Positivo'!F195</f>
        <v/>
      </c>
      <c r="I33" s="598">
        <f>'1°Q - Positivo'!G195</f>
        <v/>
      </c>
      <c r="J33" s="598">
        <f>'1°Q - Positivo'!H195</f>
        <v/>
      </c>
      <c r="K33" s="599">
        <f>'1°Q - Positivo'!I195</f>
        <v/>
      </c>
      <c r="L33" s="485" t="n"/>
      <c r="M33" s="485" t="n"/>
    </row>
    <row r="34" ht="12" customHeight="1">
      <c r="C34" s="52" t="n"/>
      <c r="D34" s="52" t="n"/>
      <c r="K34" s="485" t="n"/>
      <c r="L34" s="485" t="n"/>
      <c r="M34" s="485" t="n"/>
    </row>
    <row r="35" ht="12" customHeight="1">
      <c r="C35" s="52" t="n"/>
      <c r="D35" s="52" t="n"/>
      <c r="K35" s="485" t="n"/>
      <c r="L35" s="485" t="n"/>
      <c r="M35" s="485" t="n"/>
    </row>
    <row r="36" ht="16.2" customHeight="1">
      <c r="C36" t="inlineStr">
        <is>
          <t>4.  Incertezza stimata con coefficienti punto 1. 3o QUADRANTE (Coppia Negativa)</t>
        </is>
      </c>
      <c r="D36" s="52" t="n"/>
      <c r="K36" s="485" t="n"/>
      <c r="L36" s="485" t="n"/>
      <c r="M36" s="485" t="n"/>
    </row>
    <row r="37" ht="12" customHeight="1" thickBot="1">
      <c r="C37" s="52" t="n"/>
      <c r="D37" s="52" t="n"/>
      <c r="K37" s="485" t="n"/>
      <c r="L37" s="485" t="n"/>
      <c r="M37" s="485" t="n"/>
    </row>
    <row r="38">
      <c r="C38" s="52" t="n"/>
      <c r="E38" s="478" t="inlineStr">
        <is>
          <t>Coppia</t>
        </is>
      </c>
      <c r="F38" s="596" t="n"/>
      <c r="G38" s="394">
        <f>'3°Q - Negativo'!E194</f>
        <v/>
      </c>
      <c r="H38" s="392">
        <f>'3°Q - Negativo'!F194</f>
        <v/>
      </c>
      <c r="I38" s="392">
        <f>'3°Q - Negativo'!G194</f>
        <v/>
      </c>
      <c r="J38" s="392">
        <f>'3°Q - Negativo'!H194</f>
        <v/>
      </c>
      <c r="K38" s="393">
        <f>'3°Q - Negativo'!I194</f>
        <v/>
      </c>
      <c r="L38" s="485" t="n"/>
      <c r="M38" s="485" t="n"/>
    </row>
    <row r="39" ht="15" customHeight="1" thickBot="1">
      <c r="C39" s="52" t="n"/>
      <c r="E39" s="480" t="inlineStr">
        <is>
          <t>Incertezza %</t>
        </is>
      </c>
      <c r="F39" s="597" t="n"/>
      <c r="G39" s="621">
        <f>'3°Q - Negativo'!E195</f>
        <v/>
      </c>
      <c r="H39" s="598">
        <f>'3°Q - Negativo'!F195</f>
        <v/>
      </c>
      <c r="I39" s="598">
        <f>'3°Q - Negativo'!G195</f>
        <v/>
      </c>
      <c r="J39" s="598">
        <f>'3°Q - Negativo'!H195</f>
        <v/>
      </c>
      <c r="K39" s="599">
        <f>'3°Q - Negativo'!I195</f>
        <v/>
      </c>
      <c r="L39" s="485" t="n"/>
      <c r="M39" s="485" t="n"/>
    </row>
    <row r="40" ht="12" customHeight="1">
      <c r="C40" s="52" t="n"/>
      <c r="D40" s="52" t="n"/>
      <c r="K40" s="485" t="n"/>
      <c r="L40" s="485" t="n"/>
      <c r="M40" s="485" t="n"/>
    </row>
    <row r="41" ht="12" customHeight="1">
      <c r="C41" s="52" t="n"/>
      <c r="D41" s="52" t="n"/>
      <c r="K41" s="485" t="n"/>
      <c r="L41" s="485" t="n"/>
      <c r="M41" s="485" t="n"/>
    </row>
    <row r="42" ht="12" customHeight="1">
      <c r="C42" s="52" t="n"/>
      <c r="D42" s="52" t="n"/>
      <c r="K42" s="485" t="n"/>
      <c r="L42" s="485" t="n"/>
      <c r="M42" s="485" t="n"/>
    </row>
    <row r="43" ht="12" customHeight="1">
      <c r="C43" s="52" t="n"/>
      <c r="D43" s="52" t="n"/>
      <c r="K43" s="485" t="n"/>
      <c r="L43" s="485" t="n"/>
      <c r="M43" s="485" t="n"/>
    </row>
    <row r="44" ht="12" customHeight="1">
      <c r="C44" s="52" t="n"/>
      <c r="D44" s="52" t="n"/>
      <c r="K44" s="485" t="n"/>
      <c r="L44" s="485" t="n"/>
      <c r="M44" s="485" t="n"/>
    </row>
    <row r="45" ht="12" customHeight="1">
      <c r="C45" s="52" t="n"/>
      <c r="D45" s="52" t="n"/>
      <c r="K45" s="485" t="n"/>
      <c r="L45" s="485" t="n"/>
      <c r="M45" s="485" t="n"/>
    </row>
    <row r="46" ht="12" customHeight="1">
      <c r="C46" s="52" t="n"/>
      <c r="D46" s="52" t="n"/>
      <c r="K46" s="485" t="n"/>
      <c r="L46" s="485" t="n"/>
      <c r="M46" s="485" t="n"/>
    </row>
    <row r="47" ht="12" customHeight="1">
      <c r="C47" s="52" t="n"/>
      <c r="D47" s="52" t="n"/>
      <c r="K47" s="485" t="n"/>
      <c r="L47" s="485" t="n"/>
      <c r="M47" s="485" t="n"/>
    </row>
    <row r="48" ht="12" customHeight="1">
      <c r="C48" s="52" t="n"/>
      <c r="D48" s="52" t="n"/>
      <c r="K48" s="485" t="n"/>
      <c r="L48" s="485" t="n"/>
      <c r="M48" s="485" t="n"/>
    </row>
    <row r="49" ht="12" customHeight="1">
      <c r="C49" s="52" t="n"/>
      <c r="D49" s="52" t="n"/>
      <c r="K49" s="485" t="n"/>
      <c r="L49" s="485" t="n"/>
      <c r="M49" s="485" t="n"/>
    </row>
    <row r="50" ht="12" customHeight="1">
      <c r="C50" s="52" t="n"/>
      <c r="D50" s="52" t="n"/>
      <c r="K50" s="485" t="n"/>
      <c r="L50" s="485" t="n"/>
      <c r="M50" s="485" t="n"/>
    </row>
    <row r="51" ht="12" customHeight="1">
      <c r="C51" s="52" t="n"/>
      <c r="D51" s="52" t="n"/>
      <c r="K51" s="485" t="n"/>
      <c r="L51" s="485" t="n"/>
      <c r="M51" s="485" t="n"/>
    </row>
    <row r="52" ht="12" customHeight="1">
      <c r="C52" s="52" t="n"/>
      <c r="D52" s="52" t="n"/>
      <c r="K52" s="485" t="n"/>
      <c r="L52" s="485" t="n"/>
      <c r="M52" s="485" t="n"/>
    </row>
    <row r="53" ht="14.25" customHeight="1">
      <c r="C53" s="52" t="n"/>
      <c r="D53" s="52" t="n"/>
      <c r="K53" s="485" t="n"/>
      <c r="L53" s="485" t="n"/>
      <c r="M53" s="485" t="n"/>
    </row>
    <row r="54" ht="12" customHeight="1">
      <c r="C54" s="52" t="n"/>
      <c r="D54" s="52" t="n"/>
      <c r="K54" s="485" t="n"/>
      <c r="L54" s="485" t="n"/>
      <c r="M54" s="485" t="n"/>
    </row>
    <row r="55" ht="12" customHeight="1">
      <c r="C55" s="52" t="n"/>
      <c r="D55" s="52" t="n"/>
      <c r="K55" s="485" t="n"/>
      <c r="L55" s="485" t="n"/>
      <c r="M55" s="485" t="n"/>
    </row>
    <row r="56" ht="11.25" customHeight="1">
      <c r="M56" s="306" t="inlineStr">
        <is>
          <t>Easting Electronics srl</t>
        </is>
      </c>
    </row>
    <row r="57" ht="11.25" customHeight="1">
      <c r="M57" s="306" t="inlineStr">
        <is>
          <t>p.IVA/CF 01325430328</t>
        </is>
      </c>
    </row>
    <row r="58" ht="11.25" customHeight="1">
      <c r="M58" s="306" t="inlineStr">
        <is>
          <t xml:space="preserve">Loc. Santa Barbara 32/A, 34015 Muggia (TS) </t>
        </is>
      </c>
    </row>
    <row r="59" ht="11.25" customHeight="1">
      <c r="M59" s="306" t="inlineStr">
        <is>
          <t>T +39 040 9778167</t>
        </is>
      </c>
    </row>
    <row r="60" ht="11.25" customHeight="1">
      <c r="M60" s="307" t="inlineStr">
        <is>
          <t>www.eastingelectronics.com</t>
        </is>
      </c>
    </row>
    <row r="61" ht="12" customHeight="1"/>
    <row r="62" ht="12" customHeight="1">
      <c r="L62" s="58" t="n"/>
      <c r="M62" s="58" t="n"/>
    </row>
    <row r="63" ht="17.25" customHeight="1">
      <c r="C63" s="487" t="inlineStr">
        <is>
          <t>Rapporto di taratura</t>
        </is>
      </c>
      <c r="M63" s="58" t="n"/>
    </row>
    <row r="64" ht="12" customHeight="1">
      <c r="L64" s="58" t="n"/>
      <c r="M64" s="58" t="n"/>
    </row>
    <row r="65" ht="16.2" customHeight="1">
      <c r="C65" t="inlineStr">
        <is>
          <t>4. Coefficienti delle curve di interpolazione 1o QUADRANTE (Coppia Positiva)</t>
        </is>
      </c>
    </row>
    <row r="66" ht="9" customHeight="1" thickBot="1"/>
    <row r="67" ht="15" customHeight="1">
      <c r="F67" s="491" t="inlineStr">
        <is>
          <t>Momento applicato → M = a*X2 + b*X</t>
        </is>
      </c>
      <c r="G67" s="622" t="n"/>
      <c r="H67" s="622" t="n"/>
      <c r="I67" s="622" t="n"/>
      <c r="J67" s="623" t="n"/>
    </row>
    <row r="68" ht="13.5" customHeight="1">
      <c r="F68" s="209" t="n"/>
      <c r="G68" s="492" t="inlineStr">
        <is>
          <t>a [Nm/mV2]</t>
        </is>
      </c>
      <c r="H68" s="624" t="n"/>
      <c r="I68" s="493" t="inlineStr">
        <is>
          <t>b [Nm/mV]</t>
        </is>
      </c>
      <c r="J68" s="625" t="n"/>
    </row>
    <row r="69" ht="13.5" customHeight="1">
      <c r="F69" s="212" t="inlineStr">
        <is>
          <t>1° ordine</t>
        </is>
      </c>
      <c r="G69" s="494" t="n">
        <v>0</v>
      </c>
      <c r="H69" s="624" t="n"/>
      <c r="I69" s="577">
        <f>'1°Q - Positivo'!D145</f>
        <v/>
      </c>
      <c r="J69" s="625" t="n"/>
    </row>
    <row r="70" ht="13.5" customHeight="1">
      <c r="F70" s="215" t="inlineStr">
        <is>
          <t>2° ordine</t>
        </is>
      </c>
      <c r="G70" s="578">
        <f>'1°Q - Positivo'!C146</f>
        <v/>
      </c>
      <c r="H70" s="597" t="n"/>
      <c r="I70" s="579">
        <f>'1°Q - Positivo'!D146</f>
        <v/>
      </c>
      <c r="J70" s="626" t="n"/>
    </row>
    <row r="71" ht="7.5" customHeight="1"/>
    <row r="72" ht="15" customHeight="1">
      <c r="F72" s="491" t="inlineStr">
        <is>
          <t>Misura elettrica → X = d*M2 + e*M</t>
        </is>
      </c>
      <c r="G72" s="622" t="n"/>
      <c r="H72" s="622" t="n"/>
      <c r="I72" s="622" t="n"/>
      <c r="J72" s="623" t="n"/>
    </row>
    <row r="73" ht="13.5" customHeight="1">
      <c r="F73" s="209" t="n"/>
      <c r="G73" s="492" t="inlineStr">
        <is>
          <t>d [mV/Nm2]</t>
        </is>
      </c>
      <c r="H73" s="624" t="n"/>
      <c r="I73" s="493" t="inlineStr">
        <is>
          <t>e [mV/Nm]</t>
        </is>
      </c>
      <c r="J73" s="625" t="n"/>
    </row>
    <row r="74" ht="13.5" customHeight="1">
      <c r="F74" s="212" t="inlineStr">
        <is>
          <t>1° ordine</t>
        </is>
      </c>
      <c r="G74" s="494">
        <f>'1°Q - Positivo'!C151</f>
        <v/>
      </c>
      <c r="H74" s="624" t="n"/>
      <c r="I74" s="577">
        <f>'1°Q - Positivo'!D151</f>
        <v/>
      </c>
      <c r="J74" s="625" t="n"/>
    </row>
    <row r="75" ht="13.5" customHeight="1">
      <c r="F75" s="215" t="inlineStr">
        <is>
          <t>2° ordine</t>
        </is>
      </c>
      <c r="G75" s="578">
        <f>'1°Q - Positivo'!C152</f>
        <v/>
      </c>
      <c r="H75" s="597" t="n"/>
      <c r="I75" s="579">
        <f>'1°Q - Positivo'!D152</f>
        <v/>
      </c>
      <c r="J75" s="626" t="n"/>
    </row>
    <row r="76" ht="12" customHeight="1">
      <c r="G76" s="313" t="n"/>
      <c r="H76" s="313" t="n"/>
    </row>
    <row r="77" ht="16.2" customHeight="1">
      <c r="C77" t="inlineStr">
        <is>
          <t>5. Report 1o QUADRANTE (Coppia Positiva)</t>
        </is>
      </c>
    </row>
    <row r="78" ht="12" customHeight="1"/>
    <row r="79" ht="15" customHeight="1">
      <c r="D79" s="314" t="inlineStr">
        <is>
          <t>Coppia</t>
        </is>
      </c>
      <c r="E79" s="315" t="inlineStr">
        <is>
          <t>Precarico</t>
        </is>
      </c>
      <c r="F79" s="315" t="inlineStr">
        <is>
          <t>Precarico</t>
        </is>
      </c>
      <c r="G79" s="315" t="inlineStr">
        <is>
          <t>Precarico</t>
        </is>
      </c>
      <c r="H79" s="315" t="inlineStr">
        <is>
          <t>Crescente</t>
        </is>
      </c>
      <c r="I79" s="316" t="inlineStr">
        <is>
          <t>Crescente</t>
        </is>
      </c>
      <c r="J79" s="227" t="n"/>
      <c r="K79" s="498" t="inlineStr">
        <is>
          <t>Coppia</t>
        </is>
      </c>
      <c r="L79" s="499" t="inlineStr">
        <is>
          <t>Incertezza %</t>
        </is>
      </c>
    </row>
    <row r="80" ht="15" customHeight="1">
      <c r="D80" s="317" t="inlineStr">
        <is>
          <t>Nm</t>
        </is>
      </c>
      <c r="E80" s="318" t="inlineStr">
        <is>
          <t>mV</t>
        </is>
      </c>
      <c r="F80" s="318" t="inlineStr">
        <is>
          <t>mV</t>
        </is>
      </c>
      <c r="G80" s="318" t="inlineStr">
        <is>
          <t>mV</t>
        </is>
      </c>
      <c r="H80" s="318" t="inlineStr">
        <is>
          <t>mV</t>
        </is>
      </c>
      <c r="I80" s="319" t="inlineStr">
        <is>
          <t>mV</t>
        </is>
      </c>
      <c r="J80" s="231" t="n"/>
      <c r="K80" s="583" t="n"/>
      <c r="L80" s="584" t="n"/>
    </row>
    <row r="81" ht="13.5" customHeight="1">
      <c r="D81" s="232">
        <f>'1°Q - Positivo'!B157</f>
        <v/>
      </c>
      <c r="E81" s="585">
        <f>'1°Q - Positivo'!C157</f>
        <v/>
      </c>
      <c r="F81" s="585">
        <f>'1°Q - Positivo'!D157</f>
        <v/>
      </c>
      <c r="G81" s="585">
        <f>'1°Q - Positivo'!E157</f>
        <v/>
      </c>
      <c r="H81" s="585">
        <f>'1°Q - Positivo'!F157</f>
        <v/>
      </c>
      <c r="I81" s="586">
        <f>'1°Q - Positivo'!G157</f>
        <v/>
      </c>
      <c r="J81" s="235" t="n"/>
      <c r="K81" s="236">
        <f>'1°Q - Positivo'!I157</f>
        <v/>
      </c>
      <c r="L81" s="587">
        <f>'1°Q - Positivo'!J157</f>
        <v/>
      </c>
    </row>
    <row r="82" ht="13.5" customHeight="1">
      <c r="D82" s="236">
        <f>'1°Q - Positivo'!B158</f>
        <v/>
      </c>
      <c r="E82" s="588">
        <f>'1°Q - Positivo'!C158</f>
        <v/>
      </c>
      <c r="F82" s="588">
        <f>'1°Q - Positivo'!D158</f>
        <v/>
      </c>
      <c r="G82" s="588">
        <f>'1°Q - Positivo'!E158</f>
        <v/>
      </c>
      <c r="H82" s="589">
        <f>'1°Q - Positivo'!F158</f>
        <v/>
      </c>
      <c r="I82" s="590">
        <f>'1°Q - Positivo'!G158</f>
        <v/>
      </c>
      <c r="J82" s="235" t="n"/>
      <c r="K82" s="236">
        <f>'1°Q - Positivo'!I158</f>
        <v/>
      </c>
      <c r="L82" s="587">
        <f>'1°Q - Positivo'!J158</f>
        <v/>
      </c>
    </row>
    <row r="83" ht="13.5" customHeight="1">
      <c r="D83" s="236">
        <f>'1°Q - Positivo'!B159</f>
        <v/>
      </c>
      <c r="E83" s="588">
        <f>'1°Q - Positivo'!C159</f>
        <v/>
      </c>
      <c r="F83" s="588">
        <f>'1°Q - Positivo'!D159</f>
        <v/>
      </c>
      <c r="G83" s="588">
        <f>'1°Q - Positivo'!E159</f>
        <v/>
      </c>
      <c r="H83" s="589">
        <f>'1°Q - Positivo'!F159</f>
        <v/>
      </c>
      <c r="I83" s="590">
        <f>'1°Q - Positivo'!G159</f>
        <v/>
      </c>
      <c r="J83" s="235" t="n"/>
      <c r="K83" s="236">
        <f>'1°Q - Positivo'!I159</f>
        <v/>
      </c>
      <c r="L83" s="587">
        <f>'1°Q - Positivo'!J159</f>
        <v/>
      </c>
    </row>
    <row r="84" ht="13.5" customHeight="1">
      <c r="D84" s="236">
        <f>'1°Q - Positivo'!B160</f>
        <v/>
      </c>
      <c r="E84" s="588">
        <f>'1°Q - Positivo'!C160</f>
        <v/>
      </c>
      <c r="F84" s="588">
        <f>'1°Q - Positivo'!D160</f>
        <v/>
      </c>
      <c r="G84" s="588">
        <f>'1°Q - Positivo'!E160</f>
        <v/>
      </c>
      <c r="H84" s="589">
        <f>'1°Q - Positivo'!F160</f>
        <v/>
      </c>
      <c r="I84" s="590">
        <f>'1°Q - Positivo'!G160</f>
        <v/>
      </c>
      <c r="J84" s="235" t="n"/>
      <c r="K84" s="236">
        <f>'1°Q - Positivo'!I160</f>
        <v/>
      </c>
      <c r="L84" s="587">
        <f>'1°Q - Positivo'!J160</f>
        <v/>
      </c>
    </row>
    <row r="85" ht="13.5" customHeight="1">
      <c r="D85" s="236">
        <f>'1°Q - Positivo'!B161</f>
        <v/>
      </c>
      <c r="E85" s="588">
        <f>'1°Q - Positivo'!C161</f>
        <v/>
      </c>
      <c r="F85" s="588">
        <f>'1°Q - Positivo'!D161</f>
        <v/>
      </c>
      <c r="G85" s="588">
        <f>'1°Q - Positivo'!E161</f>
        <v/>
      </c>
      <c r="H85" s="589">
        <f>'1°Q - Positivo'!F161</f>
        <v/>
      </c>
      <c r="I85" s="590">
        <f>'1°Q - Positivo'!G161</f>
        <v/>
      </c>
      <c r="J85" s="235" t="n"/>
      <c r="K85" s="241">
        <f>'1°Q - Positivo'!I161</f>
        <v/>
      </c>
      <c r="L85" s="591">
        <f>'1°Q - Positivo'!J161</f>
        <v/>
      </c>
    </row>
    <row r="86" ht="13.5" customHeight="1">
      <c r="D86" s="241">
        <f>'1°Q - Positivo'!B162</f>
        <v/>
      </c>
      <c r="E86" s="592">
        <f>'1°Q - Positivo'!C162</f>
        <v/>
      </c>
      <c r="F86" s="592">
        <f>'1°Q - Positivo'!D162</f>
        <v/>
      </c>
      <c r="G86" s="592">
        <f>'1°Q - Positivo'!E162</f>
        <v/>
      </c>
      <c r="H86" s="592">
        <f>'1°Q - Positivo'!F162</f>
        <v/>
      </c>
      <c r="I86" s="593">
        <f>'1°Q - Positivo'!G162</f>
        <v/>
      </c>
      <c r="J86" s="235" t="n"/>
      <c r="K86" s="245" t="n"/>
      <c r="L86" s="245" t="n"/>
    </row>
    <row r="87" ht="13.5" customHeight="1">
      <c r="D87" s="245" t="n"/>
      <c r="E87" s="620" t="n"/>
      <c r="F87" s="620" t="n"/>
      <c r="G87" s="620" t="n"/>
      <c r="H87" s="620" t="n"/>
      <c r="I87" s="620" t="n"/>
      <c r="J87" s="235" t="n"/>
      <c r="K87" s="245" t="n"/>
      <c r="L87" s="245" t="n"/>
    </row>
    <row r="88" ht="16.2" customHeight="1">
      <c r="C88" t="inlineStr">
        <is>
          <t>6. Coefficienti delle curve di interpolazione 3o QUADRANTE (Coppia Negativa)</t>
        </is>
      </c>
    </row>
    <row r="89" ht="12" customHeight="1"/>
    <row r="90" ht="15" customHeight="1">
      <c r="F90" s="500" t="inlineStr">
        <is>
          <t>Momento applicato → M = a*X2 + b*X</t>
        </is>
      </c>
      <c r="G90" s="622" t="n"/>
      <c r="H90" s="622" t="n"/>
      <c r="I90" s="622" t="n"/>
      <c r="J90" s="623" t="n"/>
    </row>
    <row r="91" ht="15" customHeight="1">
      <c r="F91" s="209" t="n"/>
      <c r="G91" s="492" t="inlineStr">
        <is>
          <t>a [Nm/mV2]</t>
        </is>
      </c>
      <c r="H91" s="624" t="n"/>
      <c r="I91" s="493" t="inlineStr">
        <is>
          <t>b [Nm/mV]</t>
        </is>
      </c>
      <c r="J91" s="625" t="n"/>
    </row>
    <row r="92" ht="15" customHeight="1">
      <c r="F92" s="212" t="inlineStr">
        <is>
          <t>1° ordine</t>
        </is>
      </c>
      <c r="G92" s="494">
        <f>'3°Q - Negativo'!C145</f>
        <v/>
      </c>
      <c r="H92" s="624" t="n"/>
      <c r="I92" s="577">
        <f>'3°Q - Negativo'!D145</f>
        <v/>
      </c>
      <c r="J92" s="625" t="n"/>
    </row>
    <row r="93" ht="15" customHeight="1">
      <c r="F93" s="215" t="inlineStr">
        <is>
          <t>2° ordine</t>
        </is>
      </c>
      <c r="G93" s="578">
        <f>'3°Q - Negativo'!C146</f>
        <v/>
      </c>
      <c r="H93" s="597" t="n"/>
      <c r="I93" s="579">
        <f>'3°Q - Negativo'!D146</f>
        <v/>
      </c>
      <c r="J93" s="626" t="n"/>
    </row>
    <row r="94" ht="15" customHeight="1"/>
    <row r="95" ht="15" customHeight="1">
      <c r="F95" s="500" t="inlineStr">
        <is>
          <t>Misura elettrica → X = d*M2 + e*M</t>
        </is>
      </c>
      <c r="G95" s="622" t="n"/>
      <c r="H95" s="622" t="n"/>
      <c r="I95" s="622" t="n"/>
      <c r="J95" s="623" t="n"/>
    </row>
    <row r="96" ht="15" customHeight="1">
      <c r="F96" s="209" t="n"/>
      <c r="G96" s="492" t="inlineStr">
        <is>
          <t>d [mV/Nm2]</t>
        </is>
      </c>
      <c r="H96" s="624" t="n"/>
      <c r="I96" s="493" t="inlineStr">
        <is>
          <t>e [mV/Nm]</t>
        </is>
      </c>
      <c r="J96" s="625" t="n"/>
    </row>
    <row r="97" ht="15" customHeight="1">
      <c r="F97" s="212" t="inlineStr">
        <is>
          <t>1° ordine</t>
        </is>
      </c>
      <c r="G97" s="494">
        <f>'3°Q - Negativo'!C151</f>
        <v/>
      </c>
      <c r="H97" s="624" t="n"/>
      <c r="I97" s="577">
        <f>'3°Q - Negativo'!D151</f>
        <v/>
      </c>
      <c r="J97" s="625" t="n"/>
    </row>
    <row r="98" ht="15" customHeight="1">
      <c r="F98" s="215" t="inlineStr">
        <is>
          <t>2° ordine</t>
        </is>
      </c>
      <c r="G98" s="578">
        <f>'3°Q - Negativo'!C152</f>
        <v/>
      </c>
      <c r="H98" s="597" t="n"/>
      <c r="I98" s="579">
        <f>'3°Q - Negativo'!D152</f>
        <v/>
      </c>
      <c r="J98" s="626" t="n"/>
    </row>
    <row r="99" ht="12" customHeight="1">
      <c r="G99" s="313" t="n"/>
      <c r="H99" s="313" t="n"/>
    </row>
    <row r="100" ht="16.2" customHeight="1">
      <c r="C100" t="inlineStr">
        <is>
          <t>7. Report 3o QUADRANTE (Coppia Negativa)</t>
        </is>
      </c>
    </row>
    <row r="101" ht="12" customHeight="1"/>
    <row r="102" ht="15" customHeight="1">
      <c r="D102" s="320" t="inlineStr">
        <is>
          <t>Coppia</t>
        </is>
      </c>
      <c r="E102" s="321" t="inlineStr">
        <is>
          <t>Precarico</t>
        </is>
      </c>
      <c r="F102" s="321" t="inlineStr">
        <is>
          <t>Precarico</t>
        </is>
      </c>
      <c r="G102" s="321" t="inlineStr">
        <is>
          <t>Precarico</t>
        </is>
      </c>
      <c r="H102" s="321" t="inlineStr">
        <is>
          <t>Crescente</t>
        </is>
      </c>
      <c r="I102" s="322" t="inlineStr">
        <is>
          <t>Crescente</t>
        </is>
      </c>
      <c r="J102" s="227" t="n"/>
      <c r="K102" s="502" t="inlineStr">
        <is>
          <t>Coppia</t>
        </is>
      </c>
      <c r="L102" s="501" t="inlineStr">
        <is>
          <t>Incertezza %</t>
        </is>
      </c>
    </row>
    <row r="103" ht="15" customHeight="1">
      <c r="D103" s="323" t="inlineStr">
        <is>
          <t>Nm</t>
        </is>
      </c>
      <c r="E103" s="324" t="inlineStr">
        <is>
          <t>mV</t>
        </is>
      </c>
      <c r="F103" s="324" t="inlineStr">
        <is>
          <t>mV</t>
        </is>
      </c>
      <c r="G103" s="324" t="inlineStr">
        <is>
          <t>mV</t>
        </is>
      </c>
      <c r="H103" s="324" t="inlineStr">
        <is>
          <t>mV</t>
        </is>
      </c>
      <c r="I103" s="325" t="inlineStr">
        <is>
          <t>mV</t>
        </is>
      </c>
      <c r="J103" s="231" t="n"/>
      <c r="K103" s="583" t="n"/>
      <c r="L103" s="584" t="n"/>
    </row>
    <row r="104" ht="15" customHeight="1">
      <c r="D104" s="232">
        <f>'3°Q - Negativo'!B157</f>
        <v/>
      </c>
      <c r="E104" s="585">
        <f>'3°Q - Negativo'!C157</f>
        <v/>
      </c>
      <c r="F104" s="585">
        <f>'3°Q - Negativo'!D157</f>
        <v/>
      </c>
      <c r="G104" s="585">
        <f>'3°Q - Negativo'!E157</f>
        <v/>
      </c>
      <c r="H104" s="585">
        <f>'3°Q - Negativo'!F157</f>
        <v/>
      </c>
      <c r="I104" s="586">
        <f>'3°Q - Negativo'!G157</f>
        <v/>
      </c>
      <c r="J104" s="235" t="n"/>
      <c r="K104" s="236">
        <f>'3°Q - Negativo'!I157</f>
        <v/>
      </c>
      <c r="L104" s="587">
        <f>'3°Q - Negativo'!J157</f>
        <v/>
      </c>
    </row>
    <row r="105" ht="15" customHeight="1">
      <c r="D105" s="236">
        <f>'3°Q - Negativo'!B158</f>
        <v/>
      </c>
      <c r="E105" s="588">
        <f>'3°Q - Negativo'!C158</f>
        <v/>
      </c>
      <c r="F105" s="588">
        <f>'3°Q - Negativo'!D158</f>
        <v/>
      </c>
      <c r="G105" s="588">
        <f>'3°Q - Negativo'!E158</f>
        <v/>
      </c>
      <c r="H105" s="589">
        <f>'3°Q - Negativo'!F158</f>
        <v/>
      </c>
      <c r="I105" s="590">
        <f>'3°Q - Negativo'!G158</f>
        <v/>
      </c>
      <c r="J105" s="235" t="n"/>
      <c r="K105" s="236">
        <f>'3°Q - Negativo'!I158</f>
        <v/>
      </c>
      <c r="L105" s="587">
        <f>'3°Q - Negativo'!J158</f>
        <v/>
      </c>
    </row>
    <row r="106" ht="15" customHeight="1">
      <c r="D106" s="236">
        <f>'3°Q - Negativo'!B159</f>
        <v/>
      </c>
      <c r="E106" s="588">
        <f>'3°Q - Negativo'!C159</f>
        <v/>
      </c>
      <c r="F106" s="588">
        <f>'3°Q - Negativo'!D159</f>
        <v/>
      </c>
      <c r="G106" s="588">
        <f>'3°Q - Negativo'!E159</f>
        <v/>
      </c>
      <c r="H106" s="589">
        <f>'3°Q - Negativo'!F159</f>
        <v/>
      </c>
      <c r="I106" s="590">
        <f>'3°Q - Negativo'!G159</f>
        <v/>
      </c>
      <c r="J106" s="235" t="n"/>
      <c r="K106" s="236">
        <f>'3°Q - Negativo'!I159</f>
        <v/>
      </c>
      <c r="L106" s="587">
        <f>'3°Q - Negativo'!J159</f>
        <v/>
      </c>
    </row>
    <row r="107" ht="15" customHeight="1">
      <c r="D107" s="236">
        <f>'3°Q - Negativo'!B160</f>
        <v/>
      </c>
      <c r="E107" s="588">
        <f>'3°Q - Negativo'!C160</f>
        <v/>
      </c>
      <c r="F107" s="588">
        <f>'3°Q - Negativo'!D160</f>
        <v/>
      </c>
      <c r="G107" s="588">
        <f>'3°Q - Negativo'!E160</f>
        <v/>
      </c>
      <c r="H107" s="589">
        <f>'3°Q - Negativo'!F160</f>
        <v/>
      </c>
      <c r="I107" s="590">
        <f>'3°Q - Negativo'!G160</f>
        <v/>
      </c>
      <c r="J107" s="235" t="n"/>
      <c r="K107" s="236">
        <f>'3°Q - Negativo'!I160</f>
        <v/>
      </c>
      <c r="L107" s="587">
        <f>'3°Q - Negativo'!J160</f>
        <v/>
      </c>
    </row>
    <row r="108" ht="15" customHeight="1">
      <c r="D108" s="236">
        <f>'3°Q - Negativo'!B161</f>
        <v/>
      </c>
      <c r="E108" s="588">
        <f>'3°Q - Negativo'!C161</f>
        <v/>
      </c>
      <c r="F108" s="588">
        <f>'3°Q - Negativo'!D161</f>
        <v/>
      </c>
      <c r="G108" s="588">
        <f>'3°Q - Negativo'!E161</f>
        <v/>
      </c>
      <c r="H108" s="589">
        <f>'3°Q - Negativo'!F161</f>
        <v/>
      </c>
      <c r="I108" s="590">
        <f>'3°Q - Negativo'!G161</f>
        <v/>
      </c>
      <c r="J108" s="235" t="n"/>
      <c r="K108" s="241">
        <f>'3°Q - Negativo'!I161</f>
        <v/>
      </c>
      <c r="L108" s="591">
        <f>'3°Q - Negativo'!J161</f>
        <v/>
      </c>
    </row>
    <row r="109" ht="15" customHeight="1">
      <c r="D109" s="241">
        <f>'3°Q - Negativo'!B162</f>
        <v/>
      </c>
      <c r="E109" s="592">
        <f>'3°Q - Negativo'!C162</f>
        <v/>
      </c>
      <c r="F109" s="592">
        <f>'3°Q - Negativo'!D162</f>
        <v/>
      </c>
      <c r="G109" s="592">
        <f>'3°Q - Negativo'!E162</f>
        <v/>
      </c>
      <c r="H109" s="592">
        <f>'3°Q - Negativo'!F162</f>
        <v/>
      </c>
      <c r="I109" s="593">
        <f>'3°Q - Negativo'!G162</f>
        <v/>
      </c>
      <c r="J109" s="235" t="n"/>
      <c r="K109" s="245" t="n"/>
      <c r="L109" s="245" t="n"/>
    </row>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sheetData>
  <mergeCells count="53">
    <mergeCell ref="P21:R21"/>
    <mergeCell ref="K79:K80"/>
    <mergeCell ref="I74:J74"/>
    <mergeCell ref="K22:M22"/>
    <mergeCell ref="F11:M11"/>
    <mergeCell ref="E33:F33"/>
    <mergeCell ref="G98:H98"/>
    <mergeCell ref="C7:L7"/>
    <mergeCell ref="F10:M10"/>
    <mergeCell ref="F16:M16"/>
    <mergeCell ref="G70:H70"/>
    <mergeCell ref="L102:L103"/>
    <mergeCell ref="G97:H97"/>
    <mergeCell ref="E39:F39"/>
    <mergeCell ref="I70:J70"/>
    <mergeCell ref="I91:J91"/>
    <mergeCell ref="E38:F38"/>
    <mergeCell ref="F12:M12"/>
    <mergeCell ref="F15:M15"/>
    <mergeCell ref="C18:L18"/>
    <mergeCell ref="F95:J95"/>
    <mergeCell ref="L79:L80"/>
    <mergeCell ref="K27:M27"/>
    <mergeCell ref="I75:J75"/>
    <mergeCell ref="G93:H93"/>
    <mergeCell ref="I97:J97"/>
    <mergeCell ref="I93:J93"/>
    <mergeCell ref="G69:H69"/>
    <mergeCell ref="K102:K103"/>
    <mergeCell ref="I96:J96"/>
    <mergeCell ref="G74:H74"/>
    <mergeCell ref="I68:J68"/>
    <mergeCell ref="G92:H92"/>
    <mergeCell ref="G68:H68"/>
    <mergeCell ref="I92:J92"/>
    <mergeCell ref="F72:J72"/>
    <mergeCell ref="F90:J90"/>
    <mergeCell ref="I98:J98"/>
    <mergeCell ref="C63:L63"/>
    <mergeCell ref="F13:M13"/>
    <mergeCell ref="P17:R20"/>
    <mergeCell ref="G73:H73"/>
    <mergeCell ref="F67:J67"/>
    <mergeCell ref="I73:J73"/>
    <mergeCell ref="G91:H91"/>
    <mergeCell ref="F9:M9"/>
    <mergeCell ref="E32:F32"/>
    <mergeCell ref="P22:R22"/>
    <mergeCell ref="K21:M21"/>
    <mergeCell ref="G75:H75"/>
    <mergeCell ref="F14:M14"/>
    <mergeCell ref="I69:J69"/>
    <mergeCell ref="G96:H96"/>
  </mergeCells>
  <hyperlinks>
    <hyperlink ref="M5" r:id="rId1"/>
    <hyperlink ref="M60" r:id="rId2"/>
  </hyperlinks>
  <pageMargins left="0.25" right="0.25" top="0.75" bottom="0.75" header="0.511811023622047" footer="0.511811023622047"/>
  <pageSetup orientation="portrait" paperSize="9" scale="99" horizontalDpi="300" verticalDpi="30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Emanuele Viviani</dc:creator>
  <dc:language>en-US</dc:language>
  <dcterms:created xsi:type="dcterms:W3CDTF">2015-06-05T18:19:34Z</dcterms:created>
  <dcterms:modified xsi:type="dcterms:W3CDTF">2024-07-17T16:15:27Z</dcterms:modified>
  <cp:lastModifiedBy>francesco rumiz</cp:lastModifiedBy>
  <cp:revision>2</cp:revision>
  <cp:lastPrinted>2024-06-28T12:05:48Z</cp:lastPrinted>
</cp:coreProperties>
</file>