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h\OneDrive\Documents\"/>
    </mc:Choice>
  </mc:AlternateContent>
  <xr:revisionPtr revIDLastSave="0" documentId="13_ncr:1_{1876702F-7F17-40C7-8286-E710ECB73422}" xr6:coauthVersionLast="47" xr6:coauthVersionMax="47" xr10:uidLastSave="{00000000-0000-0000-0000-000000000000}"/>
  <workbookProtection workbookAlgorithmName="SHA-512" workbookHashValue="aPQ+TNeNpT9ocq0zDpj0j9qL1k6TmimAD0+3r+wqH4Hx4FoazLNCNofTgsUF97DVtJzhQYtWC/arthRp7LZAlg==" workbookSaltValue="3N8zjfjdIUCaJay9dF6vuw==" workbookSpinCount="100000" lockStructure="1"/>
  <bookViews>
    <workbookView xWindow="-110" yWindow="-110" windowWidth="19420" windowHeight="10300" activeTab="3" xr2:uid="{A14EFF6B-D03B-469A-8A28-048CD0FDDDA4}"/>
  </bookViews>
  <sheets>
    <sheet name="Salary4" sheetId="5" r:id="rId1"/>
    <sheet name="Salary3" sheetId="4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L8" i="1" a="1"/>
  <c r="L8" i="1" s="1"/>
  <c r="L9" i="1" a="1"/>
  <c r="L9" i="1"/>
  <c r="L10" i="1" a="1"/>
  <c r="L10" i="1" s="1"/>
  <c r="L6" i="1" a="1"/>
  <c r="L6" i="1" s="1"/>
  <c r="N4" i="2"/>
  <c r="P5" i="2"/>
  <c r="P6" i="2"/>
  <c r="P7" i="2"/>
  <c r="P8" i="2"/>
  <c r="P4" i="2"/>
  <c r="L9" i="5"/>
  <c r="L10" i="5"/>
  <c r="L11" i="5"/>
  <c r="L12" i="5"/>
  <c r="L8" i="5"/>
  <c r="P7" i="4"/>
  <c r="P8" i="4"/>
  <c r="P9" i="4"/>
  <c r="P10" i="4"/>
  <c r="P6" i="4"/>
  <c r="N6" i="4"/>
  <c r="G8" i="5"/>
  <c r="G11" i="5"/>
  <c r="F11" i="5"/>
  <c r="G9" i="5"/>
  <c r="F9" i="5"/>
  <c r="H23" i="5"/>
  <c r="N9" i="5"/>
  <c r="N10" i="5"/>
  <c r="N11" i="5"/>
  <c r="N12" i="5"/>
  <c r="N8" i="5"/>
  <c r="G10" i="5"/>
  <c r="G12" i="5"/>
  <c r="F23" i="5"/>
  <c r="F22" i="5"/>
  <c r="F21" i="5"/>
  <c r="H5" i="2" l="1"/>
  <c r="H4" i="2"/>
  <c r="N5" i="2"/>
  <c r="K7" i="1"/>
  <c r="K8" i="1"/>
  <c r="K9" i="1"/>
  <c r="K10" i="1"/>
  <c r="K6" i="1"/>
  <c r="G6" i="1"/>
  <c r="G8" i="1"/>
  <c r="H8" i="1" s="1"/>
  <c r="I8" i="1" s="1"/>
  <c r="G9" i="1"/>
  <c r="G10" i="1"/>
  <c r="H10" i="1" s="1"/>
  <c r="I10" i="1" s="1"/>
  <c r="G7" i="1"/>
  <c r="H7" i="1"/>
  <c r="I7" i="1" s="1"/>
  <c r="H9" i="1"/>
  <c r="I9" i="1" s="1"/>
  <c r="F7" i="1"/>
  <c r="F8" i="1"/>
  <c r="F9" i="1"/>
  <c r="F10" i="1"/>
  <c r="F6" i="1"/>
  <c r="I9" i="5"/>
  <c r="I10" i="5"/>
  <c r="I11" i="5"/>
  <c r="I8" i="5"/>
  <c r="H9" i="5"/>
  <c r="H10" i="5"/>
  <c r="H11" i="5"/>
  <c r="H8" i="5"/>
  <c r="H12" i="5"/>
  <c r="F10" i="5"/>
  <c r="F12" i="5"/>
  <c r="F8" i="5"/>
  <c r="G7" i="4"/>
  <c r="G8" i="4"/>
  <c r="F7" i="4"/>
  <c r="F8" i="4"/>
  <c r="F9" i="4"/>
  <c r="F10" i="4"/>
  <c r="G10" i="4" s="1"/>
  <c r="F6" i="4"/>
  <c r="G6" i="4" s="1"/>
  <c r="I5" i="2"/>
  <c r="G5" i="2"/>
  <c r="G6" i="2"/>
  <c r="G7" i="2"/>
  <c r="G8" i="2"/>
  <c r="G4" i="2"/>
  <c r="F5" i="2"/>
  <c r="F6" i="2"/>
  <c r="I6" i="2" s="1"/>
  <c r="F7" i="2"/>
  <c r="I7" i="2" s="1"/>
  <c r="F8" i="2"/>
  <c r="H8" i="2" s="1"/>
  <c r="F4" i="2"/>
  <c r="I4" i="2" s="1"/>
  <c r="E7" i="1"/>
  <c r="E8" i="1"/>
  <c r="E9" i="1"/>
  <c r="E10" i="1"/>
  <c r="E6" i="1"/>
  <c r="N6" i="2" l="1"/>
  <c r="H6" i="2"/>
  <c r="J6" i="2" s="1"/>
  <c r="N7" i="2"/>
  <c r="H7" i="2"/>
  <c r="J7" i="2" s="1"/>
  <c r="K7" i="2" s="1"/>
  <c r="L7" i="2" s="1"/>
  <c r="N8" i="2"/>
  <c r="J11" i="5"/>
  <c r="J10" i="5"/>
  <c r="J8" i="5"/>
  <c r="J9" i="5"/>
  <c r="I12" i="5"/>
  <c r="J12" i="5" s="1"/>
  <c r="G9" i="4"/>
  <c r="H9" i="4" s="1"/>
  <c r="H8" i="4"/>
  <c r="H7" i="4"/>
  <c r="I7" i="4"/>
  <c r="J7" i="4" s="1"/>
  <c r="I8" i="4"/>
  <c r="J8" i="4" s="1"/>
  <c r="H6" i="4"/>
  <c r="H10" i="4"/>
  <c r="I8" i="2"/>
  <c r="J8" i="2" s="1"/>
  <c r="J5" i="2"/>
  <c r="J4" i="2"/>
  <c r="H6" i="1"/>
  <c r="I6" i="1" s="1"/>
  <c r="N9" i="4" l="1"/>
  <c r="I9" i="4"/>
  <c r="J9" i="4" s="1"/>
  <c r="N8" i="4"/>
  <c r="N7" i="4"/>
  <c r="N10" i="4"/>
  <c r="K7" i="4"/>
  <c r="L7" i="4"/>
  <c r="K8" i="4"/>
  <c r="L8" i="4"/>
  <c r="K9" i="4"/>
  <c r="L9" i="4"/>
  <c r="I6" i="4"/>
  <c r="J6" i="4" s="1"/>
  <c r="I10" i="4"/>
  <c r="J10" i="4" s="1"/>
  <c r="K8" i="2"/>
  <c r="L8" i="2" s="1"/>
  <c r="K6" i="2"/>
  <c r="L6" i="2" s="1"/>
  <c r="K5" i="2"/>
  <c r="L5" i="2" s="1"/>
  <c r="K4" i="2"/>
  <c r="L4" i="2" s="1"/>
  <c r="K10" i="4" l="1"/>
  <c r="L10" i="4"/>
  <c r="K6" i="4"/>
  <c r="L6" i="4" s="1"/>
</calcChain>
</file>

<file path=xl/sharedStrings.xml><?xml version="1.0" encoding="utf-8"?>
<sst xmlns="http://schemas.openxmlformats.org/spreadsheetml/2006/main" count="86" uniqueCount="73">
  <si>
    <t>sn</t>
  </si>
  <si>
    <t>name</t>
  </si>
  <si>
    <t>salary(per month)</t>
  </si>
  <si>
    <t>Yearly salary</t>
  </si>
  <si>
    <t>service</t>
  </si>
  <si>
    <t>income</t>
  </si>
  <si>
    <t>net salary</t>
  </si>
  <si>
    <t>tax</t>
  </si>
  <si>
    <t>Ram paudel</t>
  </si>
  <si>
    <t>hari sharma</t>
  </si>
  <si>
    <t>karan nepal</t>
  </si>
  <si>
    <t>kiran adikari</t>
  </si>
  <si>
    <t>mohan shrestha</t>
  </si>
  <si>
    <t>total</t>
  </si>
  <si>
    <t>designation</t>
  </si>
  <si>
    <t>previous salary</t>
  </si>
  <si>
    <t>allowance</t>
  </si>
  <si>
    <t>providend fund(10%)</t>
  </si>
  <si>
    <t>tax(1%)</t>
  </si>
  <si>
    <t>ceo</t>
  </si>
  <si>
    <t>manager</t>
  </si>
  <si>
    <t>chief</t>
  </si>
  <si>
    <t>officer</t>
  </si>
  <si>
    <t>operator</t>
  </si>
  <si>
    <t>a</t>
  </si>
  <si>
    <t>c</t>
  </si>
  <si>
    <t>b</t>
  </si>
  <si>
    <t>d</t>
  </si>
  <si>
    <t>e</t>
  </si>
  <si>
    <t>per(%)of increment salary</t>
  </si>
  <si>
    <t>salary increase by                  (rs 25000)</t>
  </si>
  <si>
    <t>total salary</t>
  </si>
  <si>
    <t>ITEMS and PROUDCT</t>
  </si>
  <si>
    <t>SN</t>
  </si>
  <si>
    <t>Item Name</t>
  </si>
  <si>
    <t>Rate</t>
  </si>
  <si>
    <t>Quantity</t>
  </si>
  <si>
    <t>Total Amount</t>
  </si>
  <si>
    <t>After</t>
  </si>
  <si>
    <t>VAT(13%)</t>
  </si>
  <si>
    <t>Net Amount</t>
  </si>
  <si>
    <t>Discount</t>
  </si>
  <si>
    <t xml:space="preserve">Discount </t>
  </si>
  <si>
    <t xml:space="preserve">Service </t>
  </si>
  <si>
    <t>Gross</t>
  </si>
  <si>
    <t>Amount</t>
  </si>
  <si>
    <t>Charge</t>
  </si>
  <si>
    <t>Hari Sharma</t>
  </si>
  <si>
    <t>karan Nepal</t>
  </si>
  <si>
    <t>Kiran Adhikari</t>
  </si>
  <si>
    <t>Mohan Shrestha</t>
  </si>
  <si>
    <t>after disc amt</t>
  </si>
  <si>
    <t>sercharge</t>
  </si>
  <si>
    <t>TELECOM</t>
  </si>
  <si>
    <t>Month</t>
  </si>
  <si>
    <t>Total Calls</t>
  </si>
  <si>
    <t>Sub Total</t>
  </si>
  <si>
    <t>Tax</t>
  </si>
  <si>
    <t>VAT</t>
  </si>
  <si>
    <t>Grand Total</t>
  </si>
  <si>
    <t>salary</t>
  </si>
  <si>
    <t>income tax  by vlookup</t>
  </si>
  <si>
    <t>allowance by vlookup</t>
  </si>
  <si>
    <t>rate</t>
  </si>
  <si>
    <t>per inc salary</t>
  </si>
  <si>
    <t>service charge by vlookup</t>
  </si>
  <si>
    <t>xlookup</t>
  </si>
  <si>
    <t>correct</t>
  </si>
  <si>
    <t>allowance by xlookup</t>
  </si>
  <si>
    <t>TABLE</t>
  </si>
  <si>
    <t>table</t>
  </si>
  <si>
    <t>Previous
reading</t>
  </si>
  <si>
    <t>Current
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</si>
</sst>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4"/>
      <color theme="9" tint="-0.249977111117893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0" fillId="7" borderId="3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9" fontId="1" fillId="6" borderId="2" xfId="0" applyNumberFormat="1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1" fillId="3" borderId="7" xfId="0" applyFont="1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/>
    <xf numFmtId="0" fontId="1" fillId="7" borderId="0" xfId="0" applyFont="1" applyFill="1"/>
    <xf numFmtId="0" fontId="0" fillId="8" borderId="6" xfId="0" applyFill="1" applyBorder="1"/>
    <xf numFmtId="0" fontId="0" fillId="4" borderId="1" xfId="0" applyFill="1" applyBorder="1"/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8" borderId="6" xfId="0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FFC5-E60B-458B-9DC9-F1EEC089FB8A}">
  <dimension ref="B5:N23"/>
  <sheetViews>
    <sheetView zoomScale="60" workbookViewId="0">
      <selection activeCell="F6" sqref="F6:F7"/>
    </sheetView>
  </sheetViews>
  <sheetFormatPr defaultRowHeight="14.5" x14ac:dyDescent="0.35"/>
  <cols>
    <col min="2" max="2" width="5.1796875" customWidth="1"/>
    <col min="3" max="3" width="17.1796875" customWidth="1"/>
    <col min="4" max="4" width="15.54296875" customWidth="1"/>
    <col min="5" max="5" width="15.7265625" customWidth="1"/>
    <col min="6" max="6" width="17" customWidth="1"/>
    <col min="7" max="7" width="17.54296875" customWidth="1"/>
    <col min="8" max="8" width="14.7265625" customWidth="1"/>
    <col min="9" max="9" width="13" customWidth="1"/>
    <col min="10" max="10" width="15.453125" customWidth="1"/>
  </cols>
  <sheetData>
    <row r="5" spans="2:14" x14ac:dyDescent="0.35">
      <c r="B5" s="24" t="s">
        <v>53</v>
      </c>
      <c r="C5" s="24"/>
      <c r="D5" s="24"/>
      <c r="E5" s="24"/>
      <c r="F5" s="24"/>
      <c r="G5" s="24"/>
      <c r="H5" s="24"/>
      <c r="I5" s="24"/>
      <c r="J5" s="24"/>
    </row>
    <row r="6" spans="2:14" x14ac:dyDescent="0.35">
      <c r="B6" s="25" t="s">
        <v>33</v>
      </c>
      <c r="C6" s="25" t="s">
        <v>54</v>
      </c>
      <c r="D6" s="35" t="s">
        <v>71</v>
      </c>
      <c r="E6" s="35" t="s">
        <v>72</v>
      </c>
      <c r="F6" s="25" t="s">
        <v>55</v>
      </c>
      <c r="G6" s="25" t="s">
        <v>56</v>
      </c>
      <c r="H6" s="25" t="s">
        <v>57</v>
      </c>
      <c r="I6" s="25" t="s">
        <v>58</v>
      </c>
      <c r="J6" s="25" t="s">
        <v>59</v>
      </c>
    </row>
    <row r="7" spans="2:14" ht="18.5" x14ac:dyDescent="0.45">
      <c r="B7" s="25"/>
      <c r="C7" s="25"/>
      <c r="D7" s="34"/>
      <c r="E7" s="34"/>
      <c r="F7" s="25"/>
      <c r="G7" s="25"/>
      <c r="H7" s="25"/>
      <c r="I7" s="25"/>
      <c r="J7" s="25"/>
      <c r="L7" s="28" t="b">
        <v>0</v>
      </c>
      <c r="N7" s="29" t="s">
        <v>67</v>
      </c>
    </row>
    <row r="8" spans="2:14" x14ac:dyDescent="0.35">
      <c r="B8" s="14">
        <v>1</v>
      </c>
      <c r="C8" s="12" t="s">
        <v>8</v>
      </c>
      <c r="D8" s="14">
        <v>1200</v>
      </c>
      <c r="E8" s="14">
        <v>1425</v>
      </c>
      <c r="F8" s="12">
        <f>E8-D8</f>
        <v>225</v>
      </c>
      <c r="G8" s="16">
        <f>IF(F8&lt;100,200,IF(F8&gt;100,F8*1.5,F8*2.5))</f>
        <v>337.5</v>
      </c>
      <c r="H8" s="12">
        <f>10%*G8</f>
        <v>33.75</v>
      </c>
      <c r="I8" s="12">
        <f>13%*G8</f>
        <v>43.875</v>
      </c>
      <c r="J8" s="12">
        <f>G8+H8+I8</f>
        <v>415.125</v>
      </c>
      <c r="L8" s="18">
        <f>F8*_xlfn.XLOOKUP(F8,$H$16:$H$18,$I$16:$I$18,0,-1)</f>
        <v>337.5</v>
      </c>
      <c r="N8" s="18">
        <f>IF(F8&lt;100,200,F8*_xlfn.XLOOKUP(F8,$H$16:$H$18,$I$16:$I$18,0,-1))</f>
        <v>337.5</v>
      </c>
    </row>
    <row r="9" spans="2:14" x14ac:dyDescent="0.35">
      <c r="B9" s="14">
        <v>2</v>
      </c>
      <c r="C9" s="12" t="s">
        <v>47</v>
      </c>
      <c r="D9" s="14">
        <v>1050</v>
      </c>
      <c r="E9" s="14">
        <v>1189</v>
      </c>
      <c r="F9" s="12">
        <f>E9-D9</f>
        <v>139</v>
      </c>
      <c r="G9" s="16">
        <f>IF(F9&lt;100,200,IF(F9&gt;100,F9*1.5,F9*2.5))</f>
        <v>208.5</v>
      </c>
      <c r="H9" s="12">
        <f t="shared" ref="H9:H12" si="0">10%*G9</f>
        <v>20.85</v>
      </c>
      <c r="I9" s="12">
        <f t="shared" ref="I9:I12" si="1">13%*G9</f>
        <v>27.105</v>
      </c>
      <c r="J9" s="12">
        <f t="shared" ref="J9:J12" si="2">G9+H9+I9</f>
        <v>256.45499999999998</v>
      </c>
      <c r="L9" s="18">
        <f t="shared" ref="L9:L12" si="3">F9*_xlfn.XLOOKUP(F9,$H$16:$H$18,$I$16:$I$18,0,-1)</f>
        <v>208.5</v>
      </c>
      <c r="N9" s="18">
        <f t="shared" ref="N9:N12" si="4">IF(F9&lt;100,200,F9*_xlfn.XLOOKUP(F9,$H$16:$H$18,$I$16:$I$18,0,-1))</f>
        <v>208.5</v>
      </c>
    </row>
    <row r="10" spans="2:14" x14ac:dyDescent="0.35">
      <c r="B10" s="14">
        <v>3</v>
      </c>
      <c r="C10" s="12" t="s">
        <v>48</v>
      </c>
      <c r="D10" s="14">
        <v>950</v>
      </c>
      <c r="E10" s="14">
        <v>1100</v>
      </c>
      <c r="F10" s="12">
        <f t="shared" ref="F10:F12" si="5">E10-D10</f>
        <v>150</v>
      </c>
      <c r="G10" s="16">
        <f t="shared" ref="G10:G12" si="6">IF(F10&lt;100,200,IF(F10&gt;100,F10*1.5,F10*2.5))</f>
        <v>225</v>
      </c>
      <c r="H10" s="12">
        <f t="shared" si="0"/>
        <v>22.5</v>
      </c>
      <c r="I10" s="12">
        <f t="shared" si="1"/>
        <v>29.25</v>
      </c>
      <c r="J10" s="12">
        <f t="shared" si="2"/>
        <v>276.75</v>
      </c>
      <c r="L10" s="18">
        <f t="shared" si="3"/>
        <v>225</v>
      </c>
      <c r="N10" s="18">
        <f t="shared" si="4"/>
        <v>225</v>
      </c>
    </row>
    <row r="11" spans="2:14" x14ac:dyDescent="0.35">
      <c r="B11" s="14">
        <v>4</v>
      </c>
      <c r="C11" s="12" t="s">
        <v>49</v>
      </c>
      <c r="D11" s="14">
        <v>1452</v>
      </c>
      <c r="E11" s="14">
        <v>1532</v>
      </c>
      <c r="F11" s="12">
        <f>E11-D11</f>
        <v>80</v>
      </c>
      <c r="G11" s="16">
        <f>IF(F11&lt;100,200,IF(F11&gt;100,F11*1.5,F11*2.5))</f>
        <v>200</v>
      </c>
      <c r="H11" s="12">
        <f t="shared" si="0"/>
        <v>20</v>
      </c>
      <c r="I11" s="12">
        <f t="shared" si="1"/>
        <v>26</v>
      </c>
      <c r="J11" s="12">
        <f t="shared" si="2"/>
        <v>246</v>
      </c>
      <c r="L11" s="18">
        <f t="shared" si="3"/>
        <v>16000</v>
      </c>
      <c r="N11" s="18">
        <f t="shared" si="4"/>
        <v>200</v>
      </c>
    </row>
    <row r="12" spans="2:14" x14ac:dyDescent="0.35">
      <c r="B12" s="14">
        <v>5</v>
      </c>
      <c r="C12" s="12" t="s">
        <v>50</v>
      </c>
      <c r="D12" s="14">
        <v>88</v>
      </c>
      <c r="E12" s="14">
        <v>1491</v>
      </c>
      <c r="F12" s="12">
        <f t="shared" si="5"/>
        <v>1403</v>
      </c>
      <c r="G12" s="16">
        <f t="shared" si="6"/>
        <v>2104.5</v>
      </c>
      <c r="H12" s="12">
        <f t="shared" si="0"/>
        <v>210.45000000000002</v>
      </c>
      <c r="I12" s="12">
        <f t="shared" si="1"/>
        <v>273.58500000000004</v>
      </c>
      <c r="J12" s="12">
        <f t="shared" si="2"/>
        <v>2588.5349999999999</v>
      </c>
      <c r="L12" s="18">
        <f t="shared" si="3"/>
        <v>3507.5</v>
      </c>
      <c r="N12" s="18">
        <f t="shared" si="4"/>
        <v>3507.5</v>
      </c>
    </row>
    <row r="15" spans="2:14" ht="21" x14ac:dyDescent="0.5">
      <c r="H15" s="33" t="s">
        <v>70</v>
      </c>
      <c r="I15" s="33"/>
    </row>
    <row r="16" spans="2:14" x14ac:dyDescent="0.35">
      <c r="H16" s="23">
        <v>0</v>
      </c>
      <c r="I16" s="23">
        <v>200</v>
      </c>
    </row>
    <row r="17" spans="6:9" x14ac:dyDescent="0.35">
      <c r="H17" s="23">
        <v>100</v>
      </c>
      <c r="I17" s="23">
        <v>1.5</v>
      </c>
    </row>
    <row r="18" spans="6:9" x14ac:dyDescent="0.35">
      <c r="H18" s="23">
        <v>250</v>
      </c>
      <c r="I18" s="23">
        <v>2.5</v>
      </c>
    </row>
    <row r="21" spans="6:9" x14ac:dyDescent="0.35">
      <c r="F21">
        <f>1403+1403*2.5%</f>
        <v>1438.075</v>
      </c>
    </row>
    <row r="22" spans="6:9" x14ac:dyDescent="0.35">
      <c r="F22">
        <f>150*1.5</f>
        <v>225</v>
      </c>
    </row>
    <row r="23" spans="6:9" x14ac:dyDescent="0.35">
      <c r="F23">
        <f>1403*2.5</f>
        <v>3507.5</v>
      </c>
      <c r="H23">
        <f>1403*2.5</f>
        <v>3507.5</v>
      </c>
    </row>
  </sheetData>
  <sheetProtection selectLockedCells="1"/>
  <protectedRanges>
    <protectedRange algorithmName="SHA-512" hashValue="UQi4OhvrkcWCQlsB62F2SVS9yg0yk53N5sgUmVLqDsHxmW5zHX0ORo9T8dcpVCqa1nJL57ytBFMNG6bYj7D10Q==" saltValue="hAyOD7C3Rqo71XnTmND0tQ==" spinCount="100000" sqref="G6:G7" name="Range1"/>
  </protectedRanges>
  <mergeCells count="11">
    <mergeCell ref="H15:I15"/>
    <mergeCell ref="D6:D7"/>
    <mergeCell ref="E6:E7"/>
    <mergeCell ref="B5:J5"/>
    <mergeCell ref="B6:B7"/>
    <mergeCell ref="C6:C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7573-F12A-4EB6-A222-9E72A0770651}">
  <dimension ref="B2:P19"/>
  <sheetViews>
    <sheetView zoomScale="62" zoomScaleNormal="76" workbookViewId="0">
      <selection activeCell="I6" sqref="I6"/>
    </sheetView>
  </sheetViews>
  <sheetFormatPr defaultRowHeight="14.5" x14ac:dyDescent="0.35"/>
  <cols>
    <col min="2" max="2" width="5.26953125" customWidth="1"/>
    <col min="3" max="3" width="15.81640625" customWidth="1"/>
    <col min="4" max="4" width="16" customWidth="1"/>
    <col min="5" max="5" width="15.7265625" customWidth="1"/>
    <col min="6" max="6" width="17" customWidth="1"/>
    <col min="7" max="7" width="13" customWidth="1"/>
    <col min="8" max="8" width="15.26953125" customWidth="1"/>
    <col min="9" max="9" width="15.54296875" customWidth="1"/>
    <col min="10" max="10" width="16.26953125" customWidth="1"/>
    <col min="11" max="11" width="12.54296875" customWidth="1"/>
    <col min="12" max="12" width="16.81640625" customWidth="1"/>
    <col min="14" max="14" width="21.90625" customWidth="1"/>
  </cols>
  <sheetData>
    <row r="2" spans="2:16" x14ac:dyDescent="0.35">
      <c r="B2" s="24" t="s">
        <v>32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6" x14ac:dyDescent="0.35">
      <c r="B3" s="25" t="s">
        <v>33</v>
      </c>
      <c r="C3" s="25" t="s">
        <v>34</v>
      </c>
      <c r="D3" s="25" t="s">
        <v>35</v>
      </c>
      <c r="E3" s="25" t="s">
        <v>36</v>
      </c>
      <c r="F3" s="25" t="s">
        <v>37</v>
      </c>
      <c r="G3" s="4"/>
      <c r="H3" s="5" t="s">
        <v>38</v>
      </c>
      <c r="I3" s="6"/>
      <c r="J3" s="6"/>
      <c r="K3" s="25" t="s">
        <v>39</v>
      </c>
      <c r="L3" s="25" t="s">
        <v>40</v>
      </c>
    </row>
    <row r="4" spans="2:16" x14ac:dyDescent="0.35">
      <c r="B4" s="25"/>
      <c r="C4" s="25"/>
      <c r="D4" s="25"/>
      <c r="E4" s="25"/>
      <c r="F4" s="25"/>
      <c r="G4" s="7" t="s">
        <v>41</v>
      </c>
      <c r="H4" s="8" t="s">
        <v>42</v>
      </c>
      <c r="I4" s="8" t="s">
        <v>43</v>
      </c>
      <c r="J4" s="8" t="s">
        <v>44</v>
      </c>
      <c r="K4" s="25"/>
      <c r="L4" s="25"/>
    </row>
    <row r="5" spans="2:16" x14ac:dyDescent="0.35">
      <c r="B5" s="25"/>
      <c r="C5" s="25"/>
      <c r="D5" s="25"/>
      <c r="E5" s="25"/>
      <c r="F5" s="25"/>
      <c r="G5" s="9">
        <v>-0.05</v>
      </c>
      <c r="H5" s="10" t="s">
        <v>45</v>
      </c>
      <c r="I5" s="10" t="s">
        <v>46</v>
      </c>
      <c r="J5" s="10" t="s">
        <v>45</v>
      </c>
      <c r="K5" s="25"/>
      <c r="L5" s="25"/>
      <c r="N5" s="21" t="s">
        <v>65</v>
      </c>
      <c r="P5" s="23" t="s">
        <v>66</v>
      </c>
    </row>
    <row r="6" spans="2:16" x14ac:dyDescent="0.35">
      <c r="B6" s="11">
        <v>1</v>
      </c>
      <c r="C6" s="12" t="s">
        <v>8</v>
      </c>
      <c r="D6" s="11">
        <v>1200</v>
      </c>
      <c r="E6" s="11">
        <v>1</v>
      </c>
      <c r="F6" s="13">
        <f>D6*E6</f>
        <v>1200</v>
      </c>
      <c r="G6" s="13">
        <f>5%*F6</f>
        <v>60</v>
      </c>
      <c r="H6" s="13">
        <f>F6-G6</f>
        <v>1140</v>
      </c>
      <c r="I6" s="22">
        <f>IF(H6&gt;=50000,20%*H6,IF(H6&gt;=25000,15%*H6,IF(H6&gt;=10000,10%*H6,5%*H6)))</f>
        <v>57</v>
      </c>
      <c r="J6" s="13">
        <f>H6+I6</f>
        <v>1197</v>
      </c>
      <c r="K6" s="13">
        <f>13%*J6</f>
        <v>155.61000000000001</v>
      </c>
      <c r="L6" s="13">
        <f>J6+K6</f>
        <v>1352.6100000000001</v>
      </c>
      <c r="N6" s="18">
        <f>H6*VLOOKUP(H6,$I$14:$J$18,2,1)%</f>
        <v>57</v>
      </c>
      <c r="P6" s="16">
        <f>H6*(_xlfn.XLOOKUP(H6,$I$14:$I$18,$J$14:$J$18,0,-1))%</f>
        <v>57</v>
      </c>
    </row>
    <row r="7" spans="2:16" x14ac:dyDescent="0.35">
      <c r="B7" s="11">
        <v>2</v>
      </c>
      <c r="C7" s="12" t="s">
        <v>47</v>
      </c>
      <c r="D7" s="14">
        <v>1050</v>
      </c>
      <c r="E7" s="14">
        <v>27</v>
      </c>
      <c r="F7" s="13">
        <f t="shared" ref="F7:F10" si="0">D7*E7</f>
        <v>28350</v>
      </c>
      <c r="G7" s="13">
        <f t="shared" ref="G7:G10" si="1">5%*F7</f>
        <v>1417.5</v>
      </c>
      <c r="H7" s="13">
        <f t="shared" ref="H7:H10" si="2">F7-G7</f>
        <v>26932.5</v>
      </c>
      <c r="I7" s="22">
        <f t="shared" ref="I7:I10" si="3">IF(H7&gt;=50000,20%*H7,IF(H7&gt;=25000,15%*H7,IF(H7&gt;=10000,10%*H7,5%*H7)))</f>
        <v>4039.875</v>
      </c>
      <c r="J7" s="13">
        <f t="shared" ref="J7:J10" si="4">H7+I7</f>
        <v>30972.375</v>
      </c>
      <c r="K7" s="13">
        <f t="shared" ref="K7:K10" si="5">13%*J7</f>
        <v>4026.4087500000001</v>
      </c>
      <c r="L7" s="13">
        <f t="shared" ref="L7:L10" si="6">J7+K7</f>
        <v>34998.783750000002</v>
      </c>
      <c r="N7" s="18">
        <f>H7*VLOOKUP(H7,$I$14:$J$18,2,1)%</f>
        <v>4039.875</v>
      </c>
      <c r="P7" s="16">
        <f t="shared" ref="P7:P10" si="7">H7*(_xlfn.XLOOKUP(H7,$I$14:$I$18,$J$14:$J$18,0,-1))%</f>
        <v>4039.875</v>
      </c>
    </row>
    <row r="8" spans="2:16" x14ac:dyDescent="0.35">
      <c r="B8" s="11">
        <v>3</v>
      </c>
      <c r="C8" s="12" t="s">
        <v>48</v>
      </c>
      <c r="D8" s="14">
        <v>950</v>
      </c>
      <c r="E8" s="14">
        <v>20</v>
      </c>
      <c r="F8" s="13">
        <f t="shared" si="0"/>
        <v>19000</v>
      </c>
      <c r="G8" s="13">
        <f t="shared" si="1"/>
        <v>950</v>
      </c>
      <c r="H8" s="13">
        <f t="shared" si="2"/>
        <v>18050</v>
      </c>
      <c r="I8" s="22">
        <f t="shared" si="3"/>
        <v>1805</v>
      </c>
      <c r="J8" s="13">
        <f t="shared" si="4"/>
        <v>19855</v>
      </c>
      <c r="K8" s="13">
        <f t="shared" si="5"/>
        <v>2581.15</v>
      </c>
      <c r="L8" s="13">
        <f t="shared" si="6"/>
        <v>22436.15</v>
      </c>
      <c r="N8" s="18">
        <f>H8*VLOOKUP(H8,$I$14:$J$18,2,1)%</f>
        <v>1805</v>
      </c>
      <c r="P8" s="16">
        <f t="shared" si="7"/>
        <v>1805</v>
      </c>
    </row>
    <row r="9" spans="2:16" x14ac:dyDescent="0.35">
      <c r="B9" s="11">
        <v>4</v>
      </c>
      <c r="C9" s="12" t="s">
        <v>49</v>
      </c>
      <c r="D9" s="14">
        <v>1452</v>
      </c>
      <c r="E9" s="14">
        <v>105</v>
      </c>
      <c r="F9" s="13">
        <f t="shared" si="0"/>
        <v>152460</v>
      </c>
      <c r="G9" s="13">
        <f t="shared" si="1"/>
        <v>7623</v>
      </c>
      <c r="H9" s="13">
        <f t="shared" si="2"/>
        <v>144837</v>
      </c>
      <c r="I9" s="22">
        <f t="shared" si="3"/>
        <v>28967.4</v>
      </c>
      <c r="J9" s="13">
        <f t="shared" si="4"/>
        <v>173804.4</v>
      </c>
      <c r="K9" s="13">
        <f t="shared" si="5"/>
        <v>22594.572</v>
      </c>
      <c r="L9" s="13">
        <f t="shared" si="6"/>
        <v>196398.97200000001</v>
      </c>
      <c r="N9" s="18">
        <f t="shared" ref="N9" si="8">H9*VLOOKUP(H9,$I$14:$J$18,2,1)%</f>
        <v>28967.4</v>
      </c>
      <c r="P9" s="16">
        <f t="shared" si="7"/>
        <v>28967.4</v>
      </c>
    </row>
    <row r="10" spans="2:16" x14ac:dyDescent="0.35">
      <c r="B10" s="11">
        <v>5</v>
      </c>
      <c r="C10" s="12" t="s">
        <v>50</v>
      </c>
      <c r="D10" s="14">
        <v>1375</v>
      </c>
      <c r="E10" s="14">
        <v>2</v>
      </c>
      <c r="F10" s="13">
        <f t="shared" si="0"/>
        <v>2750</v>
      </c>
      <c r="G10" s="13">
        <f t="shared" si="1"/>
        <v>137.5</v>
      </c>
      <c r="H10" s="13">
        <f t="shared" si="2"/>
        <v>2612.5</v>
      </c>
      <c r="I10" s="22">
        <f t="shared" si="3"/>
        <v>130.625</v>
      </c>
      <c r="J10" s="13">
        <f t="shared" si="4"/>
        <v>2743.125</v>
      </c>
      <c r="K10" s="13">
        <f t="shared" si="5"/>
        <v>356.60624999999999</v>
      </c>
      <c r="L10" s="13">
        <f t="shared" si="6"/>
        <v>3099.7312499999998</v>
      </c>
      <c r="N10" s="18">
        <f>H10*VLOOKUP(H10,$I$14:$J$18,2,1)%</f>
        <v>130.625</v>
      </c>
      <c r="P10" s="16">
        <f t="shared" si="7"/>
        <v>130.625</v>
      </c>
    </row>
    <row r="14" spans="2:16" x14ac:dyDescent="0.35">
      <c r="I14" s="20" t="s">
        <v>51</v>
      </c>
      <c r="J14" s="20" t="s">
        <v>52</v>
      </c>
    </row>
    <row r="15" spans="2:16" x14ac:dyDescent="0.35">
      <c r="I15" s="20">
        <v>0</v>
      </c>
      <c r="J15" s="20">
        <v>5</v>
      </c>
    </row>
    <row r="16" spans="2:16" x14ac:dyDescent="0.35">
      <c r="G16" s="15"/>
      <c r="I16" s="20">
        <v>10000</v>
      </c>
      <c r="J16" s="20">
        <v>10</v>
      </c>
    </row>
    <row r="17" spans="7:10" x14ac:dyDescent="0.35">
      <c r="G17" s="15"/>
      <c r="I17" s="20">
        <v>25000</v>
      </c>
      <c r="J17" s="20">
        <v>15</v>
      </c>
    </row>
    <row r="18" spans="7:10" x14ac:dyDescent="0.35">
      <c r="G18" s="15"/>
      <c r="I18" s="20">
        <v>50000</v>
      </c>
      <c r="J18" s="20">
        <v>20</v>
      </c>
    </row>
    <row r="19" spans="7:10" x14ac:dyDescent="0.35">
      <c r="G19" s="15"/>
    </row>
  </sheetData>
  <mergeCells count="8">
    <mergeCell ref="B2:L2"/>
    <mergeCell ref="B3:B5"/>
    <mergeCell ref="C3:C5"/>
    <mergeCell ref="D3:D5"/>
    <mergeCell ref="E3:E5"/>
    <mergeCell ref="F3:F5"/>
    <mergeCell ref="K3:K5"/>
    <mergeCell ref="L3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F4E8-7C7D-4853-96D6-1EB25479E316}">
  <dimension ref="B4:Q16"/>
  <sheetViews>
    <sheetView zoomScale="80" workbookViewId="0">
      <selection activeCell="L8" sqref="L8"/>
    </sheetView>
  </sheetViews>
  <sheetFormatPr defaultRowHeight="14.5" x14ac:dyDescent="0.35"/>
  <cols>
    <col min="3" max="3" width="14.1796875" customWidth="1"/>
    <col min="4" max="4" width="18.7265625" customWidth="1"/>
    <col min="5" max="5" width="15.36328125" customWidth="1"/>
    <col min="6" max="6" width="11.1796875" customWidth="1"/>
    <col min="7" max="7" width="10.6328125" customWidth="1"/>
    <col min="8" max="8" width="10.08984375" customWidth="1"/>
    <col min="9" max="9" width="10.453125" customWidth="1"/>
    <col min="11" max="11" width="20.08984375" customWidth="1"/>
    <col min="12" max="12" width="9.1796875" bestFit="1" customWidth="1"/>
  </cols>
  <sheetData>
    <row r="4" spans="2:17" x14ac:dyDescent="0.35">
      <c r="B4" s="26" t="s">
        <v>0</v>
      </c>
      <c r="C4" s="26" t="s">
        <v>1</v>
      </c>
      <c r="D4" s="26" t="s">
        <v>2</v>
      </c>
      <c r="E4" s="26" t="s">
        <v>3</v>
      </c>
      <c r="F4" s="26" t="s">
        <v>7</v>
      </c>
      <c r="G4" s="26"/>
      <c r="H4" s="26"/>
      <c r="I4" s="26" t="s">
        <v>6</v>
      </c>
    </row>
    <row r="5" spans="2:17" x14ac:dyDescent="0.35">
      <c r="B5" s="26"/>
      <c r="C5" s="26"/>
      <c r="D5" s="26"/>
      <c r="E5" s="26"/>
      <c r="F5" s="1" t="s">
        <v>4</v>
      </c>
      <c r="G5" s="1" t="s">
        <v>5</v>
      </c>
      <c r="H5" s="1" t="s">
        <v>13</v>
      </c>
      <c r="I5" s="26"/>
      <c r="K5" s="17" t="s">
        <v>61</v>
      </c>
      <c r="L5" s="17" t="s">
        <v>66</v>
      </c>
    </row>
    <row r="6" spans="2:17" x14ac:dyDescent="0.35">
      <c r="B6" s="2">
        <v>1</v>
      </c>
      <c r="C6" s="2" t="s">
        <v>8</v>
      </c>
      <c r="D6" s="2">
        <v>50000</v>
      </c>
      <c r="E6" s="2">
        <f>D6*12</f>
        <v>600000</v>
      </c>
      <c r="F6" s="2">
        <f>1%*E6</f>
        <v>6000</v>
      </c>
      <c r="G6" s="19">
        <f>IF(E6&gt;300000,20%*E6,IF(E6&gt;200000,15%*E6,0%*E6))</f>
        <v>120000</v>
      </c>
      <c r="H6" s="2">
        <f>F6+G6</f>
        <v>126000</v>
      </c>
      <c r="I6" s="2">
        <f>E6-H6</f>
        <v>474000</v>
      </c>
      <c r="K6" s="16">
        <f>E6*VLOOKUP(E6,$P$14:$Q$16,2,1)%</f>
        <v>120000</v>
      </c>
      <c r="L6" s="16">
        <f t="array" ref="L6">E6*_xlfn.XLOOKUP(E6,$P$14:$P$16,$Q$14:$Q$16,,-1)%</f>
        <v>120000</v>
      </c>
    </row>
    <row r="7" spans="2:17" x14ac:dyDescent="0.35">
      <c r="B7" s="2">
        <v>2</v>
      </c>
      <c r="C7" s="2" t="s">
        <v>9</v>
      </c>
      <c r="D7" s="2">
        <v>20000</v>
      </c>
      <c r="E7" s="2">
        <f t="shared" ref="E7:E10" si="0">D7*12</f>
        <v>240000</v>
      </c>
      <c r="F7" s="2">
        <f t="shared" ref="F7:F10" si="1">1%*E7</f>
        <v>2400</v>
      </c>
      <c r="G7" s="19">
        <f>IF(E7&gt;300000,20%*E7,IF(E7&gt;200000,15%*E7,0%*E7))</f>
        <v>36000</v>
      </c>
      <c r="H7" s="2">
        <f t="shared" ref="H7:H10" si="2">F7+G7</f>
        <v>38400</v>
      </c>
      <c r="I7" s="2">
        <f t="shared" ref="I7:I10" si="3">E7-H7</f>
        <v>201600</v>
      </c>
      <c r="K7" s="16">
        <f t="shared" ref="K7:K10" si="4">E7*VLOOKUP(E7,$P$14:$Q$16,2,1)%</f>
        <v>36000</v>
      </c>
      <c r="L7" s="16">
        <f t="array" ref="L7">E7*_xlfn.XLOOKUP(E7,$P$14:$P$16,$Q$14:$Q$16,,-1)%</f>
        <v>36000</v>
      </c>
    </row>
    <row r="8" spans="2:17" x14ac:dyDescent="0.35">
      <c r="B8" s="2">
        <v>3</v>
      </c>
      <c r="C8" s="2" t="s">
        <v>10</v>
      </c>
      <c r="D8" s="2">
        <v>10000</v>
      </c>
      <c r="E8" s="2">
        <f t="shared" si="0"/>
        <v>120000</v>
      </c>
      <c r="F8" s="2">
        <f t="shared" si="1"/>
        <v>1200</v>
      </c>
      <c r="G8" s="19">
        <f t="shared" ref="G8:G10" si="5">IF(E8&gt;300000,20%*E8,IF(E8&gt;200000,15%*E8,0%*E8))</f>
        <v>0</v>
      </c>
      <c r="H8" s="2">
        <f t="shared" si="2"/>
        <v>1200</v>
      </c>
      <c r="I8" s="2">
        <f t="shared" si="3"/>
        <v>118800</v>
      </c>
      <c r="K8" s="16">
        <f t="shared" si="4"/>
        <v>0</v>
      </c>
      <c r="L8" s="16">
        <f t="array" ref="L8">E8*_xlfn.XLOOKUP(E8,$P$14:$P$16,$Q$14:$Q$16,,-1)%</f>
        <v>0</v>
      </c>
    </row>
    <row r="9" spans="2:17" x14ac:dyDescent="0.35">
      <c r="B9" s="2">
        <v>4</v>
      </c>
      <c r="C9" s="2" t="s">
        <v>11</v>
      </c>
      <c r="D9" s="2">
        <v>30000</v>
      </c>
      <c r="E9" s="2">
        <f t="shared" si="0"/>
        <v>360000</v>
      </c>
      <c r="F9" s="2">
        <f t="shared" si="1"/>
        <v>3600</v>
      </c>
      <c r="G9" s="19">
        <f t="shared" si="5"/>
        <v>72000</v>
      </c>
      <c r="H9" s="2">
        <f t="shared" si="2"/>
        <v>75600</v>
      </c>
      <c r="I9" s="2">
        <f t="shared" si="3"/>
        <v>284400</v>
      </c>
      <c r="K9" s="16">
        <f t="shared" si="4"/>
        <v>72000</v>
      </c>
      <c r="L9" s="16">
        <f t="array" ref="L9">E9*_xlfn.XLOOKUP(E9,$P$14:$P$16,$Q$14:$Q$16,,-1)%</f>
        <v>72000</v>
      </c>
    </row>
    <row r="10" spans="2:17" x14ac:dyDescent="0.35">
      <c r="B10" s="2">
        <v>5</v>
      </c>
      <c r="C10" s="2" t="s">
        <v>12</v>
      </c>
      <c r="D10" s="2">
        <v>50000</v>
      </c>
      <c r="E10" s="2">
        <f t="shared" si="0"/>
        <v>600000</v>
      </c>
      <c r="F10" s="2">
        <f t="shared" si="1"/>
        <v>6000</v>
      </c>
      <c r="G10" s="19">
        <f t="shared" si="5"/>
        <v>120000</v>
      </c>
      <c r="H10" s="2">
        <f t="shared" si="2"/>
        <v>126000</v>
      </c>
      <c r="I10" s="2">
        <f t="shared" si="3"/>
        <v>474000</v>
      </c>
      <c r="K10" s="16">
        <f t="shared" si="4"/>
        <v>120000</v>
      </c>
      <c r="L10" s="16">
        <f t="array" ref="L10">E10*_xlfn.XLOOKUP(E10,$P$14:$P$16,$Q$14:$Q$16,,-1)%</f>
        <v>120000</v>
      </c>
    </row>
    <row r="11" spans="2:17" x14ac:dyDescent="0.35">
      <c r="K11" s="18"/>
    </row>
    <row r="13" spans="2:17" x14ac:dyDescent="0.35">
      <c r="P13" s="16" t="s">
        <v>60</v>
      </c>
      <c r="Q13" s="16" t="s">
        <v>7</v>
      </c>
    </row>
    <row r="14" spans="2:17" x14ac:dyDescent="0.35">
      <c r="P14" s="12">
        <v>0</v>
      </c>
      <c r="Q14" s="12">
        <v>0</v>
      </c>
    </row>
    <row r="15" spans="2:17" x14ac:dyDescent="0.35">
      <c r="P15" s="12">
        <v>200000</v>
      </c>
      <c r="Q15" s="12">
        <v>15</v>
      </c>
    </row>
    <row r="16" spans="2:17" x14ac:dyDescent="0.35">
      <c r="P16" s="12">
        <v>300000</v>
      </c>
      <c r="Q16" s="12">
        <v>20</v>
      </c>
    </row>
  </sheetData>
  <mergeCells count="6">
    <mergeCell ref="I4:I5"/>
    <mergeCell ref="F4:H4"/>
    <mergeCell ref="D4:D5"/>
    <mergeCell ref="C4:C5"/>
    <mergeCell ref="B4:B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540C-858B-4D91-89CD-3A8F80A22BC1}">
  <dimension ref="B2:P20"/>
  <sheetViews>
    <sheetView tabSelected="1" zoomScale="68" workbookViewId="0">
      <selection activeCell="J14" sqref="J14"/>
    </sheetView>
  </sheetViews>
  <sheetFormatPr defaultRowHeight="14.5" x14ac:dyDescent="0.35"/>
  <cols>
    <col min="3" max="3" width="10.1796875" bestFit="1" customWidth="1"/>
    <col min="5" max="5" width="12.90625" bestFit="1" customWidth="1"/>
    <col min="6" max="6" width="23" bestFit="1" customWidth="1"/>
    <col min="7" max="7" width="20.81640625" bestFit="1" customWidth="1"/>
    <col min="8" max="8" width="12.1796875" customWidth="1"/>
    <col min="9" max="9" width="17.6328125" bestFit="1" customWidth="1"/>
    <col min="10" max="10" width="9.08984375" bestFit="1" customWidth="1"/>
    <col min="11" max="11" width="7.08984375" bestFit="1" customWidth="1"/>
    <col min="12" max="12" width="8.6328125" bestFit="1" customWidth="1"/>
    <col min="13" max="13" width="12.453125" customWidth="1"/>
    <col min="14" max="14" width="20.7265625" customWidth="1"/>
    <col min="16" max="16" width="18.90625" bestFit="1" customWidth="1"/>
  </cols>
  <sheetData>
    <row r="2" spans="2:16" x14ac:dyDescent="0.35">
      <c r="B2" s="27" t="s">
        <v>0</v>
      </c>
      <c r="C2" s="27" t="s">
        <v>14</v>
      </c>
      <c r="D2" s="27" t="s">
        <v>1</v>
      </c>
      <c r="E2" s="27" t="s">
        <v>15</v>
      </c>
      <c r="F2" s="27" t="s">
        <v>30</v>
      </c>
      <c r="G2" s="27" t="s">
        <v>29</v>
      </c>
      <c r="H2" s="27" t="s">
        <v>16</v>
      </c>
      <c r="I2" s="27" t="s">
        <v>17</v>
      </c>
      <c r="J2" s="27" t="s">
        <v>31</v>
      </c>
      <c r="K2" s="27" t="s">
        <v>18</v>
      </c>
      <c r="L2" s="27" t="s">
        <v>6</v>
      </c>
    </row>
    <row r="3" spans="2:16" x14ac:dyDescent="0.3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N3" s="20" t="s">
        <v>62</v>
      </c>
      <c r="P3" s="20" t="s">
        <v>68</v>
      </c>
    </row>
    <row r="4" spans="2:16" x14ac:dyDescent="0.35">
      <c r="B4" s="3">
        <v>1</v>
      </c>
      <c r="C4" s="3" t="s">
        <v>19</v>
      </c>
      <c r="D4" s="3" t="s">
        <v>24</v>
      </c>
      <c r="E4" s="3">
        <v>5000000</v>
      </c>
      <c r="F4" s="3">
        <f>E4+25000</f>
        <v>5025000</v>
      </c>
      <c r="G4" s="3">
        <f>(25000/E4)*100</f>
        <v>0.5</v>
      </c>
      <c r="H4" s="16">
        <f>IF(G4&gt;=50,15%*F4,IF(G4&gt;=25,10%*F4,5%*F4))</f>
        <v>251250</v>
      </c>
      <c r="I4" s="3">
        <f>10%*F4</f>
        <v>502500</v>
      </c>
      <c r="J4" s="3">
        <f>F4+H4-I4</f>
        <v>4773750</v>
      </c>
      <c r="K4" s="3">
        <f>1%*J4</f>
        <v>47737.5</v>
      </c>
      <c r="L4" s="3">
        <f>J4-K4</f>
        <v>4726012.5</v>
      </c>
      <c r="N4" s="16">
        <f>F4*VLOOKUP(G4,$M$18:$N$20,2,1)%</f>
        <v>251250</v>
      </c>
      <c r="P4" s="16">
        <f>F4*_xlfn.XLOOKUP(G4,$M$18:$M$20,$N$18:$N$20,,-1)%</f>
        <v>251250</v>
      </c>
    </row>
    <row r="5" spans="2:16" x14ac:dyDescent="0.35">
      <c r="B5" s="3">
        <v>2</v>
      </c>
      <c r="C5" s="3" t="s">
        <v>20</v>
      </c>
      <c r="D5" s="3" t="s">
        <v>26</v>
      </c>
      <c r="E5" s="3">
        <v>250000</v>
      </c>
      <c r="F5" s="3">
        <f t="shared" ref="F5:F8" si="0">E5+25000</f>
        <v>275000</v>
      </c>
      <c r="G5" s="3">
        <f t="shared" ref="G5:G8" si="1">(25000/E5)*100</f>
        <v>10</v>
      </c>
      <c r="H5" s="16">
        <f t="shared" ref="H5:H8" si="2">IF(G5&gt;=50,15%*F5,IF(G5&gt;=25,10%*F5,5%*F5))</f>
        <v>13750</v>
      </c>
      <c r="I5" s="3">
        <f t="shared" ref="I5:I8" si="3">10%*F5</f>
        <v>27500</v>
      </c>
      <c r="J5" s="3">
        <f t="shared" ref="J5:J8" si="4">F5+H5-I5</f>
        <v>261250</v>
      </c>
      <c r="K5" s="3">
        <f t="shared" ref="K5:K8" si="5">1%*J5</f>
        <v>2612.5</v>
      </c>
      <c r="L5" s="3">
        <f t="shared" ref="L5:L8" si="6">J5-K5</f>
        <v>258637.5</v>
      </c>
      <c r="N5" s="16">
        <f t="shared" ref="N5:N8" si="7">F5*VLOOKUP(G5,$M$18:$N$20,2,1)%</f>
        <v>13750</v>
      </c>
      <c r="P5" s="16">
        <f t="shared" ref="P5:P8" si="8">F5*_xlfn.XLOOKUP(G5,$M$18:$M$20,$N$18:$N$20,,-1)%</f>
        <v>13750</v>
      </c>
    </row>
    <row r="6" spans="2:16" x14ac:dyDescent="0.35">
      <c r="B6" s="3">
        <v>3</v>
      </c>
      <c r="C6" s="3" t="s">
        <v>21</v>
      </c>
      <c r="D6" s="3" t="s">
        <v>25</v>
      </c>
      <c r="E6" s="3">
        <v>65000</v>
      </c>
      <c r="F6" s="3">
        <f t="shared" si="0"/>
        <v>90000</v>
      </c>
      <c r="G6" s="3">
        <f t="shared" si="1"/>
        <v>38.461538461538467</v>
      </c>
      <c r="H6" s="16">
        <f t="shared" si="2"/>
        <v>9000</v>
      </c>
      <c r="I6" s="3">
        <f t="shared" si="3"/>
        <v>9000</v>
      </c>
      <c r="J6" s="3">
        <f t="shared" si="4"/>
        <v>90000</v>
      </c>
      <c r="K6" s="3">
        <f t="shared" si="5"/>
        <v>900</v>
      </c>
      <c r="L6" s="3">
        <f t="shared" si="6"/>
        <v>89100</v>
      </c>
      <c r="N6" s="16">
        <f t="shared" si="7"/>
        <v>9000</v>
      </c>
      <c r="P6" s="16">
        <f t="shared" si="8"/>
        <v>9000</v>
      </c>
    </row>
    <row r="7" spans="2:16" x14ac:dyDescent="0.35">
      <c r="B7" s="3">
        <v>4</v>
      </c>
      <c r="C7" s="3" t="s">
        <v>22</v>
      </c>
      <c r="D7" s="3" t="s">
        <v>27</v>
      </c>
      <c r="E7" s="3">
        <v>20000</v>
      </c>
      <c r="F7" s="3">
        <f t="shared" si="0"/>
        <v>45000</v>
      </c>
      <c r="G7" s="3">
        <f t="shared" si="1"/>
        <v>125</v>
      </c>
      <c r="H7" s="16">
        <f t="shared" si="2"/>
        <v>6750</v>
      </c>
      <c r="I7" s="3">
        <f t="shared" si="3"/>
        <v>4500</v>
      </c>
      <c r="J7" s="3">
        <f t="shared" si="4"/>
        <v>47250</v>
      </c>
      <c r="K7" s="3">
        <f t="shared" si="5"/>
        <v>472.5</v>
      </c>
      <c r="L7" s="3">
        <f t="shared" si="6"/>
        <v>46777.5</v>
      </c>
      <c r="N7" s="16">
        <f t="shared" si="7"/>
        <v>6750</v>
      </c>
      <c r="P7" s="16">
        <f t="shared" si="8"/>
        <v>6750</v>
      </c>
    </row>
    <row r="8" spans="2:16" x14ac:dyDescent="0.35">
      <c r="B8" s="3">
        <v>5</v>
      </c>
      <c r="C8" s="3" t="s">
        <v>23</v>
      </c>
      <c r="D8" s="3" t="s">
        <v>28</v>
      </c>
      <c r="E8" s="3">
        <v>5000</v>
      </c>
      <c r="F8" s="3">
        <f t="shared" si="0"/>
        <v>30000</v>
      </c>
      <c r="G8" s="3">
        <f t="shared" si="1"/>
        <v>500</v>
      </c>
      <c r="H8" s="16">
        <f t="shared" si="2"/>
        <v>4500</v>
      </c>
      <c r="I8" s="3">
        <f t="shared" si="3"/>
        <v>3000</v>
      </c>
      <c r="J8" s="3">
        <f t="shared" si="4"/>
        <v>31500</v>
      </c>
      <c r="K8" s="3">
        <f t="shared" si="5"/>
        <v>315</v>
      </c>
      <c r="L8" s="3">
        <f t="shared" si="6"/>
        <v>31185</v>
      </c>
      <c r="N8" s="16">
        <f t="shared" si="7"/>
        <v>4500</v>
      </c>
      <c r="P8" s="16">
        <f t="shared" si="8"/>
        <v>4500</v>
      </c>
    </row>
    <row r="15" spans="2:16" ht="15" thickBot="1" x14ac:dyDescent="0.4"/>
    <row r="16" spans="2:16" ht="21.5" thickBot="1" x14ac:dyDescent="0.55000000000000004">
      <c r="M16" s="31" t="s">
        <v>69</v>
      </c>
      <c r="N16" s="32"/>
    </row>
    <row r="17" spans="13:14" x14ac:dyDescent="0.35">
      <c r="M17" s="30" t="s">
        <v>64</v>
      </c>
      <c r="N17" s="30" t="s">
        <v>63</v>
      </c>
    </row>
    <row r="18" spans="13:14" x14ac:dyDescent="0.35">
      <c r="M18" s="19">
        <v>0</v>
      </c>
      <c r="N18" s="19">
        <v>5</v>
      </c>
    </row>
    <row r="19" spans="13:14" x14ac:dyDescent="0.35">
      <c r="M19" s="19">
        <v>25</v>
      </c>
      <c r="N19" s="19">
        <v>10</v>
      </c>
    </row>
    <row r="20" spans="13:14" x14ac:dyDescent="0.35">
      <c r="M20" s="19">
        <v>50</v>
      </c>
      <c r="N20" s="19">
        <v>15</v>
      </c>
    </row>
  </sheetData>
  <sortState xmlns:xlrd2="http://schemas.microsoft.com/office/spreadsheetml/2017/richdata2" ref="M18:N20">
    <sortCondition ref="M18:M20"/>
  </sortState>
  <mergeCells count="12">
    <mergeCell ref="M16:N16"/>
    <mergeCell ref="G2:G3"/>
    <mergeCell ref="B2:B3"/>
    <mergeCell ref="C2:C3"/>
    <mergeCell ref="D2:D3"/>
    <mergeCell ref="E2:E3"/>
    <mergeCell ref="F2:F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Salary4</vt:lpstr>
      <vt:lpstr>Salary3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 Ayer</dc:creator>
  <cp:lastModifiedBy>Grishma Ayer</cp:lastModifiedBy>
  <dcterms:created xsi:type="dcterms:W3CDTF">2024-05-12T17:14:01Z</dcterms:created>
  <dcterms:modified xsi:type="dcterms:W3CDTF">2024-06-02T13:42:43Z</dcterms:modified>
</cp:coreProperties>
</file>