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codeName="ЭтаКнига"/>
  <mc:AlternateContent xmlns:mc="http://schemas.openxmlformats.org/markup-compatibility/2006">
    <mc:Choice Requires="x15">
      <x15ac:absPath xmlns:x15ac="http://schemas.microsoft.com/office/spreadsheetml/2010/11/ac" url="/Users/kirillmorozov/Desktop/МАЙ/"/>
    </mc:Choice>
  </mc:AlternateContent>
  <xr:revisionPtr revIDLastSave="0" documentId="8_{3747560D-4B36-0D41-8E73-8631C0A6E0D0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01" sheetId="13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07" i="131" l="1"/>
  <c r="P807" i="131" s="1"/>
  <c r="J807" i="131"/>
  <c r="AF807" i="131" s="1"/>
  <c r="L803" i="131"/>
  <c r="J803" i="131"/>
  <c r="AF803" i="131" s="1"/>
  <c r="P799" i="131"/>
  <c r="L799" i="131"/>
  <c r="J799" i="131"/>
  <c r="AF799" i="131" s="1"/>
  <c r="L795" i="131"/>
  <c r="J795" i="131"/>
  <c r="AF795" i="131" s="1"/>
  <c r="L791" i="131"/>
  <c r="J791" i="131"/>
  <c r="AF791" i="131" s="1"/>
  <c r="L787" i="131"/>
  <c r="P787" i="131" s="1"/>
  <c r="J787" i="131"/>
  <c r="AF787" i="131" s="1"/>
  <c r="P783" i="131"/>
  <c r="L783" i="131"/>
  <c r="J783" i="131"/>
  <c r="AF783" i="131" s="1"/>
  <c r="P779" i="131"/>
  <c r="L779" i="131"/>
  <c r="J779" i="131"/>
  <c r="AF779" i="131" s="1"/>
  <c r="L775" i="131"/>
  <c r="J775" i="131"/>
  <c r="AF775" i="131" s="1"/>
  <c r="L771" i="131"/>
  <c r="P771" i="131" s="1"/>
  <c r="S771" i="131" s="1"/>
  <c r="V771" i="131" s="1"/>
  <c r="AE771" i="131" s="1"/>
  <c r="J771" i="131"/>
  <c r="AF771" i="131" s="1"/>
  <c r="L767" i="131"/>
  <c r="P767" i="131" s="1"/>
  <c r="S767" i="131" s="1"/>
  <c r="V767" i="131" s="1"/>
  <c r="AE767" i="131" s="1"/>
  <c r="J767" i="131"/>
  <c r="AF767" i="131" s="1"/>
  <c r="L763" i="131"/>
  <c r="J763" i="131"/>
  <c r="AF763" i="131" s="1"/>
  <c r="L759" i="131"/>
  <c r="J759" i="131"/>
  <c r="AF759" i="131" s="1"/>
  <c r="L755" i="131"/>
  <c r="J755" i="131"/>
  <c r="AF755" i="131" s="1"/>
  <c r="P751" i="131"/>
  <c r="S751" i="131" s="1"/>
  <c r="V751" i="131" s="1"/>
  <c r="AE751" i="131" s="1"/>
  <c r="L751" i="131"/>
  <c r="J751" i="131"/>
  <c r="AF751" i="131" s="1"/>
  <c r="L747" i="131"/>
  <c r="P747" i="131" s="1"/>
  <c r="S747" i="131" s="1"/>
  <c r="J747" i="131"/>
  <c r="AF747" i="131" s="1"/>
  <c r="L743" i="131"/>
  <c r="P743" i="131" s="1"/>
  <c r="S743" i="131" s="1"/>
  <c r="J743" i="131"/>
  <c r="AF743" i="131" s="1"/>
  <c r="L739" i="131"/>
  <c r="J739" i="131"/>
  <c r="AF739" i="131" s="1"/>
  <c r="L735" i="131"/>
  <c r="J735" i="131"/>
  <c r="AF735" i="131" s="1"/>
  <c r="P731" i="131"/>
  <c r="S731" i="131" s="1"/>
  <c r="V731" i="131" s="1"/>
  <c r="AE731" i="131" s="1"/>
  <c r="L731" i="131"/>
  <c r="J731" i="131"/>
  <c r="AF731" i="131" s="1"/>
  <c r="P727" i="131"/>
  <c r="S727" i="131" s="1"/>
  <c r="V727" i="131" s="1"/>
  <c r="AE727" i="131" s="1"/>
  <c r="L727" i="131"/>
  <c r="J727" i="131"/>
  <c r="AF727" i="131" s="1"/>
  <c r="L723" i="131"/>
  <c r="P723" i="131" s="1"/>
  <c r="S723" i="131" s="1"/>
  <c r="V723" i="131" s="1"/>
  <c r="AE723" i="131" s="1"/>
  <c r="J723" i="131"/>
  <c r="AF723" i="131" s="1"/>
  <c r="P719" i="131"/>
  <c r="S719" i="131" s="1"/>
  <c r="V719" i="131" s="1"/>
  <c r="AE719" i="131" s="1"/>
  <c r="L719" i="131"/>
  <c r="J719" i="131"/>
  <c r="AF719" i="131" s="1"/>
  <c r="L715" i="131"/>
  <c r="J715" i="131"/>
  <c r="AF715" i="131" s="1"/>
  <c r="L711" i="131"/>
  <c r="P711" i="131" s="1"/>
  <c r="S711" i="131" s="1"/>
  <c r="J711" i="131"/>
  <c r="AF711" i="131" s="1"/>
  <c r="L707" i="131"/>
  <c r="J707" i="131"/>
  <c r="AF707" i="131" s="1"/>
  <c r="P703" i="131"/>
  <c r="S703" i="131" s="1"/>
  <c r="V703" i="131" s="1"/>
  <c r="AE703" i="131" s="1"/>
  <c r="L703" i="131"/>
  <c r="J703" i="131"/>
  <c r="AF703" i="131" s="1"/>
  <c r="L699" i="131"/>
  <c r="P699" i="131" s="1"/>
  <c r="S699" i="131" s="1"/>
  <c r="J699" i="131"/>
  <c r="AF699" i="131" s="1"/>
  <c r="L695" i="131"/>
  <c r="P695" i="131" s="1"/>
  <c r="S695" i="131" s="1"/>
  <c r="J695" i="131"/>
  <c r="AF695" i="131" s="1"/>
  <c r="L691" i="131"/>
  <c r="P691" i="131" s="1"/>
  <c r="S691" i="131" s="1"/>
  <c r="J691" i="131"/>
  <c r="AF691" i="131" s="1"/>
  <c r="L687" i="131"/>
  <c r="J687" i="131"/>
  <c r="AF687" i="131" s="1"/>
  <c r="P683" i="131"/>
  <c r="S683" i="131" s="1"/>
  <c r="V683" i="131" s="1"/>
  <c r="AE683" i="131" s="1"/>
  <c r="L683" i="131"/>
  <c r="J683" i="131"/>
  <c r="AF683" i="131" s="1"/>
  <c r="D683" i="131"/>
  <c r="L679" i="131"/>
  <c r="J679" i="131"/>
  <c r="AF679" i="131" s="1"/>
  <c r="P675" i="131"/>
  <c r="S675" i="131" s="1"/>
  <c r="V675" i="131" s="1"/>
  <c r="AE675" i="131" s="1"/>
  <c r="L675" i="131"/>
  <c r="J675" i="131"/>
  <c r="AF675" i="131" s="1"/>
  <c r="D675" i="131"/>
  <c r="L671" i="131"/>
  <c r="J671" i="131"/>
  <c r="AF671" i="131" s="1"/>
  <c r="L667" i="131"/>
  <c r="P667" i="131" s="1"/>
  <c r="S667" i="131" s="1"/>
  <c r="J667" i="131"/>
  <c r="AF667" i="131" s="1"/>
  <c r="P663" i="131"/>
  <c r="S663" i="131" s="1"/>
  <c r="V663" i="131" s="1"/>
  <c r="AE663" i="131" s="1"/>
  <c r="L663" i="131"/>
  <c r="J663" i="131"/>
  <c r="AF663" i="131" s="1"/>
  <c r="L659" i="131"/>
  <c r="P659" i="131" s="1"/>
  <c r="S659" i="131" s="1"/>
  <c r="V659" i="131" s="1"/>
  <c r="AE659" i="131" s="1"/>
  <c r="J659" i="131"/>
  <c r="AF659" i="131" s="1"/>
  <c r="L655" i="131"/>
  <c r="J655" i="131"/>
  <c r="AF655" i="131" s="1"/>
  <c r="P651" i="131"/>
  <c r="L651" i="131"/>
  <c r="J651" i="131"/>
  <c r="AF651" i="131" s="1"/>
  <c r="L647" i="131"/>
  <c r="J647" i="131"/>
  <c r="AF647" i="131" s="1"/>
  <c r="P643" i="131"/>
  <c r="S643" i="131" s="1"/>
  <c r="V643" i="131" s="1"/>
  <c r="L643" i="131"/>
  <c r="J643" i="131"/>
  <c r="AF643" i="131" s="1"/>
  <c r="L639" i="131"/>
  <c r="J639" i="131"/>
  <c r="L635" i="131"/>
  <c r="J635" i="131"/>
  <c r="T635" i="131" s="1"/>
  <c r="L631" i="131"/>
  <c r="J631" i="131"/>
  <c r="L627" i="131"/>
  <c r="J627" i="131"/>
  <c r="T627" i="131" s="1"/>
  <c r="T623" i="131"/>
  <c r="L623" i="131"/>
  <c r="J623" i="131"/>
  <c r="P623" i="131" s="1"/>
  <c r="L619" i="131"/>
  <c r="J619" i="131"/>
  <c r="T619" i="131" s="1"/>
  <c r="L615" i="131"/>
  <c r="J615" i="131"/>
  <c r="P615" i="131" s="1"/>
  <c r="L611" i="131"/>
  <c r="J611" i="131"/>
  <c r="P611" i="131" s="1"/>
  <c r="T607" i="131"/>
  <c r="L607" i="131"/>
  <c r="P607" i="131" s="1"/>
  <c r="J607" i="131"/>
  <c r="AF607" i="131" s="1"/>
  <c r="L603" i="131"/>
  <c r="J603" i="131"/>
  <c r="T599" i="131"/>
  <c r="L599" i="131"/>
  <c r="J599" i="131"/>
  <c r="AS219" i="131"/>
  <c r="AD219" i="131"/>
  <c r="AA219" i="131"/>
  <c r="Y219" i="131"/>
  <c r="L219" i="131"/>
  <c r="J219" i="131"/>
  <c r="T219" i="131" s="1"/>
  <c r="L218" i="131"/>
  <c r="J218" i="131"/>
  <c r="AF218" i="131" s="1"/>
  <c r="AF217" i="131"/>
  <c r="L217" i="131"/>
  <c r="J217" i="131"/>
  <c r="P217" i="131" s="1"/>
  <c r="S217" i="131" s="1"/>
  <c r="L216" i="131"/>
  <c r="J216" i="131"/>
  <c r="AF216" i="131" s="1"/>
  <c r="L215" i="131"/>
  <c r="J215" i="131"/>
  <c r="L214" i="131"/>
  <c r="J214" i="131"/>
  <c r="L213" i="131"/>
  <c r="J213" i="131"/>
  <c r="AF213" i="131" s="1"/>
  <c r="P212" i="131"/>
  <c r="L212" i="131"/>
  <c r="J212" i="131"/>
  <c r="AF212" i="131" s="1"/>
  <c r="L211" i="131"/>
  <c r="J211" i="131"/>
  <c r="AF211" i="131" s="1"/>
  <c r="L210" i="131"/>
  <c r="J210" i="131"/>
  <c r="L209" i="131"/>
  <c r="J209" i="131"/>
  <c r="L208" i="131"/>
  <c r="J208" i="131"/>
  <c r="AF208" i="131" s="1"/>
  <c r="AF207" i="131"/>
  <c r="L207" i="131"/>
  <c r="J207" i="131"/>
  <c r="AV206" i="131"/>
  <c r="AW206" i="131" s="1"/>
  <c r="AU206" i="131"/>
  <c r="AF206" i="131"/>
  <c r="P206" i="131"/>
  <c r="S206" i="131" s="1"/>
  <c r="L206" i="131"/>
  <c r="J206" i="131"/>
  <c r="AU205" i="131"/>
  <c r="AV205" i="131" s="1"/>
  <c r="AW205" i="131" s="1"/>
  <c r="L205" i="131"/>
  <c r="J205" i="131"/>
  <c r="AW204" i="131"/>
  <c r="AV204" i="131"/>
  <c r="AU204" i="131"/>
  <c r="L204" i="131"/>
  <c r="J204" i="131"/>
  <c r="AU203" i="131"/>
  <c r="AV203" i="131" s="1"/>
  <c r="AW203" i="131" s="1"/>
  <c r="L203" i="131"/>
  <c r="J203" i="131"/>
  <c r="AU202" i="131"/>
  <c r="AV202" i="131" s="1"/>
  <c r="AW202" i="131" s="1"/>
  <c r="L202" i="131"/>
  <c r="J202" i="131"/>
  <c r="P202" i="131" s="1"/>
  <c r="AU201" i="131"/>
  <c r="AV201" i="131" s="1"/>
  <c r="AW201" i="131" s="1"/>
  <c r="L201" i="131"/>
  <c r="J201" i="131"/>
  <c r="P201" i="131" s="1"/>
  <c r="AU200" i="131"/>
  <c r="AV200" i="131" s="1"/>
  <c r="AW200" i="131" s="1"/>
  <c r="L200" i="131"/>
  <c r="J200" i="131"/>
  <c r="AF200" i="131" s="1"/>
  <c r="AU199" i="131"/>
  <c r="AV199" i="131" s="1"/>
  <c r="AW199" i="131" s="1"/>
  <c r="P199" i="131"/>
  <c r="L199" i="131"/>
  <c r="J199" i="131"/>
  <c r="AF199" i="131" s="1"/>
  <c r="AW198" i="131"/>
  <c r="AV198" i="131"/>
  <c r="AU198" i="131"/>
  <c r="AF198" i="131"/>
  <c r="P198" i="131"/>
  <c r="S198" i="131" s="1"/>
  <c r="L198" i="131"/>
  <c r="J198" i="131"/>
  <c r="AV197" i="131"/>
  <c r="AW197" i="131" s="1"/>
  <c r="AU197" i="131"/>
  <c r="L197" i="131"/>
  <c r="J197" i="131"/>
  <c r="AU196" i="131"/>
  <c r="AV196" i="131" s="1"/>
  <c r="AW196" i="131" s="1"/>
  <c r="L196" i="131"/>
  <c r="J196" i="131"/>
  <c r="AU195" i="131"/>
  <c r="AV195" i="131" s="1"/>
  <c r="AW195" i="131" s="1"/>
  <c r="L195" i="131"/>
  <c r="J195" i="131"/>
  <c r="AU194" i="131"/>
  <c r="AV194" i="131" s="1"/>
  <c r="AW194" i="131" s="1"/>
  <c r="L194" i="131"/>
  <c r="J194" i="131"/>
  <c r="AU193" i="131"/>
  <c r="AV193" i="131" s="1"/>
  <c r="AW193" i="131" s="1"/>
  <c r="L193" i="131"/>
  <c r="J193" i="131"/>
  <c r="P193" i="131" s="1"/>
  <c r="AV192" i="131"/>
  <c r="AW192" i="131" s="1"/>
  <c r="AU192" i="131"/>
  <c r="AF192" i="131"/>
  <c r="T192" i="131"/>
  <c r="S192" i="131"/>
  <c r="L192" i="131"/>
  <c r="J192" i="131"/>
  <c r="P192" i="131" s="1"/>
  <c r="AU191" i="131"/>
  <c r="AV191" i="131" s="1"/>
  <c r="AW191" i="131" s="1"/>
  <c r="L191" i="131"/>
  <c r="J191" i="131"/>
  <c r="T191" i="131" s="1"/>
  <c r="AU190" i="131"/>
  <c r="AV190" i="131" s="1"/>
  <c r="AW190" i="131" s="1"/>
  <c r="AF190" i="131"/>
  <c r="P190" i="131"/>
  <c r="S190" i="131" s="1"/>
  <c r="L190" i="131"/>
  <c r="J190" i="131"/>
  <c r="T190" i="131" s="1"/>
  <c r="AU189" i="131"/>
  <c r="AV189" i="131" s="1"/>
  <c r="AW189" i="131" s="1"/>
  <c r="L189" i="131"/>
  <c r="J189" i="131"/>
  <c r="AU188" i="131"/>
  <c r="AV188" i="131" s="1"/>
  <c r="AW188" i="131" s="1"/>
  <c r="AF188" i="131"/>
  <c r="T188" i="131"/>
  <c r="S188" i="131"/>
  <c r="L188" i="131"/>
  <c r="J188" i="131"/>
  <c r="P188" i="131" s="1"/>
  <c r="AW187" i="131"/>
  <c r="AU187" i="131"/>
  <c r="AV187" i="131" s="1"/>
  <c r="L187" i="131"/>
  <c r="J187" i="131"/>
  <c r="AU186" i="131"/>
  <c r="AV186" i="131" s="1"/>
  <c r="AW186" i="131" s="1"/>
  <c r="L186" i="131"/>
  <c r="P186" i="131" s="1"/>
  <c r="J186" i="131"/>
  <c r="AF186" i="131" s="1"/>
  <c r="AU185" i="131"/>
  <c r="AV185" i="131" s="1"/>
  <c r="AW185" i="131" s="1"/>
  <c r="P185" i="131"/>
  <c r="L185" i="131"/>
  <c r="J185" i="131"/>
  <c r="AF185" i="131" s="1"/>
  <c r="AU184" i="131"/>
  <c r="AV184" i="131" s="1"/>
  <c r="AW184" i="131" s="1"/>
  <c r="L184" i="131"/>
  <c r="J184" i="131"/>
  <c r="AV183" i="131"/>
  <c r="AW183" i="131" s="1"/>
  <c r="AU183" i="131"/>
  <c r="L183" i="131"/>
  <c r="J183" i="131"/>
  <c r="T183" i="131" s="1"/>
  <c r="AU182" i="131"/>
  <c r="AV182" i="131" s="1"/>
  <c r="AW182" i="131" s="1"/>
  <c r="L182" i="131"/>
  <c r="J182" i="131"/>
  <c r="AU181" i="131"/>
  <c r="AV181" i="131" s="1"/>
  <c r="AW181" i="131" s="1"/>
  <c r="AF181" i="131"/>
  <c r="L181" i="131"/>
  <c r="J181" i="131"/>
  <c r="AU180" i="131"/>
  <c r="AV180" i="131" s="1"/>
  <c r="AW180" i="131" s="1"/>
  <c r="L180" i="131"/>
  <c r="J180" i="131"/>
  <c r="P180" i="131" s="1"/>
  <c r="AU179" i="131"/>
  <c r="AV179" i="131" s="1"/>
  <c r="AW179" i="131" s="1"/>
  <c r="L179" i="131"/>
  <c r="J179" i="131"/>
  <c r="AU178" i="131"/>
  <c r="AV178" i="131" s="1"/>
  <c r="AW178" i="131" s="1"/>
  <c r="L178" i="131"/>
  <c r="J178" i="131"/>
  <c r="AU177" i="131"/>
  <c r="AV177" i="131" s="1"/>
  <c r="AW177" i="131" s="1"/>
  <c r="L177" i="131"/>
  <c r="J177" i="131"/>
  <c r="AU176" i="131"/>
  <c r="AV176" i="131" s="1"/>
  <c r="AW176" i="131" s="1"/>
  <c r="L176" i="131"/>
  <c r="P176" i="131" s="1"/>
  <c r="J176" i="131"/>
  <c r="AF176" i="131" s="1"/>
  <c r="AW175" i="131"/>
  <c r="AU175" i="131"/>
  <c r="AV175" i="131" s="1"/>
  <c r="L175" i="131"/>
  <c r="J175" i="131"/>
  <c r="AU174" i="131"/>
  <c r="AV174" i="131" s="1"/>
  <c r="AW174" i="131" s="1"/>
  <c r="L174" i="131"/>
  <c r="J174" i="131"/>
  <c r="AU173" i="131"/>
  <c r="AV173" i="131" s="1"/>
  <c r="AW173" i="131" s="1"/>
  <c r="L173" i="131"/>
  <c r="J173" i="131"/>
  <c r="AV172" i="131"/>
  <c r="AW172" i="131" s="1"/>
  <c r="AU172" i="131"/>
  <c r="L172" i="131"/>
  <c r="J172" i="131"/>
  <c r="AV171" i="131"/>
  <c r="AW171" i="131" s="1"/>
  <c r="AU171" i="131"/>
  <c r="L171" i="131"/>
  <c r="J171" i="131"/>
  <c r="AU170" i="131"/>
  <c r="AV170" i="131" s="1"/>
  <c r="AW170" i="131" s="1"/>
  <c r="L170" i="131"/>
  <c r="J170" i="131"/>
  <c r="AU169" i="131"/>
  <c r="AV169" i="131" s="1"/>
  <c r="AW169" i="131" s="1"/>
  <c r="L169" i="131"/>
  <c r="J169" i="131"/>
  <c r="T169" i="131" s="1"/>
  <c r="AU168" i="131"/>
  <c r="AV168" i="131" s="1"/>
  <c r="AW168" i="131" s="1"/>
  <c r="L168" i="131"/>
  <c r="J168" i="131"/>
  <c r="AU167" i="131"/>
  <c r="AV167" i="131" s="1"/>
  <c r="AW167" i="131" s="1"/>
  <c r="L167" i="131"/>
  <c r="J167" i="131"/>
  <c r="AU166" i="131"/>
  <c r="AV166" i="131" s="1"/>
  <c r="AW166" i="131" s="1"/>
  <c r="L166" i="131"/>
  <c r="P166" i="131" s="1"/>
  <c r="S166" i="131" s="1"/>
  <c r="J166" i="131"/>
  <c r="T166" i="131" s="1"/>
  <c r="AU165" i="131"/>
  <c r="AV165" i="131" s="1"/>
  <c r="AW165" i="131" s="1"/>
  <c r="AF165" i="131"/>
  <c r="L165" i="131"/>
  <c r="J165" i="131"/>
  <c r="T165" i="131" s="1"/>
  <c r="AU164" i="131"/>
  <c r="AV164" i="131" s="1"/>
  <c r="AW164" i="131" s="1"/>
  <c r="AF164" i="131"/>
  <c r="L164" i="131"/>
  <c r="J164" i="131"/>
  <c r="T164" i="131" s="1"/>
  <c r="AU163" i="131"/>
  <c r="AV163" i="131" s="1"/>
  <c r="AW163" i="131" s="1"/>
  <c r="L163" i="131"/>
  <c r="J163" i="131"/>
  <c r="T163" i="131" s="1"/>
  <c r="AV162" i="131"/>
  <c r="AW162" i="131" s="1"/>
  <c r="AU162" i="131"/>
  <c r="L162" i="131"/>
  <c r="J162" i="131"/>
  <c r="AU161" i="131"/>
  <c r="AV161" i="131" s="1"/>
  <c r="AW161" i="131" s="1"/>
  <c r="L161" i="131"/>
  <c r="J161" i="131"/>
  <c r="AU160" i="131"/>
  <c r="AV160" i="131" s="1"/>
  <c r="AW160" i="131" s="1"/>
  <c r="L160" i="131"/>
  <c r="J160" i="131"/>
  <c r="AU159" i="131"/>
  <c r="AV159" i="131" s="1"/>
  <c r="AW159" i="131" s="1"/>
  <c r="AF159" i="131"/>
  <c r="L159" i="131"/>
  <c r="J159" i="131"/>
  <c r="T159" i="131" s="1"/>
  <c r="AV158" i="131"/>
  <c r="AW158" i="131" s="1"/>
  <c r="AU158" i="131"/>
  <c r="P158" i="131"/>
  <c r="L158" i="131"/>
  <c r="J158" i="131"/>
  <c r="AF158" i="131" s="1"/>
  <c r="AW157" i="131"/>
  <c r="AV157" i="131"/>
  <c r="AU157" i="131"/>
  <c r="L157" i="131"/>
  <c r="J157" i="131"/>
  <c r="AU156" i="131"/>
  <c r="AV156" i="131" s="1"/>
  <c r="AW156" i="131" s="1"/>
  <c r="L156" i="131"/>
  <c r="J156" i="131"/>
  <c r="AF156" i="131" s="1"/>
  <c r="AU155" i="131"/>
  <c r="AV155" i="131" s="1"/>
  <c r="AW155" i="131" s="1"/>
  <c r="AF155" i="131"/>
  <c r="P155" i="131"/>
  <c r="L155" i="131"/>
  <c r="J155" i="131"/>
  <c r="T155" i="131" s="1"/>
  <c r="AU154" i="131"/>
  <c r="AV154" i="131" s="1"/>
  <c r="AW154" i="131" s="1"/>
  <c r="L154" i="131"/>
  <c r="J154" i="131"/>
  <c r="P154" i="131" s="1"/>
  <c r="AW153" i="131"/>
  <c r="AU153" i="131"/>
  <c r="AV153" i="131" s="1"/>
  <c r="L153" i="131"/>
  <c r="J153" i="131"/>
  <c r="P153" i="131" s="1"/>
  <c r="AW152" i="131"/>
  <c r="AU152" i="131"/>
  <c r="AV152" i="131" s="1"/>
  <c r="L152" i="131"/>
  <c r="J152" i="131"/>
  <c r="AU151" i="131"/>
  <c r="AV151" i="131" s="1"/>
  <c r="AW151" i="131" s="1"/>
  <c r="AF151" i="131"/>
  <c r="L151" i="131"/>
  <c r="J151" i="131"/>
  <c r="T151" i="131" s="1"/>
  <c r="AU150" i="131"/>
  <c r="AV150" i="131" s="1"/>
  <c r="AW150" i="131" s="1"/>
  <c r="AF150" i="131"/>
  <c r="L150" i="131"/>
  <c r="J150" i="131"/>
  <c r="T150" i="131" s="1"/>
  <c r="AU149" i="131"/>
  <c r="AV149" i="131" s="1"/>
  <c r="AW149" i="131" s="1"/>
  <c r="AQ149" i="131"/>
  <c r="AR149" i="131" s="1"/>
  <c r="L149" i="131"/>
  <c r="J149" i="131"/>
  <c r="T149" i="131" s="1"/>
  <c r="AU148" i="131"/>
  <c r="AV148" i="131" s="1"/>
  <c r="AW148" i="131" s="1"/>
  <c r="L148" i="131"/>
  <c r="J148" i="131"/>
  <c r="AF148" i="131" s="1"/>
  <c r="AU147" i="131"/>
  <c r="AV147" i="131" s="1"/>
  <c r="AW147" i="131" s="1"/>
  <c r="L147" i="131"/>
  <c r="J147" i="131"/>
  <c r="AU146" i="131"/>
  <c r="AV146" i="131" s="1"/>
  <c r="AW146" i="131" s="1"/>
  <c r="AF146" i="131"/>
  <c r="S146" i="131"/>
  <c r="L146" i="131"/>
  <c r="J146" i="131"/>
  <c r="P146" i="131" s="1"/>
  <c r="AU145" i="131"/>
  <c r="AV145" i="131" s="1"/>
  <c r="AW145" i="131" s="1"/>
  <c r="L145" i="131"/>
  <c r="J145" i="131"/>
  <c r="AU144" i="131"/>
  <c r="AV144" i="131" s="1"/>
  <c r="AW144" i="131" s="1"/>
  <c r="AF144" i="131"/>
  <c r="T144" i="131"/>
  <c r="L144" i="131"/>
  <c r="J144" i="131"/>
  <c r="AV143" i="131"/>
  <c r="AW143" i="131" s="1"/>
  <c r="AU143" i="131"/>
  <c r="L143" i="131"/>
  <c r="J143" i="131"/>
  <c r="T143" i="131" s="1"/>
  <c r="AU142" i="131"/>
  <c r="AV142" i="131" s="1"/>
  <c r="AW142" i="131" s="1"/>
  <c r="L142" i="131"/>
  <c r="J142" i="131"/>
  <c r="AF142" i="131" s="1"/>
  <c r="AV141" i="131"/>
  <c r="AW141" i="131" s="1"/>
  <c r="AU141" i="131"/>
  <c r="L141" i="131"/>
  <c r="J141" i="131"/>
  <c r="AF141" i="131" s="1"/>
  <c r="AV140" i="131"/>
  <c r="AW140" i="131" s="1"/>
  <c r="AU140" i="131"/>
  <c r="T140" i="131"/>
  <c r="L140" i="131"/>
  <c r="J140" i="131"/>
  <c r="AU139" i="131"/>
  <c r="AV139" i="131" s="1"/>
  <c r="AW139" i="131" s="1"/>
  <c r="L139" i="131"/>
  <c r="J139" i="131"/>
  <c r="T139" i="131" s="1"/>
  <c r="AV138" i="131"/>
  <c r="AW138" i="131" s="1"/>
  <c r="AU138" i="131"/>
  <c r="L138" i="131"/>
  <c r="J138" i="131"/>
  <c r="T138" i="131" s="1"/>
  <c r="AU137" i="131"/>
  <c r="AV137" i="131" s="1"/>
  <c r="AW137" i="131" s="1"/>
  <c r="L137" i="131"/>
  <c r="J137" i="131"/>
  <c r="AF137" i="131" s="1"/>
  <c r="AU136" i="131"/>
  <c r="AV136" i="131" s="1"/>
  <c r="AW136" i="131" s="1"/>
  <c r="AF136" i="131"/>
  <c r="Z136" i="131"/>
  <c r="P136" i="131"/>
  <c r="S136" i="131" s="1"/>
  <c r="V136" i="131" s="1"/>
  <c r="L136" i="131"/>
  <c r="J136" i="131"/>
  <c r="T136" i="131" s="1"/>
  <c r="AU135" i="131"/>
  <c r="AV135" i="131" s="1"/>
  <c r="AW135" i="131" s="1"/>
  <c r="L135" i="131"/>
  <c r="J135" i="131"/>
  <c r="T135" i="131" s="1"/>
  <c r="AU134" i="131"/>
  <c r="AV134" i="131" s="1"/>
  <c r="AW134" i="131" s="1"/>
  <c r="T134" i="131"/>
  <c r="L134" i="131"/>
  <c r="J134" i="131"/>
  <c r="AU133" i="131"/>
  <c r="AV133" i="131" s="1"/>
  <c r="AQ133" i="131"/>
  <c r="L133" i="131"/>
  <c r="J133" i="131"/>
  <c r="T133" i="131" s="1"/>
  <c r="AU132" i="131"/>
  <c r="AV132" i="131" s="1"/>
  <c r="AQ132" i="131"/>
  <c r="L132" i="131"/>
  <c r="J132" i="131"/>
  <c r="T132" i="131" s="1"/>
  <c r="AU131" i="131"/>
  <c r="AV131" i="131" s="1"/>
  <c r="AW131" i="131" s="1"/>
  <c r="L131" i="131"/>
  <c r="J131" i="131"/>
  <c r="AF131" i="131" s="1"/>
  <c r="AU130" i="131"/>
  <c r="AV130" i="131" s="1"/>
  <c r="AW130" i="131" s="1"/>
  <c r="L130" i="131"/>
  <c r="J130" i="131"/>
  <c r="T130" i="131" s="1"/>
  <c r="AU129" i="131"/>
  <c r="AV129" i="131" s="1"/>
  <c r="AW129" i="131" s="1"/>
  <c r="L129" i="131"/>
  <c r="J129" i="131"/>
  <c r="T129" i="131" s="1"/>
  <c r="AW128" i="131"/>
  <c r="AV128" i="131"/>
  <c r="AU128" i="131"/>
  <c r="L128" i="131"/>
  <c r="J128" i="131"/>
  <c r="T128" i="131" s="1"/>
  <c r="AU127" i="131"/>
  <c r="AV127" i="131" s="1"/>
  <c r="AW127" i="131" s="1"/>
  <c r="L127" i="131"/>
  <c r="J127" i="131"/>
  <c r="AF127" i="131" s="1"/>
  <c r="AU126" i="131"/>
  <c r="AV126" i="131" s="1"/>
  <c r="AW126" i="131" s="1"/>
  <c r="L126" i="131"/>
  <c r="J126" i="131"/>
  <c r="T126" i="131" s="1"/>
  <c r="AU125" i="131"/>
  <c r="AV125" i="131" s="1"/>
  <c r="AW125" i="131" s="1"/>
  <c r="AF125" i="131"/>
  <c r="P125" i="131"/>
  <c r="L125" i="131"/>
  <c r="J125" i="131"/>
  <c r="T125" i="131" s="1"/>
  <c r="AU124" i="131"/>
  <c r="AV124" i="131" s="1"/>
  <c r="AW124" i="131" s="1"/>
  <c r="L124" i="131"/>
  <c r="J124" i="131"/>
  <c r="AF124" i="131" s="1"/>
  <c r="AV123" i="131"/>
  <c r="AW123" i="131" s="1"/>
  <c r="AU123" i="131"/>
  <c r="L123" i="131"/>
  <c r="J123" i="131"/>
  <c r="AV122" i="131"/>
  <c r="AW122" i="131" s="1"/>
  <c r="AU122" i="131"/>
  <c r="P122" i="131"/>
  <c r="L122" i="131"/>
  <c r="J122" i="131"/>
  <c r="AF122" i="131" s="1"/>
  <c r="AU121" i="131"/>
  <c r="AV121" i="131" s="1"/>
  <c r="AW121" i="131" s="1"/>
  <c r="AF121" i="131"/>
  <c r="L121" i="131"/>
  <c r="J121" i="131"/>
  <c r="T121" i="131" s="1"/>
  <c r="AU120" i="131"/>
  <c r="AV120" i="131" s="1"/>
  <c r="AW120" i="131" s="1"/>
  <c r="L120" i="131"/>
  <c r="J120" i="131"/>
  <c r="AV119" i="131"/>
  <c r="AW119" i="131" s="1"/>
  <c r="AU119" i="131"/>
  <c r="L119" i="131"/>
  <c r="J119" i="131"/>
  <c r="T119" i="131" s="1"/>
  <c r="AU118" i="131"/>
  <c r="AV118" i="131" s="1"/>
  <c r="AW118" i="131" s="1"/>
  <c r="L118" i="131"/>
  <c r="J118" i="131"/>
  <c r="AF118" i="131" s="1"/>
  <c r="AW117" i="131"/>
  <c r="AV117" i="131"/>
  <c r="AU117" i="131"/>
  <c r="AF117" i="131"/>
  <c r="T117" i="131"/>
  <c r="L117" i="131"/>
  <c r="J117" i="131"/>
  <c r="AU116" i="131"/>
  <c r="AV116" i="131" s="1"/>
  <c r="AW116" i="131" s="1"/>
  <c r="P116" i="131"/>
  <c r="S116" i="131" s="1"/>
  <c r="L116" i="131"/>
  <c r="J116" i="131"/>
  <c r="AF116" i="131" s="1"/>
  <c r="AV115" i="131"/>
  <c r="AW115" i="131" s="1"/>
  <c r="AU115" i="131"/>
  <c r="L115" i="131"/>
  <c r="J115" i="131"/>
  <c r="T115" i="131" s="1"/>
  <c r="AU114" i="131"/>
  <c r="AV114" i="131" s="1"/>
  <c r="AW114" i="131" s="1"/>
  <c r="L114" i="131"/>
  <c r="J114" i="131"/>
  <c r="AF114" i="131" s="1"/>
  <c r="AU113" i="131"/>
  <c r="AV113" i="131" s="1"/>
  <c r="AW113" i="131" s="1"/>
  <c r="P113" i="131"/>
  <c r="L113" i="131"/>
  <c r="J113" i="131"/>
  <c r="AF113" i="131" s="1"/>
  <c r="AU112" i="131"/>
  <c r="AV112" i="131" s="1"/>
  <c r="AW112" i="131" s="1"/>
  <c r="L112" i="131"/>
  <c r="J112" i="131"/>
  <c r="T112" i="131" s="1"/>
  <c r="AU111" i="131"/>
  <c r="AV111" i="131" s="1"/>
  <c r="AW111" i="131" s="1"/>
  <c r="L111" i="131"/>
  <c r="J111" i="131"/>
  <c r="AU110" i="131"/>
  <c r="AV110" i="131" s="1"/>
  <c r="AW110" i="131" s="1"/>
  <c r="L110" i="131"/>
  <c r="J110" i="131"/>
  <c r="AF110" i="131" s="1"/>
  <c r="AU109" i="131"/>
  <c r="AV109" i="131" s="1"/>
  <c r="AW109" i="131" s="1"/>
  <c r="L109" i="131"/>
  <c r="J109" i="131"/>
  <c r="AU108" i="131"/>
  <c r="AV108" i="131" s="1"/>
  <c r="AW108" i="131" s="1"/>
  <c r="L108" i="131"/>
  <c r="J108" i="131"/>
  <c r="AF108" i="131" s="1"/>
  <c r="AV107" i="131"/>
  <c r="AW107" i="131" s="1"/>
  <c r="AU107" i="131"/>
  <c r="T107" i="131"/>
  <c r="L107" i="131"/>
  <c r="J107" i="131"/>
  <c r="AV106" i="131"/>
  <c r="AW106" i="131" s="1"/>
  <c r="AU106" i="131"/>
  <c r="P106" i="131"/>
  <c r="S106" i="131" s="1"/>
  <c r="L106" i="131"/>
  <c r="J106" i="131"/>
  <c r="AF106" i="131" s="1"/>
  <c r="AU105" i="131"/>
  <c r="AV105" i="131" s="1"/>
  <c r="AW105" i="131" s="1"/>
  <c r="L105" i="131"/>
  <c r="J105" i="131"/>
  <c r="T105" i="131" s="1"/>
  <c r="AU104" i="131"/>
  <c r="AV104" i="131" s="1"/>
  <c r="AW104" i="131" s="1"/>
  <c r="AF104" i="131"/>
  <c r="L104" i="131"/>
  <c r="J104" i="131"/>
  <c r="AU103" i="131"/>
  <c r="AV103" i="131" s="1"/>
  <c r="AW103" i="131" s="1"/>
  <c r="L103" i="131"/>
  <c r="J103" i="131"/>
  <c r="AF103" i="131" s="1"/>
  <c r="AW102" i="131"/>
  <c r="AU102" i="131"/>
  <c r="AV102" i="131" s="1"/>
  <c r="L102" i="131"/>
  <c r="J102" i="131"/>
  <c r="AU101" i="131"/>
  <c r="AV101" i="131" s="1"/>
  <c r="AW101" i="131" s="1"/>
  <c r="L101" i="131"/>
  <c r="J101" i="131"/>
  <c r="T101" i="131" s="1"/>
  <c r="AU100" i="131"/>
  <c r="AV100" i="131" s="1"/>
  <c r="AW100" i="131" s="1"/>
  <c r="L100" i="131"/>
  <c r="J100" i="131"/>
  <c r="T100" i="131" s="1"/>
  <c r="AU99" i="131"/>
  <c r="AV99" i="131" s="1"/>
  <c r="AQ99" i="131"/>
  <c r="AW99" i="131" s="1"/>
  <c r="L99" i="131"/>
  <c r="J99" i="131"/>
  <c r="AF99" i="131" s="1"/>
  <c r="AU98" i="131"/>
  <c r="AV98" i="131" s="1"/>
  <c r="AW98" i="131" s="1"/>
  <c r="AF98" i="131"/>
  <c r="P98" i="131"/>
  <c r="L98" i="131"/>
  <c r="J98" i="131"/>
  <c r="AV97" i="131"/>
  <c r="AW97" i="131" s="1"/>
  <c r="AU97" i="131"/>
  <c r="L97" i="131"/>
  <c r="J97" i="131"/>
  <c r="AF97" i="131" s="1"/>
  <c r="AU96" i="131"/>
  <c r="AV96" i="131" s="1"/>
  <c r="AW96" i="131" s="1"/>
  <c r="AF96" i="131"/>
  <c r="L96" i="131"/>
  <c r="J96" i="131"/>
  <c r="T96" i="131" s="1"/>
  <c r="AU95" i="131"/>
  <c r="AV95" i="131" s="1"/>
  <c r="AW95" i="131" s="1"/>
  <c r="P95" i="131"/>
  <c r="L95" i="131"/>
  <c r="J95" i="131"/>
  <c r="T95" i="131" s="1"/>
  <c r="AV94" i="131"/>
  <c r="AW94" i="131" s="1"/>
  <c r="AU94" i="131"/>
  <c r="L94" i="131"/>
  <c r="J94" i="131"/>
  <c r="AF94" i="131" s="1"/>
  <c r="AU93" i="131"/>
  <c r="AV93" i="131" s="1"/>
  <c r="AW93" i="131" s="1"/>
  <c r="L93" i="131"/>
  <c r="J93" i="131"/>
  <c r="T93" i="131" s="1"/>
  <c r="AW92" i="131"/>
  <c r="AV92" i="131"/>
  <c r="AU92" i="131"/>
  <c r="T92" i="131"/>
  <c r="L92" i="131"/>
  <c r="J92" i="131"/>
  <c r="AV91" i="131"/>
  <c r="AW91" i="131" s="1"/>
  <c r="AU91" i="131"/>
  <c r="AF91" i="131"/>
  <c r="P91" i="131"/>
  <c r="S91" i="131" s="1"/>
  <c r="L91" i="131"/>
  <c r="J91" i="131"/>
  <c r="T91" i="131" s="1"/>
  <c r="AU90" i="131"/>
  <c r="AV90" i="131" s="1"/>
  <c r="AW90" i="131" s="1"/>
  <c r="L90" i="131"/>
  <c r="J90" i="131"/>
  <c r="T90" i="131" s="1"/>
  <c r="AU89" i="131"/>
  <c r="AV89" i="131" s="1"/>
  <c r="AW89" i="131" s="1"/>
  <c r="L89" i="131"/>
  <c r="J89" i="131"/>
  <c r="AF89" i="131" s="1"/>
  <c r="AU88" i="131"/>
  <c r="AV88" i="131" s="1"/>
  <c r="AW88" i="131" s="1"/>
  <c r="P88" i="131"/>
  <c r="L88" i="131"/>
  <c r="J88" i="131"/>
  <c r="AU87" i="131"/>
  <c r="AV87" i="131" s="1"/>
  <c r="AW87" i="131" s="1"/>
  <c r="P87" i="131"/>
  <c r="L87" i="131"/>
  <c r="J87" i="131"/>
  <c r="T87" i="131" s="1"/>
  <c r="AU86" i="131"/>
  <c r="AV86" i="131" s="1"/>
  <c r="AW86" i="131" s="1"/>
  <c r="L86" i="131"/>
  <c r="J86" i="131"/>
  <c r="T86" i="131" s="1"/>
  <c r="AU85" i="131"/>
  <c r="AV85" i="131" s="1"/>
  <c r="AW85" i="131" s="1"/>
  <c r="L85" i="131"/>
  <c r="J85" i="131"/>
  <c r="T85" i="131" s="1"/>
  <c r="AU84" i="131"/>
  <c r="AV84" i="131" s="1"/>
  <c r="AW84" i="131" s="1"/>
  <c r="T84" i="131"/>
  <c r="L84" i="131"/>
  <c r="J84" i="131"/>
  <c r="AV83" i="131"/>
  <c r="AW83" i="131" s="1"/>
  <c r="AU83" i="131"/>
  <c r="L83" i="131"/>
  <c r="J83" i="131"/>
  <c r="T83" i="131" s="1"/>
  <c r="AU82" i="131"/>
  <c r="AV82" i="131" s="1"/>
  <c r="AW82" i="131" s="1"/>
  <c r="AF82" i="131"/>
  <c r="P82" i="131"/>
  <c r="L82" i="131"/>
  <c r="J82" i="131"/>
  <c r="T82" i="131" s="1"/>
  <c r="AV81" i="131"/>
  <c r="AU81" i="131"/>
  <c r="AQ81" i="131"/>
  <c r="AW81" i="131" s="1"/>
  <c r="AF81" i="131"/>
  <c r="L81" i="131"/>
  <c r="J81" i="131"/>
  <c r="T81" i="131" s="1"/>
  <c r="AU80" i="131"/>
  <c r="AV80" i="131" s="1"/>
  <c r="AW80" i="131" s="1"/>
  <c r="L80" i="131"/>
  <c r="J80" i="131"/>
  <c r="T80" i="131" s="1"/>
  <c r="AU79" i="131"/>
  <c r="AV79" i="131" s="1"/>
  <c r="AW79" i="131" s="1"/>
  <c r="AF79" i="131"/>
  <c r="L79" i="131"/>
  <c r="J79" i="131"/>
  <c r="T79" i="131" s="1"/>
  <c r="AU78" i="131"/>
  <c r="AV78" i="131" s="1"/>
  <c r="AW78" i="131" s="1"/>
  <c r="T78" i="131"/>
  <c r="L78" i="131"/>
  <c r="J78" i="131"/>
  <c r="AU77" i="131"/>
  <c r="AV77" i="131" s="1"/>
  <c r="AR77" i="131"/>
  <c r="AQ77" i="131"/>
  <c r="AF77" i="131"/>
  <c r="L77" i="131"/>
  <c r="J77" i="131"/>
  <c r="T77" i="131" s="1"/>
  <c r="AV76" i="131"/>
  <c r="AU76" i="131"/>
  <c r="AQ76" i="131"/>
  <c r="AR76" i="131" s="1"/>
  <c r="AF76" i="131"/>
  <c r="P76" i="131"/>
  <c r="L76" i="131"/>
  <c r="J76" i="131"/>
  <c r="T76" i="131" s="1"/>
  <c r="AU75" i="131"/>
  <c r="AV75" i="131" s="1"/>
  <c r="AW75" i="131" s="1"/>
  <c r="L75" i="131"/>
  <c r="J75" i="131"/>
  <c r="T75" i="131" s="1"/>
  <c r="AW74" i="131"/>
  <c r="AV74" i="131"/>
  <c r="AU74" i="131"/>
  <c r="AF74" i="131"/>
  <c r="L74" i="131"/>
  <c r="J74" i="131"/>
  <c r="T74" i="131" s="1"/>
  <c r="AW73" i="131"/>
  <c r="AV73" i="131"/>
  <c r="AU73" i="131"/>
  <c r="T73" i="131"/>
  <c r="L73" i="131"/>
  <c r="J73" i="131"/>
  <c r="AU72" i="131"/>
  <c r="AV72" i="131" s="1"/>
  <c r="AW72" i="131" s="1"/>
  <c r="P72" i="131"/>
  <c r="L72" i="131"/>
  <c r="J72" i="131"/>
  <c r="T72" i="131" s="1"/>
  <c r="AU71" i="131"/>
  <c r="AV71" i="131" s="1"/>
  <c r="AQ71" i="131"/>
  <c r="P71" i="131"/>
  <c r="L71" i="131"/>
  <c r="J71" i="131"/>
  <c r="T71" i="131" s="1"/>
  <c r="AU70" i="131"/>
  <c r="AV70" i="131" s="1"/>
  <c r="AQ70" i="131"/>
  <c r="L70" i="131"/>
  <c r="J70" i="131"/>
  <c r="AF70" i="131" s="1"/>
  <c r="AV69" i="131"/>
  <c r="AU69" i="131"/>
  <c r="AQ69" i="131"/>
  <c r="AW69" i="131" s="1"/>
  <c r="L69" i="131"/>
  <c r="J69" i="131"/>
  <c r="AF69" i="131" s="1"/>
  <c r="AV68" i="131"/>
  <c r="AU68" i="131"/>
  <c r="AQ68" i="131"/>
  <c r="AW68" i="131" s="1"/>
  <c r="L68" i="131"/>
  <c r="J68" i="131"/>
  <c r="AF68" i="131" s="1"/>
  <c r="AU67" i="131"/>
  <c r="AV67" i="131" s="1"/>
  <c r="AQ67" i="131"/>
  <c r="AR67" i="131" s="1"/>
  <c r="L67" i="131"/>
  <c r="J67" i="131"/>
  <c r="AF67" i="131" s="1"/>
  <c r="AU66" i="131"/>
  <c r="AV66" i="131" s="1"/>
  <c r="AW66" i="131" s="1"/>
  <c r="AF66" i="131"/>
  <c r="L66" i="131"/>
  <c r="J66" i="131"/>
  <c r="T66" i="131" s="1"/>
  <c r="AU65" i="131"/>
  <c r="AV65" i="131" s="1"/>
  <c r="AW65" i="131" s="1"/>
  <c r="L65" i="131"/>
  <c r="J65" i="131"/>
  <c r="T65" i="131" s="1"/>
  <c r="AW64" i="131"/>
  <c r="AV64" i="131"/>
  <c r="AU64" i="131"/>
  <c r="L64" i="131"/>
  <c r="J64" i="131"/>
  <c r="T64" i="131" s="1"/>
  <c r="AU63" i="131"/>
  <c r="AV63" i="131" s="1"/>
  <c r="AW63" i="131" s="1"/>
  <c r="L63" i="131"/>
  <c r="J63" i="131"/>
  <c r="AF63" i="131" s="1"/>
  <c r="AV62" i="131"/>
  <c r="AW62" i="131" s="1"/>
  <c r="AU62" i="131"/>
  <c r="L62" i="131"/>
  <c r="J62" i="131"/>
  <c r="T62" i="131" s="1"/>
  <c r="AU61" i="131"/>
  <c r="AV61" i="131" s="1"/>
  <c r="AW61" i="131" s="1"/>
  <c r="AF61" i="131"/>
  <c r="L61" i="131"/>
  <c r="P61" i="131" s="1"/>
  <c r="J61" i="131"/>
  <c r="T61" i="131" s="1"/>
  <c r="AV60" i="131"/>
  <c r="AW60" i="131" s="1"/>
  <c r="AU60" i="131"/>
  <c r="L60" i="131"/>
  <c r="J60" i="131"/>
  <c r="T60" i="131" s="1"/>
  <c r="AU59" i="131"/>
  <c r="AV59" i="131" s="1"/>
  <c r="AW59" i="131" s="1"/>
  <c r="L59" i="131"/>
  <c r="J59" i="131"/>
  <c r="AF59" i="131" s="1"/>
  <c r="AV58" i="131"/>
  <c r="AW58" i="131" s="1"/>
  <c r="AU58" i="131"/>
  <c r="L58" i="131"/>
  <c r="P58" i="131" s="1"/>
  <c r="J58" i="131"/>
  <c r="AF58" i="131" s="1"/>
  <c r="AV57" i="131"/>
  <c r="AW57" i="131" s="1"/>
  <c r="AU57" i="131"/>
  <c r="L57" i="131"/>
  <c r="J57" i="131"/>
  <c r="T57" i="131" s="1"/>
  <c r="AU56" i="131"/>
  <c r="AV56" i="131" s="1"/>
  <c r="AW56" i="131" s="1"/>
  <c r="T56" i="131"/>
  <c r="L56" i="131"/>
  <c r="J56" i="131"/>
  <c r="AV55" i="131"/>
  <c r="AW55" i="131" s="1"/>
  <c r="AU55" i="131"/>
  <c r="L55" i="131"/>
  <c r="J55" i="131"/>
  <c r="AF55" i="131" s="1"/>
  <c r="AU54" i="131"/>
  <c r="AV54" i="131" s="1"/>
  <c r="AW54" i="131" s="1"/>
  <c r="L54" i="131"/>
  <c r="J54" i="131"/>
  <c r="T54" i="131" s="1"/>
  <c r="AU53" i="131"/>
  <c r="AV53" i="131" s="1"/>
  <c r="AW53" i="131" s="1"/>
  <c r="L53" i="131"/>
  <c r="J53" i="131"/>
  <c r="T53" i="131" s="1"/>
  <c r="AW52" i="131"/>
  <c r="AV52" i="131"/>
  <c r="AU52" i="131"/>
  <c r="L52" i="131"/>
  <c r="J52" i="131"/>
  <c r="AU51" i="131"/>
  <c r="AV51" i="131" s="1"/>
  <c r="AW51" i="131" s="1"/>
  <c r="P51" i="131"/>
  <c r="S51" i="131" s="1"/>
  <c r="L51" i="131"/>
  <c r="J51" i="131"/>
  <c r="AF51" i="131" s="1"/>
  <c r="AU50" i="131"/>
  <c r="AV50" i="131" s="1"/>
  <c r="AR50" i="131"/>
  <c r="AQ50" i="131"/>
  <c r="L50" i="131"/>
  <c r="J50" i="131"/>
  <c r="AU49" i="131"/>
  <c r="AV49" i="131" s="1"/>
  <c r="AW49" i="131" s="1"/>
  <c r="L49" i="131"/>
  <c r="J49" i="131"/>
  <c r="AF49" i="131" s="1"/>
  <c r="AU48" i="131"/>
  <c r="AV48" i="131" s="1"/>
  <c r="AW48" i="131" s="1"/>
  <c r="P48" i="131"/>
  <c r="L48" i="131"/>
  <c r="J48" i="131"/>
  <c r="T48" i="131" s="1"/>
  <c r="AU47" i="131"/>
  <c r="AV47" i="131" s="1"/>
  <c r="AW47" i="131" s="1"/>
  <c r="AF47" i="131"/>
  <c r="L47" i="131"/>
  <c r="J47" i="131"/>
  <c r="T47" i="131" s="1"/>
  <c r="AU46" i="131"/>
  <c r="AV46" i="131" s="1"/>
  <c r="AW46" i="131" s="1"/>
  <c r="L46" i="131"/>
  <c r="J46" i="131"/>
  <c r="T46" i="131" s="1"/>
  <c r="AW45" i="131"/>
  <c r="AV45" i="131"/>
  <c r="AU45" i="131"/>
  <c r="AF45" i="131"/>
  <c r="L45" i="131"/>
  <c r="J45" i="131"/>
  <c r="T45" i="131" s="1"/>
  <c r="AW44" i="131"/>
  <c r="AV44" i="131"/>
  <c r="AU44" i="131"/>
  <c r="L44" i="131"/>
  <c r="J44" i="131"/>
  <c r="AV43" i="131"/>
  <c r="AW43" i="131" s="1"/>
  <c r="AU43" i="131"/>
  <c r="L43" i="131"/>
  <c r="J43" i="131"/>
  <c r="AF43" i="131" s="1"/>
  <c r="AU42" i="131"/>
  <c r="AV42" i="131" s="1"/>
  <c r="AW42" i="131" s="1"/>
  <c r="AF42" i="131"/>
  <c r="L42" i="131"/>
  <c r="P42" i="131" s="1"/>
  <c r="J42" i="131"/>
  <c r="T42" i="131" s="1"/>
  <c r="AU41" i="131"/>
  <c r="AV41" i="131" s="1"/>
  <c r="AR41" i="131"/>
  <c r="AQ41" i="131"/>
  <c r="L41" i="131"/>
  <c r="J41" i="131"/>
  <c r="AF41" i="131" s="1"/>
  <c r="AU40" i="131"/>
  <c r="AV40" i="131" s="1"/>
  <c r="AW40" i="131" s="1"/>
  <c r="AF40" i="131"/>
  <c r="L40" i="131"/>
  <c r="J40" i="131"/>
  <c r="T40" i="131" s="1"/>
  <c r="AU39" i="131"/>
  <c r="AV39" i="131" s="1"/>
  <c r="AW39" i="131" s="1"/>
  <c r="L39" i="131"/>
  <c r="J39" i="131"/>
  <c r="AF39" i="131" s="1"/>
  <c r="AU38" i="131"/>
  <c r="AV38" i="131" s="1"/>
  <c r="AW38" i="131" s="1"/>
  <c r="L38" i="131"/>
  <c r="J38" i="131"/>
  <c r="AV37" i="131"/>
  <c r="AW37" i="131" s="1"/>
  <c r="AU37" i="131"/>
  <c r="L37" i="131"/>
  <c r="J37" i="131"/>
  <c r="AF37" i="131" s="1"/>
  <c r="AU36" i="131"/>
  <c r="AV36" i="131" s="1"/>
  <c r="AW36" i="131" s="1"/>
  <c r="AF36" i="131"/>
  <c r="L36" i="131"/>
  <c r="J36" i="131"/>
  <c r="T36" i="131" s="1"/>
  <c r="AU35" i="131"/>
  <c r="AV35" i="131" s="1"/>
  <c r="AW35" i="131" s="1"/>
  <c r="L35" i="131"/>
  <c r="J35" i="131"/>
  <c r="T35" i="131" s="1"/>
  <c r="AU34" i="131"/>
  <c r="AV34" i="131" s="1"/>
  <c r="AW34" i="131" s="1"/>
  <c r="L34" i="131"/>
  <c r="J34" i="131"/>
  <c r="AV33" i="131"/>
  <c r="AW33" i="131" s="1"/>
  <c r="AU33" i="131"/>
  <c r="L33" i="131"/>
  <c r="J33" i="131"/>
  <c r="AF33" i="131" s="1"/>
  <c r="AV32" i="131"/>
  <c r="AW32" i="131" s="1"/>
  <c r="AU32" i="131"/>
  <c r="P32" i="131"/>
  <c r="L32" i="131"/>
  <c r="J32" i="131"/>
  <c r="AF32" i="131" s="1"/>
  <c r="AU31" i="131"/>
  <c r="AV31" i="131" s="1"/>
  <c r="AW31" i="131" s="1"/>
  <c r="L31" i="131"/>
  <c r="J31" i="131"/>
  <c r="AV30" i="131"/>
  <c r="AW30" i="131" s="1"/>
  <c r="AU30" i="131"/>
  <c r="P30" i="131"/>
  <c r="L30" i="131"/>
  <c r="J30" i="131"/>
  <c r="AF30" i="131" s="1"/>
  <c r="AU29" i="131"/>
  <c r="AV29" i="131" s="1"/>
  <c r="AW29" i="131" s="1"/>
  <c r="L29" i="131"/>
  <c r="J29" i="131"/>
  <c r="AF29" i="131" s="1"/>
  <c r="AU28" i="131"/>
  <c r="AV28" i="131" s="1"/>
  <c r="AW28" i="131" s="1"/>
  <c r="L28" i="131"/>
  <c r="J28" i="131"/>
  <c r="T28" i="131" s="1"/>
  <c r="AU27" i="131"/>
  <c r="AV27" i="131" s="1"/>
  <c r="AW27" i="131" s="1"/>
  <c r="L27" i="131"/>
  <c r="J27" i="131"/>
  <c r="AU26" i="131"/>
  <c r="AV26" i="131" s="1"/>
  <c r="AW26" i="131" s="1"/>
  <c r="L26" i="131"/>
  <c r="J26" i="131"/>
  <c r="AF26" i="131" s="1"/>
  <c r="AU25" i="131"/>
  <c r="AV25" i="131" s="1"/>
  <c r="AW25" i="131" s="1"/>
  <c r="L25" i="131"/>
  <c r="J25" i="131"/>
  <c r="T25" i="131" s="1"/>
  <c r="AV24" i="131"/>
  <c r="AW24" i="131" s="1"/>
  <c r="AU24" i="131"/>
  <c r="L24" i="131"/>
  <c r="J24" i="131"/>
  <c r="T24" i="131" s="1"/>
  <c r="AU23" i="131"/>
  <c r="AV23" i="131" s="1"/>
  <c r="AQ23" i="131"/>
  <c r="AF23" i="131"/>
  <c r="L23" i="131"/>
  <c r="P23" i="131" s="1"/>
  <c r="J23" i="131"/>
  <c r="T23" i="131" s="1"/>
  <c r="AU22" i="131"/>
  <c r="AV22" i="131" s="1"/>
  <c r="AR22" i="131"/>
  <c r="AQ22" i="131"/>
  <c r="L22" i="131"/>
  <c r="J22" i="131"/>
  <c r="L21" i="131"/>
  <c r="J21" i="131"/>
  <c r="L20" i="131"/>
  <c r="J20" i="131"/>
  <c r="L19" i="131"/>
  <c r="J19" i="131"/>
  <c r="L18" i="131"/>
  <c r="J18" i="131"/>
  <c r="L17" i="131"/>
  <c r="J17" i="131"/>
  <c r="AF17" i="131" s="1"/>
  <c r="P16" i="131"/>
  <c r="S16" i="131" s="1"/>
  <c r="Z16" i="131" s="1"/>
  <c r="L16" i="131"/>
  <c r="J16" i="131"/>
  <c r="AF16" i="131" s="1"/>
  <c r="L15" i="131"/>
  <c r="J15" i="131"/>
  <c r="AF15" i="131" s="1"/>
  <c r="L14" i="131"/>
  <c r="J14" i="131"/>
  <c r="AF14" i="131" s="1"/>
  <c r="L13" i="131"/>
  <c r="J13" i="131"/>
  <c r="AF12" i="131"/>
  <c r="AE12" i="131"/>
  <c r="Z12" i="131"/>
  <c r="AF11" i="131"/>
  <c r="AE11" i="131"/>
  <c r="Z11" i="131"/>
  <c r="AC11" i="131" s="1"/>
  <c r="AF10" i="131"/>
  <c r="AE10" i="131"/>
  <c r="AC10" i="131"/>
  <c r="Z10" i="131"/>
  <c r="L9" i="131"/>
  <c r="J9" i="131"/>
  <c r="AF9" i="131" s="1"/>
  <c r="L8" i="131"/>
  <c r="P8" i="131" s="1"/>
  <c r="J8" i="131"/>
  <c r="AF8" i="131" s="1"/>
  <c r="L7" i="131"/>
  <c r="J7" i="131"/>
  <c r="AF7" i="131" s="1"/>
  <c r="L6" i="131"/>
  <c r="J6" i="131"/>
  <c r="L5" i="131"/>
  <c r="J5" i="131"/>
  <c r="AF4" i="131"/>
  <c r="AE4" i="131"/>
  <c r="Z4" i="131"/>
  <c r="L3" i="131"/>
  <c r="J3" i="131"/>
  <c r="AF3" i="131" s="1"/>
  <c r="L2" i="131"/>
  <c r="J2" i="131"/>
  <c r="T2" i="131" s="1"/>
  <c r="V699" i="131" l="1"/>
  <c r="Z699" i="131"/>
  <c r="V691" i="131"/>
  <c r="Z691" i="131"/>
  <c r="AC691" i="131" s="1"/>
  <c r="E691" i="131" s="1"/>
  <c r="V711" i="131"/>
  <c r="Z711" i="131"/>
  <c r="AC711" i="131" s="1"/>
  <c r="E711" i="131" s="1"/>
  <c r="V106" i="131"/>
  <c r="AE106" i="131" s="1"/>
  <c r="Z106" i="131"/>
  <c r="V695" i="131"/>
  <c r="Z695" i="131"/>
  <c r="AC695" i="131" s="1"/>
  <c r="E695" i="131" s="1"/>
  <c r="V747" i="131"/>
  <c r="Z747" i="131"/>
  <c r="V51" i="131"/>
  <c r="AE51" i="131" s="1"/>
  <c r="Z51" i="131"/>
  <c r="AC51" i="131" s="1"/>
  <c r="S59" i="131"/>
  <c r="D643" i="131"/>
  <c r="AE643" i="131"/>
  <c r="V743" i="131"/>
  <c r="Z743" i="131"/>
  <c r="S81" i="131"/>
  <c r="Z81" i="131" s="1"/>
  <c r="AC81" i="131" s="1"/>
  <c r="S43" i="131"/>
  <c r="Z43" i="131" s="1"/>
  <c r="AF80" i="131"/>
  <c r="AF180" i="131"/>
  <c r="AC16" i="131"/>
  <c r="AF24" i="131"/>
  <c r="S32" i="131"/>
  <c r="Z32" i="131" s="1"/>
  <c r="AC32" i="131" s="1"/>
  <c r="P40" i="131"/>
  <c r="S40" i="131" s="1"/>
  <c r="P47" i="131"/>
  <c r="S47" i="131" s="1"/>
  <c r="Z47" i="131" s="1"/>
  <c r="P54" i="131"/>
  <c r="P59" i="131"/>
  <c r="AF62" i="131"/>
  <c r="P66" i="131"/>
  <c r="S66" i="131" s="1"/>
  <c r="S71" i="131"/>
  <c r="Z71" i="131" s="1"/>
  <c r="AC71" i="131" s="1"/>
  <c r="AW77" i="131"/>
  <c r="S87" i="131"/>
  <c r="Z87" i="131" s="1"/>
  <c r="AC87" i="131" s="1"/>
  <c r="AR99" i="131"/>
  <c r="AC106" i="131"/>
  <c r="AF126" i="131"/>
  <c r="P130" i="131"/>
  <c r="P142" i="131"/>
  <c r="AF166" i="131"/>
  <c r="S651" i="131"/>
  <c r="V651" i="131" s="1"/>
  <c r="Z663" i="131"/>
  <c r="AC663" i="131" s="1"/>
  <c r="E663" i="131" s="1"/>
  <c r="Z727" i="131"/>
  <c r="AC727" i="131" s="1"/>
  <c r="E727" i="131" s="1"/>
  <c r="P14" i="131"/>
  <c r="AF28" i="131"/>
  <c r="P3" i="131"/>
  <c r="P36" i="131"/>
  <c r="S36" i="131" s="1"/>
  <c r="AF54" i="131"/>
  <c r="AF71" i="131"/>
  <c r="AF87" i="131"/>
  <c r="P96" i="131"/>
  <c r="S96" i="131" s="1"/>
  <c r="S98" i="131"/>
  <c r="P110" i="131"/>
  <c r="P121" i="131"/>
  <c r="S121" i="131" s="1"/>
  <c r="AF130" i="131"/>
  <c r="AW132" i="131"/>
  <c r="S142" i="131"/>
  <c r="AF169" i="131"/>
  <c r="AF183" i="131"/>
  <c r="P211" i="131"/>
  <c r="D731" i="131"/>
  <c r="P739" i="131"/>
  <c r="S739" i="131" s="1"/>
  <c r="V739" i="131" s="1"/>
  <c r="AE739" i="131" s="1"/>
  <c r="P759" i="131"/>
  <c r="S759" i="131" s="1"/>
  <c r="P795" i="131"/>
  <c r="S795" i="131" s="1"/>
  <c r="P177" i="131"/>
  <c r="P194" i="131"/>
  <c r="P209" i="131"/>
  <c r="S209" i="131" s="1"/>
  <c r="Z675" i="131"/>
  <c r="Z683" i="131"/>
  <c r="AC743" i="131"/>
  <c r="E743" i="131" s="1"/>
  <c r="AC47" i="131"/>
  <c r="P29" i="131"/>
  <c r="S29" i="131" s="1"/>
  <c r="P81" i="131"/>
  <c r="S58" i="131"/>
  <c r="P70" i="131"/>
  <c r="P86" i="131"/>
  <c r="S88" i="131"/>
  <c r="V88" i="131" s="1"/>
  <c r="AE88" i="131" s="1"/>
  <c r="P100" i="131"/>
  <c r="P127" i="131"/>
  <c r="S127" i="131" s="1"/>
  <c r="P141" i="131"/>
  <c r="S141" i="131" s="1"/>
  <c r="V141" i="131" s="1"/>
  <c r="AE141" i="131" s="1"/>
  <c r="S177" i="131"/>
  <c r="Z177" i="131" s="1"/>
  <c r="S194" i="131"/>
  <c r="V194" i="131" s="1"/>
  <c r="P200" i="131"/>
  <c r="S200" i="131" s="1"/>
  <c r="S212" i="131"/>
  <c r="P216" i="131"/>
  <c r="P619" i="131"/>
  <c r="P46" i="131"/>
  <c r="S46" i="131" s="1"/>
  <c r="P55" i="131"/>
  <c r="P63" i="131"/>
  <c r="P65" i="131"/>
  <c r="P75" i="131"/>
  <c r="AF86" i="131"/>
  <c r="AF93" i="131"/>
  <c r="S100" i="131"/>
  <c r="AF129" i="131"/>
  <c r="P131" i="131"/>
  <c r="S131" i="131" s="1"/>
  <c r="P133" i="131"/>
  <c r="P145" i="131"/>
  <c r="S145" i="131" s="1"/>
  <c r="AF149" i="131"/>
  <c r="AF194" i="131"/>
  <c r="S202" i="131"/>
  <c r="P210" i="131"/>
  <c r="S216" i="131"/>
  <c r="Z731" i="131"/>
  <c r="S14" i="131"/>
  <c r="Z14" i="131" s="1"/>
  <c r="AC14" i="131" s="1"/>
  <c r="P17" i="131"/>
  <c r="S17" i="131" s="1"/>
  <c r="P25" i="131"/>
  <c r="S25" i="131" s="1"/>
  <c r="P37" i="131"/>
  <c r="P41" i="131"/>
  <c r="AF202" i="131"/>
  <c r="P635" i="131"/>
  <c r="D663" i="131"/>
  <c r="P687" i="131"/>
  <c r="S687" i="131" s="1"/>
  <c r="V687" i="131" s="1"/>
  <c r="AE687" i="131" s="1"/>
  <c r="D727" i="131"/>
  <c r="P763" i="131"/>
  <c r="S763" i="131" s="1"/>
  <c r="P775" i="131"/>
  <c r="AW23" i="131"/>
  <c r="P2" i="131"/>
  <c r="P9" i="131"/>
  <c r="S9" i="131" s="1"/>
  <c r="P33" i="131"/>
  <c r="S33" i="131" s="1"/>
  <c r="AF46" i="131"/>
  <c r="S2" i="131"/>
  <c r="Z2" i="131" s="1"/>
  <c r="AC2" i="131" s="1"/>
  <c r="AF25" i="131"/>
  <c r="AF35" i="131"/>
  <c r="S37" i="131"/>
  <c r="Z37" i="131" s="1"/>
  <c r="AC37" i="131" s="1"/>
  <c r="S41" i="131"/>
  <c r="Z41" i="131" s="1"/>
  <c r="AC41" i="131" s="1"/>
  <c r="S48" i="131"/>
  <c r="Z48" i="131" s="1"/>
  <c r="AC48" i="131" s="1"/>
  <c r="S72" i="131"/>
  <c r="AR81" i="131"/>
  <c r="P83" i="131"/>
  <c r="AF88" i="131"/>
  <c r="P90" i="131"/>
  <c r="S90" i="131" s="1"/>
  <c r="AF95" i="131"/>
  <c r="AF100" i="131"/>
  <c r="P105" i="131"/>
  <c r="P114" i="131"/>
  <c r="S122" i="131"/>
  <c r="V122" i="131" s="1"/>
  <c r="AE122" i="131" s="1"/>
  <c r="T124" i="131"/>
  <c r="AF133" i="131"/>
  <c r="P135" i="131"/>
  <c r="S158" i="131"/>
  <c r="V158" i="131" s="1"/>
  <c r="AE158" i="131" s="1"/>
  <c r="S176" i="131"/>
  <c r="S180" i="131"/>
  <c r="S210" i="131"/>
  <c r="Z210" i="131" s="1"/>
  <c r="P671" i="131"/>
  <c r="S671" i="131" s="1"/>
  <c r="P679" i="131"/>
  <c r="S679" i="131" s="1"/>
  <c r="P755" i="131"/>
  <c r="S755" i="131" s="1"/>
  <c r="V755" i="131" s="1"/>
  <c r="AE755" i="131" s="1"/>
  <c r="P803" i="131"/>
  <c r="S55" i="131"/>
  <c r="AF65" i="131"/>
  <c r="AF75" i="131"/>
  <c r="S133" i="131"/>
  <c r="Z133" i="131" s="1"/>
  <c r="AC133" i="131" s="1"/>
  <c r="AC12" i="131"/>
  <c r="AF2" i="131"/>
  <c r="P15" i="131"/>
  <c r="S15" i="131" s="1"/>
  <c r="P28" i="131"/>
  <c r="P43" i="131"/>
  <c r="AF48" i="131"/>
  <c r="P62" i="131"/>
  <c r="S62" i="131" s="1"/>
  <c r="AF72" i="131"/>
  <c r="P80" i="131"/>
  <c r="S80" i="131" s="1"/>
  <c r="AF85" i="131"/>
  <c r="AF90" i="131"/>
  <c r="P99" i="131"/>
  <c r="AF105" i="131"/>
  <c r="P118" i="131"/>
  <c r="P126" i="131"/>
  <c r="S126" i="131" s="1"/>
  <c r="AF135" i="131"/>
  <c r="P137" i="131"/>
  <c r="S137" i="131" s="1"/>
  <c r="AF145" i="131"/>
  <c r="P207" i="131"/>
  <c r="S207" i="131" s="1"/>
  <c r="AF210" i="131"/>
  <c r="P707" i="131"/>
  <c r="S707" i="131" s="1"/>
  <c r="P715" i="131"/>
  <c r="S715" i="131" s="1"/>
  <c r="P735" i="131"/>
  <c r="S735" i="131" s="1"/>
  <c r="V735" i="131" s="1"/>
  <c r="AE735" i="131" s="1"/>
  <c r="P791" i="131"/>
  <c r="S791" i="131" s="1"/>
  <c r="P139" i="131"/>
  <c r="AF139" i="131"/>
  <c r="P156" i="131"/>
  <c r="S156" i="131" s="1"/>
  <c r="Z156" i="131" s="1"/>
  <c r="AC156" i="131" s="1"/>
  <c r="S83" i="131"/>
  <c r="AF83" i="131"/>
  <c r="AR132" i="131"/>
  <c r="S50" i="131"/>
  <c r="S21" i="131"/>
  <c r="AW22" i="131"/>
  <c r="AW41" i="131"/>
  <c r="AC43" i="131"/>
  <c r="S27" i="131"/>
  <c r="AF6" i="131"/>
  <c r="AF27" i="131"/>
  <c r="T34" i="131"/>
  <c r="T44" i="131"/>
  <c r="T49" i="131"/>
  <c r="Z91" i="131"/>
  <c r="AC91" i="131" s="1"/>
  <c r="V91" i="131"/>
  <c r="AC667" i="131"/>
  <c r="E667" i="131" s="1"/>
  <c r="S3" i="131"/>
  <c r="AF5" i="131"/>
  <c r="P7" i="131"/>
  <c r="S7" i="131" s="1"/>
  <c r="S8" i="131"/>
  <c r="T14" i="131"/>
  <c r="T15" i="131"/>
  <c r="T16" i="131"/>
  <c r="T17" i="131"/>
  <c r="AF18" i="131"/>
  <c r="AF19" i="131"/>
  <c r="AF20" i="131"/>
  <c r="AF21" i="131"/>
  <c r="S23" i="131"/>
  <c r="AR23" i="131"/>
  <c r="P24" i="131"/>
  <c r="S24" i="131" s="1"/>
  <c r="P26" i="131"/>
  <c r="S26" i="131" s="1"/>
  <c r="S28" i="131"/>
  <c r="T29" i="131"/>
  <c r="S30" i="131"/>
  <c r="AF31" i="131"/>
  <c r="V32" i="131"/>
  <c r="AE32" i="131" s="1"/>
  <c r="AF34" i="131"/>
  <c r="P35" i="131"/>
  <c r="T37" i="131"/>
  <c r="AF38" i="131"/>
  <c r="P39" i="131"/>
  <c r="S39" i="131" s="1"/>
  <c r="T41" i="131"/>
  <c r="S42" i="131"/>
  <c r="T43" i="131"/>
  <c r="AF44" i="131"/>
  <c r="P45" i="131"/>
  <c r="S45" i="131" s="1"/>
  <c r="P53" i="131"/>
  <c r="S53" i="131" s="1"/>
  <c r="P56" i="131"/>
  <c r="S56" i="131" s="1"/>
  <c r="AF56" i="131"/>
  <c r="P60" i="131"/>
  <c r="S60" i="131" s="1"/>
  <c r="AW70" i="131"/>
  <c r="P73" i="131"/>
  <c r="S73" i="131" s="1"/>
  <c r="AF73" i="131"/>
  <c r="AW76" i="131"/>
  <c r="Z83" i="131"/>
  <c r="V83" i="131"/>
  <c r="P92" i="131"/>
  <c r="S92" i="131" s="1"/>
  <c r="AF92" i="131"/>
  <c r="Z96" i="131"/>
  <c r="AC96" i="131" s="1"/>
  <c r="V96" i="131"/>
  <c r="AF101" i="131"/>
  <c r="P101" i="131"/>
  <c r="S101" i="131" s="1"/>
  <c r="P102" i="131"/>
  <c r="S102" i="131" s="1"/>
  <c r="AF102" i="131"/>
  <c r="T102" i="131"/>
  <c r="T13" i="131"/>
  <c r="T19" i="131"/>
  <c r="T20" i="131"/>
  <c r="T21" i="131"/>
  <c r="T22" i="131"/>
  <c r="Z72" i="131"/>
  <c r="AC72" i="131" s="1"/>
  <c r="V72" i="131"/>
  <c r="V2" i="131"/>
  <c r="P5" i="131"/>
  <c r="S5" i="131" s="1"/>
  <c r="P6" i="131"/>
  <c r="S6" i="131" s="1"/>
  <c r="P13" i="131"/>
  <c r="S13" i="131" s="1"/>
  <c r="AF13" i="131"/>
  <c r="V14" i="131"/>
  <c r="V16" i="131"/>
  <c r="P18" i="131"/>
  <c r="S18" i="131" s="1"/>
  <c r="P19" i="131"/>
  <c r="S19" i="131" s="1"/>
  <c r="P20" i="131"/>
  <c r="S20" i="131" s="1"/>
  <c r="P21" i="131"/>
  <c r="P22" i="131"/>
  <c r="S22" i="131" s="1"/>
  <c r="AF22" i="131"/>
  <c r="P27" i="131"/>
  <c r="P31" i="131"/>
  <c r="S31" i="131" s="1"/>
  <c r="P34" i="131"/>
  <c r="S34" i="131" s="1"/>
  <c r="S35" i="131"/>
  <c r="V37" i="131"/>
  <c r="P38" i="131"/>
  <c r="S38" i="131" s="1"/>
  <c r="P44" i="131"/>
  <c r="S44" i="131" s="1"/>
  <c r="V47" i="131"/>
  <c r="V48" i="131"/>
  <c r="P49" i="131"/>
  <c r="S49" i="131" s="1"/>
  <c r="AW50" i="131"/>
  <c r="AF53" i="131"/>
  <c r="AF57" i="131"/>
  <c r="P57" i="131"/>
  <c r="S57" i="131" s="1"/>
  <c r="Z58" i="131"/>
  <c r="AC58" i="131" s="1"/>
  <c r="V58" i="131"/>
  <c r="AE58" i="131" s="1"/>
  <c r="AF60" i="131"/>
  <c r="P67" i="131"/>
  <c r="S67" i="131" s="1"/>
  <c r="AW67" i="131"/>
  <c r="S68" i="131"/>
  <c r="P68" i="131"/>
  <c r="AW71" i="131"/>
  <c r="P78" i="131"/>
  <c r="S78" i="131" s="1"/>
  <c r="AF78" i="131"/>
  <c r="P84" i="131"/>
  <c r="S84" i="131" s="1"/>
  <c r="AF84" i="131"/>
  <c r="T31" i="131"/>
  <c r="P50" i="131"/>
  <c r="AF50" i="131"/>
  <c r="P52" i="131"/>
  <c r="S52" i="131" s="1"/>
  <c r="AF52" i="131"/>
  <c r="P64" i="131"/>
  <c r="S64" i="131" s="1"/>
  <c r="AF64" i="131"/>
  <c r="Z88" i="131"/>
  <c r="AC88" i="131" s="1"/>
  <c r="V98" i="131"/>
  <c r="AE98" i="131" s="1"/>
  <c r="Z98" i="131"/>
  <c r="AC98" i="131" s="1"/>
  <c r="Z116" i="131"/>
  <c r="AC116" i="131" s="1"/>
  <c r="V116" i="131"/>
  <c r="AE116" i="131" s="1"/>
  <c r="T50" i="131"/>
  <c r="T52" i="131"/>
  <c r="Z59" i="131"/>
  <c r="AC59" i="131" s="1"/>
  <c r="V59" i="131"/>
  <c r="AE59" i="131" s="1"/>
  <c r="V87" i="131"/>
  <c r="P94" i="131"/>
  <c r="S94" i="131" s="1"/>
  <c r="T51" i="131"/>
  <c r="S54" i="131"/>
  <c r="T55" i="131"/>
  <c r="S61" i="131"/>
  <c r="S63" i="131"/>
  <c r="S65" i="131"/>
  <c r="P69" i="131"/>
  <c r="S70" i="131"/>
  <c r="P74" i="131"/>
  <c r="S75" i="131"/>
  <c r="S76" i="131"/>
  <c r="P77" i="131"/>
  <c r="P79" i="131"/>
  <c r="S79" i="131" s="1"/>
  <c r="S82" i="131"/>
  <c r="P85" i="131"/>
  <c r="S85" i="131" s="1"/>
  <c r="S86" i="131"/>
  <c r="P89" i="131"/>
  <c r="S89" i="131" s="1"/>
  <c r="P93" i="131"/>
  <c r="S95" i="131"/>
  <c r="P97" i="131"/>
  <c r="S97" i="131" s="1"/>
  <c r="S99" i="131"/>
  <c r="P112" i="131"/>
  <c r="AF112" i="131"/>
  <c r="S112" i="131"/>
  <c r="P120" i="131"/>
  <c r="S120" i="131" s="1"/>
  <c r="T120" i="131"/>
  <c r="AF120" i="131"/>
  <c r="P164" i="131"/>
  <c r="S164" i="131" s="1"/>
  <c r="AF167" i="131"/>
  <c r="P167" i="131"/>
  <c r="S167" i="131" s="1"/>
  <c r="T167" i="131"/>
  <c r="S69" i="131"/>
  <c r="S74" i="131"/>
  <c r="S77" i="131"/>
  <c r="S93" i="131"/>
  <c r="T99" i="131"/>
  <c r="S103" i="131"/>
  <c r="P103" i="131"/>
  <c r="D106" i="131"/>
  <c r="AF111" i="131"/>
  <c r="P111" i="131"/>
  <c r="S111" i="131" s="1"/>
  <c r="T111" i="131"/>
  <c r="P161" i="131"/>
  <c r="AF161" i="131"/>
  <c r="T161" i="131"/>
  <c r="S161" i="131"/>
  <c r="Z166" i="131"/>
  <c r="V166" i="131"/>
  <c r="T97" i="131"/>
  <c r="P108" i="131"/>
  <c r="S108" i="131" s="1"/>
  <c r="P123" i="131"/>
  <c r="AF123" i="131"/>
  <c r="T123" i="131"/>
  <c r="S123" i="131"/>
  <c r="AR133" i="131"/>
  <c r="AW133" i="131"/>
  <c r="V137" i="131"/>
  <c r="Z137" i="131"/>
  <c r="AC137" i="131" s="1"/>
  <c r="S160" i="131"/>
  <c r="P160" i="131"/>
  <c r="T160" i="131"/>
  <c r="AF160" i="131"/>
  <c r="P104" i="131"/>
  <c r="S104" i="131" s="1"/>
  <c r="P107" i="131"/>
  <c r="S107" i="131" s="1"/>
  <c r="AF107" i="131"/>
  <c r="P109" i="131"/>
  <c r="S109" i="131" s="1"/>
  <c r="AF109" i="131"/>
  <c r="S117" i="131"/>
  <c r="P117" i="131"/>
  <c r="P124" i="131"/>
  <c r="S124" i="131" s="1"/>
  <c r="S130" i="131"/>
  <c r="AE136" i="131"/>
  <c r="D136" i="131"/>
  <c r="P152" i="131"/>
  <c r="S152" i="131" s="1"/>
  <c r="AF152" i="131"/>
  <c r="AF170" i="131"/>
  <c r="P170" i="131"/>
  <c r="S170" i="131" s="1"/>
  <c r="T170" i="131"/>
  <c r="S172" i="131"/>
  <c r="AF172" i="131"/>
  <c r="P172" i="131"/>
  <c r="AF174" i="131"/>
  <c r="P174" i="131"/>
  <c r="S174" i="131" s="1"/>
  <c r="T174" i="131"/>
  <c r="Z176" i="131"/>
  <c r="V176" i="131"/>
  <c r="AE176" i="131" s="1"/>
  <c r="AF184" i="131"/>
  <c r="P184" i="131"/>
  <c r="S184" i="131" s="1"/>
  <c r="P205" i="131"/>
  <c r="S205" i="131" s="1"/>
  <c r="AF205" i="131"/>
  <c r="Z217" i="131"/>
  <c r="AC217" i="131" s="1"/>
  <c r="V217" i="131"/>
  <c r="P128" i="131"/>
  <c r="S128" i="131" s="1"/>
  <c r="AF128" i="131"/>
  <c r="P132" i="131"/>
  <c r="S132" i="131" s="1"/>
  <c r="AF132" i="131"/>
  <c r="Z141" i="131"/>
  <c r="AC141" i="131" s="1"/>
  <c r="Z146" i="131"/>
  <c r="V146" i="131"/>
  <c r="AE146" i="131" s="1"/>
  <c r="P115" i="131"/>
  <c r="S115" i="131" s="1"/>
  <c r="AF115" i="131"/>
  <c r="P119" i="131"/>
  <c r="S119" i="131" s="1"/>
  <c r="AF119" i="131"/>
  <c r="Z122" i="131"/>
  <c r="AC122" i="131" s="1"/>
  <c r="P129" i="131"/>
  <c r="S129" i="131" s="1"/>
  <c r="AC146" i="131"/>
  <c r="P148" i="131"/>
  <c r="S148" i="131" s="1"/>
  <c r="T148" i="131"/>
  <c r="P151" i="131"/>
  <c r="S151" i="131" s="1"/>
  <c r="P157" i="131"/>
  <c r="S157" i="131" s="1"/>
  <c r="AF157" i="131"/>
  <c r="T157" i="131"/>
  <c r="AF162" i="131"/>
  <c r="P162" i="131"/>
  <c r="S162" i="131" s="1"/>
  <c r="AF178" i="131"/>
  <c r="P178" i="131"/>
  <c r="S178" i="131" s="1"/>
  <c r="P182" i="131"/>
  <c r="AF182" i="131"/>
  <c r="S182" i="131"/>
  <c r="AF187" i="131"/>
  <c r="S187" i="131"/>
  <c r="P187" i="131"/>
  <c r="AF189" i="131"/>
  <c r="P189" i="131"/>
  <c r="S189" i="131" s="1"/>
  <c r="Z190" i="131"/>
  <c r="AC190" i="131" s="1"/>
  <c r="V190" i="131"/>
  <c r="P197" i="131"/>
  <c r="S197" i="131" s="1"/>
  <c r="AF197" i="131"/>
  <c r="Z202" i="131"/>
  <c r="V202" i="131"/>
  <c r="AF203" i="131"/>
  <c r="P203" i="131"/>
  <c r="S203" i="131" s="1"/>
  <c r="AF204" i="131"/>
  <c r="P204" i="131"/>
  <c r="S204" i="131" s="1"/>
  <c r="Z206" i="131"/>
  <c r="AC206" i="131" s="1"/>
  <c r="V206" i="131"/>
  <c r="V216" i="131"/>
  <c r="Z216" i="131"/>
  <c r="S631" i="131"/>
  <c r="AF631" i="131"/>
  <c r="T631" i="131"/>
  <c r="P631" i="131"/>
  <c r="S105" i="131"/>
  <c r="T106" i="131"/>
  <c r="S110" i="131"/>
  <c r="S113" i="131"/>
  <c r="S114" i="131"/>
  <c r="S118" i="131"/>
  <c r="T122" i="131"/>
  <c r="S125" i="131"/>
  <c r="T127" i="131"/>
  <c r="T131" i="131"/>
  <c r="P134" i="131"/>
  <c r="S134" i="131" s="1"/>
  <c r="AC136" i="131"/>
  <c r="S138" i="131"/>
  <c r="AF138" i="131"/>
  <c r="P138" i="131"/>
  <c r="P143" i="131"/>
  <c r="S143" i="131" s="1"/>
  <c r="AF143" i="131"/>
  <c r="AF153" i="131"/>
  <c r="AF154" i="131"/>
  <c r="P163" i="131"/>
  <c r="S163" i="131" s="1"/>
  <c r="P169" i="131"/>
  <c r="S169" i="131" s="1"/>
  <c r="P171" i="131"/>
  <c r="S171" i="131" s="1"/>
  <c r="AF171" i="131"/>
  <c r="T171" i="131"/>
  <c r="AF173" i="131"/>
  <c r="P173" i="131"/>
  <c r="S173" i="131" s="1"/>
  <c r="P175" i="131"/>
  <c r="S175" i="131" s="1"/>
  <c r="AF175" i="131"/>
  <c r="AC176" i="131"/>
  <c r="AF177" i="131"/>
  <c r="P183" i="131"/>
  <c r="S183" i="131" s="1"/>
  <c r="Z188" i="131"/>
  <c r="AC188" i="131" s="1"/>
  <c r="V188" i="131"/>
  <c r="AF191" i="131"/>
  <c r="P191" i="131"/>
  <c r="S191" i="131" s="1"/>
  <c r="Z192" i="131"/>
  <c r="AC192" i="131" s="1"/>
  <c r="V192" i="131"/>
  <c r="AF195" i="131"/>
  <c r="P195" i="131"/>
  <c r="S195" i="131" s="1"/>
  <c r="AF196" i="131"/>
  <c r="S196" i="131"/>
  <c r="P196" i="131"/>
  <c r="Z198" i="131"/>
  <c r="AC198" i="131" s="1"/>
  <c r="V198" i="131"/>
  <c r="Z200" i="131"/>
  <c r="AC200" i="131" s="1"/>
  <c r="V200" i="131"/>
  <c r="AF134" i="131"/>
  <c r="P140" i="131"/>
  <c r="S140" i="131" s="1"/>
  <c r="AF140" i="131"/>
  <c r="P144" i="131"/>
  <c r="S144" i="131" s="1"/>
  <c r="P147" i="131"/>
  <c r="S147" i="131" s="1"/>
  <c r="AF147" i="131"/>
  <c r="P149" i="131"/>
  <c r="S149" i="131" s="1"/>
  <c r="P150" i="131"/>
  <c r="S150" i="131" s="1"/>
  <c r="S153" i="131"/>
  <c r="S154" i="131"/>
  <c r="S155" i="131"/>
  <c r="P159" i="131"/>
  <c r="S159" i="131" s="1"/>
  <c r="T162" i="131"/>
  <c r="AF163" i="131"/>
  <c r="P165" i="131"/>
  <c r="S165" i="131" s="1"/>
  <c r="P168" i="131"/>
  <c r="AF168" i="131"/>
  <c r="S168" i="131"/>
  <c r="AF179" i="131"/>
  <c r="T179" i="131"/>
  <c r="P179" i="131"/>
  <c r="S179" i="131" s="1"/>
  <c r="T187" i="131"/>
  <c r="T189" i="131"/>
  <c r="V212" i="131"/>
  <c r="Z212" i="131"/>
  <c r="AC212" i="131" s="1"/>
  <c r="S135" i="131"/>
  <c r="T137" i="131"/>
  <c r="S139" i="131"/>
  <c r="T142" i="131"/>
  <c r="T156" i="131"/>
  <c r="T158" i="131"/>
  <c r="S185" i="131"/>
  <c r="S193" i="131"/>
  <c r="S201" i="131"/>
  <c r="P208" i="131"/>
  <c r="S208" i="131" s="1"/>
  <c r="AF209" i="131"/>
  <c r="AF215" i="131"/>
  <c r="P215" i="131"/>
  <c r="S215" i="131" s="1"/>
  <c r="AC216" i="131"/>
  <c r="T603" i="131"/>
  <c r="AF603" i="131"/>
  <c r="P603" i="131"/>
  <c r="S603" i="131" s="1"/>
  <c r="P181" i="131"/>
  <c r="S181" i="131" s="1"/>
  <c r="AF193" i="131"/>
  <c r="AF201" i="131"/>
  <c r="V210" i="131"/>
  <c r="P214" i="131"/>
  <c r="AF214" i="131"/>
  <c r="S214" i="131"/>
  <c r="AF639" i="131"/>
  <c r="T639" i="131"/>
  <c r="P639" i="131"/>
  <c r="S639" i="131" s="1"/>
  <c r="S211" i="131"/>
  <c r="P213" i="131"/>
  <c r="S213" i="131" s="1"/>
  <c r="P219" i="131"/>
  <c r="S219" i="131" s="1"/>
  <c r="P599" i="131"/>
  <c r="S599" i="131" s="1"/>
  <c r="S615" i="131"/>
  <c r="AF615" i="131"/>
  <c r="T615" i="131"/>
  <c r="S623" i="131"/>
  <c r="AF623" i="131"/>
  <c r="AC675" i="131"/>
  <c r="E675" i="131" s="1"/>
  <c r="S186" i="131"/>
  <c r="S199" i="131"/>
  <c r="AF599" i="131"/>
  <c r="Z643" i="131"/>
  <c r="AC643" i="131" s="1"/>
  <c r="E643" i="131" s="1"/>
  <c r="D659" i="131"/>
  <c r="Z659" i="131"/>
  <c r="AC659" i="131" s="1"/>
  <c r="E659" i="131" s="1"/>
  <c r="V667" i="131"/>
  <c r="Z667" i="131"/>
  <c r="P218" i="131"/>
  <c r="S218" i="131" s="1"/>
  <c r="S611" i="131"/>
  <c r="AF611" i="131"/>
  <c r="T611" i="131"/>
  <c r="AF627" i="131"/>
  <c r="P627" i="131"/>
  <c r="S627" i="131" s="1"/>
  <c r="S607" i="131"/>
  <c r="S619" i="131"/>
  <c r="AF619" i="131"/>
  <c r="S635" i="131"/>
  <c r="AF635" i="131"/>
  <c r="AC683" i="131"/>
  <c r="E683" i="131" s="1"/>
  <c r="D687" i="131"/>
  <c r="Z687" i="131"/>
  <c r="AC687" i="131" s="1"/>
  <c r="E687" i="131" s="1"/>
  <c r="AC699" i="131"/>
  <c r="E699" i="131" s="1"/>
  <c r="D703" i="131"/>
  <c r="Z703" i="131"/>
  <c r="AC703" i="131" s="1"/>
  <c r="E703" i="131" s="1"/>
  <c r="D719" i="131"/>
  <c r="Z719" i="131"/>
  <c r="AC731" i="131"/>
  <c r="E731" i="131" s="1"/>
  <c r="D735" i="131"/>
  <c r="Z735" i="131"/>
  <c r="AC747" i="131"/>
  <c r="E747" i="131" s="1"/>
  <c r="D751" i="131"/>
  <c r="Z751" i="131"/>
  <c r="AC751" i="131" s="1"/>
  <c r="E751" i="131" s="1"/>
  <c r="D767" i="131"/>
  <c r="Z767" i="131"/>
  <c r="AC719" i="131"/>
  <c r="E719" i="131" s="1"/>
  <c r="D723" i="131"/>
  <c r="Z723" i="131"/>
  <c r="AC723" i="131" s="1"/>
  <c r="E723" i="131" s="1"/>
  <c r="AC735" i="131"/>
  <c r="E735" i="131" s="1"/>
  <c r="D739" i="131"/>
  <c r="Z739" i="131"/>
  <c r="D755" i="131"/>
  <c r="Z755" i="131"/>
  <c r="AC767" i="131"/>
  <c r="E767" i="131" s="1"/>
  <c r="D771" i="131"/>
  <c r="Z771" i="131"/>
  <c r="AC739" i="131"/>
  <c r="E739" i="131" s="1"/>
  <c r="AC755" i="131"/>
  <c r="E755" i="131" s="1"/>
  <c r="AC771" i="131"/>
  <c r="E771" i="131" s="1"/>
  <c r="T647" i="131"/>
  <c r="T655" i="131"/>
  <c r="T643" i="131"/>
  <c r="P647" i="131"/>
  <c r="S647" i="131" s="1"/>
  <c r="T651" i="131"/>
  <c r="P655" i="131"/>
  <c r="S655" i="131" s="1"/>
  <c r="S775" i="131"/>
  <c r="S779" i="131"/>
  <c r="S783" i="131"/>
  <c r="S787" i="131"/>
  <c r="S799" i="131"/>
  <c r="S803" i="131"/>
  <c r="S807" i="131"/>
  <c r="T659" i="131"/>
  <c r="T663" i="131"/>
  <c r="T667" i="131"/>
  <c r="T671" i="131"/>
  <c r="T675" i="131"/>
  <c r="T679" i="131"/>
  <c r="T683" i="131"/>
  <c r="T687" i="131"/>
  <c r="T691" i="131"/>
  <c r="T695" i="131"/>
  <c r="T699" i="131"/>
  <c r="T703" i="131"/>
  <c r="T707" i="131"/>
  <c r="T711" i="131"/>
  <c r="T715" i="131"/>
  <c r="T719" i="131"/>
  <c r="T723" i="131"/>
  <c r="T727" i="131"/>
  <c r="T731" i="131"/>
  <c r="T735" i="131"/>
  <c r="T739" i="131"/>
  <c r="T743" i="131"/>
  <c r="T747" i="131"/>
  <c r="T751" i="131"/>
  <c r="T755" i="131"/>
  <c r="T759" i="131"/>
  <c r="T763" i="131"/>
  <c r="T767" i="131"/>
  <c r="T771" i="131"/>
  <c r="T775" i="131"/>
  <c r="T779" i="131"/>
  <c r="T783" i="131"/>
  <c r="T787" i="131"/>
  <c r="T791" i="131"/>
  <c r="T795" i="131"/>
  <c r="T799" i="131"/>
  <c r="T803" i="131"/>
  <c r="T807" i="131"/>
  <c r="Z145" i="131" l="1"/>
  <c r="V145" i="131"/>
  <c r="AE145" i="131" s="1"/>
  <c r="Z17" i="131"/>
  <c r="AC17" i="131" s="1"/>
  <c r="V17" i="131"/>
  <c r="E14" i="131"/>
  <c r="V127" i="131"/>
  <c r="Z127" i="131"/>
  <c r="AC127" i="131" s="1"/>
  <c r="E87" i="131"/>
  <c r="Z62" i="131"/>
  <c r="AC62" i="131" s="1"/>
  <c r="V62" i="131"/>
  <c r="V131" i="131"/>
  <c r="Z131" i="131"/>
  <c r="AC131" i="131" s="1"/>
  <c r="Z9" i="131"/>
  <c r="AC9" i="131" s="1"/>
  <c r="V9" i="131"/>
  <c r="Z15" i="131"/>
  <c r="AC15" i="131" s="1"/>
  <c r="V15" i="131"/>
  <c r="D15" i="131" s="1"/>
  <c r="E81" i="131"/>
  <c r="Z29" i="131"/>
  <c r="AC29" i="131" s="1"/>
  <c r="V29" i="131"/>
  <c r="AE29" i="131" s="1"/>
  <c r="Z33" i="131"/>
  <c r="AC33" i="131" s="1"/>
  <c r="V33" i="131"/>
  <c r="AE33" i="131" s="1"/>
  <c r="E71" i="131"/>
  <c r="Z66" i="131"/>
  <c r="AC66" i="131" s="1"/>
  <c r="V66" i="131"/>
  <c r="V126" i="131"/>
  <c r="Z126" i="131"/>
  <c r="AC126" i="131" s="1"/>
  <c r="Z209" i="131"/>
  <c r="V209" i="131"/>
  <c r="E37" i="131"/>
  <c r="Z40" i="131"/>
  <c r="AC40" i="131" s="1"/>
  <c r="V40" i="131"/>
  <c r="Z194" i="131"/>
  <c r="AC194" i="131" s="1"/>
  <c r="V759" i="131"/>
  <c r="Z759" i="131"/>
  <c r="AC759" i="131" s="1"/>
  <c r="E759" i="131" s="1"/>
  <c r="V43" i="131"/>
  <c r="AC145" i="131"/>
  <c r="V133" i="131"/>
  <c r="AE133" i="131" s="1"/>
  <c r="Z158" i="131"/>
  <c r="AC158" i="131" s="1"/>
  <c r="V71" i="131"/>
  <c r="D71" i="131" s="1"/>
  <c r="E96" i="131"/>
  <c r="D51" i="131"/>
  <c r="AC209" i="131"/>
  <c r="E176" i="131"/>
  <c r="E206" i="131"/>
  <c r="Z651" i="131"/>
  <c r="AC651" i="131" s="1"/>
  <c r="E651" i="131" s="1"/>
  <c r="AC210" i="131"/>
  <c r="E51" i="131"/>
  <c r="AE711" i="131"/>
  <c r="D711" i="131"/>
  <c r="V679" i="131"/>
  <c r="Z679" i="131"/>
  <c r="AC679" i="131" s="1"/>
  <c r="E679" i="131" s="1"/>
  <c r="E48" i="131"/>
  <c r="E106" i="131"/>
  <c r="V671" i="131"/>
  <c r="Z671" i="131"/>
  <c r="AC671" i="131" s="1"/>
  <c r="E671" i="131" s="1"/>
  <c r="V142" i="131"/>
  <c r="AE142" i="131" s="1"/>
  <c r="Z142" i="131"/>
  <c r="AC142" i="131" s="1"/>
  <c r="AE691" i="131"/>
  <c r="D691" i="131"/>
  <c r="E122" i="131"/>
  <c r="AE747" i="131"/>
  <c r="D747" i="131"/>
  <c r="AC100" i="131"/>
  <c r="Z100" i="131"/>
  <c r="V100" i="131"/>
  <c r="E188" i="131"/>
  <c r="E200" i="131"/>
  <c r="E16" i="131"/>
  <c r="AE743" i="131"/>
  <c r="D743" i="131"/>
  <c r="AE695" i="131"/>
  <c r="D695" i="131"/>
  <c r="AE699" i="131"/>
  <c r="D699" i="131"/>
  <c r="AC202" i="131"/>
  <c r="E72" i="131"/>
  <c r="Z180" i="131"/>
  <c r="V180" i="131"/>
  <c r="AE180" i="131" s="1"/>
  <c r="E212" i="131"/>
  <c r="E43" i="131"/>
  <c r="V763" i="131"/>
  <c r="Z763" i="131"/>
  <c r="AC763" i="131" s="1"/>
  <c r="E763" i="131" s="1"/>
  <c r="V177" i="131"/>
  <c r="AE177" i="131" s="1"/>
  <c r="E47" i="131"/>
  <c r="V55" i="131"/>
  <c r="Z55" i="131"/>
  <c r="AC55" i="131" s="1"/>
  <c r="E198" i="131"/>
  <c r="E192" i="131"/>
  <c r="E190" i="131"/>
  <c r="D122" i="131"/>
  <c r="V81" i="131"/>
  <c r="V41" i="131"/>
  <c r="V715" i="131"/>
  <c r="Z715" i="131"/>
  <c r="AC715" i="131" s="1"/>
  <c r="E715" i="131" s="1"/>
  <c r="AC180" i="131"/>
  <c r="AC166" i="131"/>
  <c r="V156" i="131"/>
  <c r="E91" i="131"/>
  <c r="V707" i="131"/>
  <c r="Z707" i="131"/>
  <c r="AC707" i="131" s="1"/>
  <c r="E707" i="131" s="1"/>
  <c r="E216" i="131"/>
  <c r="E137" i="131"/>
  <c r="E217" i="131"/>
  <c r="E156" i="131"/>
  <c r="AC83" i="131"/>
  <c r="E41" i="131"/>
  <c r="Z219" i="131"/>
  <c r="V219" i="131"/>
  <c r="D219" i="131" s="1"/>
  <c r="V208" i="131"/>
  <c r="Z208" i="131"/>
  <c r="AC208" i="131" s="1"/>
  <c r="Z157" i="131"/>
  <c r="AC157" i="131" s="1"/>
  <c r="V157" i="131"/>
  <c r="Z148" i="131"/>
  <c r="AC148" i="131" s="1"/>
  <c r="V148" i="131"/>
  <c r="Z52" i="131"/>
  <c r="AC52" i="131" s="1"/>
  <c r="V52" i="131"/>
  <c r="Z20" i="131"/>
  <c r="AC20" i="131" s="1"/>
  <c r="V20" i="131"/>
  <c r="Z102" i="131"/>
  <c r="V102" i="131"/>
  <c r="Z603" i="131"/>
  <c r="AC603" i="131" s="1"/>
  <c r="E603" i="131" s="1"/>
  <c r="V603" i="131"/>
  <c r="Z159" i="131"/>
  <c r="AC159" i="131" s="1"/>
  <c r="V159" i="131"/>
  <c r="AE159" i="131" s="1"/>
  <c r="V175" i="131"/>
  <c r="Z175" i="131"/>
  <c r="AC175" i="131" s="1"/>
  <c r="Z189" i="131"/>
  <c r="AC189" i="131" s="1"/>
  <c r="V189" i="131"/>
  <c r="Z115" i="131"/>
  <c r="AC115" i="131" s="1"/>
  <c r="V115" i="131"/>
  <c r="V170" i="131"/>
  <c r="Z170" i="131"/>
  <c r="Z108" i="131"/>
  <c r="AC108" i="131" s="1"/>
  <c r="V108" i="131"/>
  <c r="Z44" i="131"/>
  <c r="V44" i="131"/>
  <c r="Z73" i="131"/>
  <c r="AC73" i="131" s="1"/>
  <c r="V73" i="131"/>
  <c r="V627" i="131"/>
  <c r="Z627" i="131"/>
  <c r="Z165" i="131"/>
  <c r="AC165" i="131" s="1"/>
  <c r="V165" i="131"/>
  <c r="Z144" i="131"/>
  <c r="AC144" i="131" s="1"/>
  <c r="V144" i="131"/>
  <c r="Z173" i="131"/>
  <c r="V173" i="131"/>
  <c r="AE173" i="131" s="1"/>
  <c r="Z171" i="131"/>
  <c r="V171" i="131"/>
  <c r="E133" i="131"/>
  <c r="Z120" i="131"/>
  <c r="V120" i="131"/>
  <c r="Z94" i="131"/>
  <c r="AC94" i="131" s="1"/>
  <c r="V94" i="131"/>
  <c r="AE94" i="131" s="1"/>
  <c r="V38" i="131"/>
  <c r="Z38" i="131"/>
  <c r="Z31" i="131"/>
  <c r="V31" i="131"/>
  <c r="Z22" i="131"/>
  <c r="V22" i="131"/>
  <c r="V18" i="131"/>
  <c r="AE18" i="131" s="1"/>
  <c r="Z18" i="131"/>
  <c r="V6" i="131"/>
  <c r="Z6" i="131"/>
  <c r="AC6" i="131" s="1"/>
  <c r="V24" i="131"/>
  <c r="Z24" i="131"/>
  <c r="AC24" i="131" s="1"/>
  <c r="Z181" i="131"/>
  <c r="AC181" i="131" s="1"/>
  <c r="V181" i="131"/>
  <c r="AE181" i="131" s="1"/>
  <c r="Z179" i="131"/>
  <c r="AC179" i="131" s="1"/>
  <c r="V179" i="131"/>
  <c r="Z162" i="131"/>
  <c r="V162" i="131"/>
  <c r="E126" i="131"/>
  <c r="Z13" i="131"/>
  <c r="V13" i="131"/>
  <c r="V26" i="131"/>
  <c r="AE26" i="131" s="1"/>
  <c r="Z26" i="131"/>
  <c r="AC26" i="131" s="1"/>
  <c r="Z213" i="131"/>
  <c r="AC213" i="131" s="1"/>
  <c r="V213" i="131"/>
  <c r="V215" i="131"/>
  <c r="Z215" i="131"/>
  <c r="V183" i="131"/>
  <c r="Z183" i="131"/>
  <c r="AC183" i="131" s="1"/>
  <c r="Z204" i="131"/>
  <c r="V204" i="131"/>
  <c r="Z178" i="131"/>
  <c r="V178" i="131"/>
  <c r="AE178" i="131" s="1"/>
  <c r="Z152" i="131"/>
  <c r="AC152" i="131" s="1"/>
  <c r="V152" i="131"/>
  <c r="AE152" i="131" s="1"/>
  <c r="V167" i="131"/>
  <c r="Z167" i="131"/>
  <c r="Z49" i="131"/>
  <c r="AC49" i="131" s="1"/>
  <c r="V49" i="131"/>
  <c r="Z19" i="131"/>
  <c r="V19" i="131"/>
  <c r="Z218" i="131"/>
  <c r="AC218" i="131" s="1"/>
  <c r="V218" i="131"/>
  <c r="Z599" i="131"/>
  <c r="V599" i="131"/>
  <c r="V639" i="131"/>
  <c r="Z639" i="131"/>
  <c r="AC639" i="131" s="1"/>
  <c r="E639" i="131" s="1"/>
  <c r="V149" i="131"/>
  <c r="Z149" i="131"/>
  <c r="AC149" i="131" s="1"/>
  <c r="Z134" i="131"/>
  <c r="V134" i="131"/>
  <c r="Z119" i="131"/>
  <c r="V119" i="131"/>
  <c r="V97" i="131"/>
  <c r="Z97" i="131"/>
  <c r="AC97" i="131" s="1"/>
  <c r="V89" i="131"/>
  <c r="AE89" i="131" s="1"/>
  <c r="Z89" i="131"/>
  <c r="AC89" i="131" s="1"/>
  <c r="Z84" i="131"/>
  <c r="AC84" i="131" s="1"/>
  <c r="V84" i="131"/>
  <c r="Z67" i="131"/>
  <c r="AC67" i="131" s="1"/>
  <c r="V67" i="131"/>
  <c r="V5" i="131"/>
  <c r="Z5" i="131"/>
  <c r="AC5" i="131" s="1"/>
  <c r="V799" i="131"/>
  <c r="Z799" i="131"/>
  <c r="AC799" i="131" s="1"/>
  <c r="E799" i="131" s="1"/>
  <c r="Z611" i="131"/>
  <c r="V611" i="131"/>
  <c r="AC134" i="131"/>
  <c r="V631" i="131"/>
  <c r="Z631" i="131"/>
  <c r="V197" i="131"/>
  <c r="Z197" i="131"/>
  <c r="V151" i="131"/>
  <c r="Z151" i="131"/>
  <c r="AC151" i="131" s="1"/>
  <c r="V205" i="131"/>
  <c r="Z205" i="131"/>
  <c r="AC170" i="131"/>
  <c r="Z117" i="131"/>
  <c r="AC117" i="131" s="1"/>
  <c r="V117" i="131"/>
  <c r="Z161" i="131"/>
  <c r="V161" i="131"/>
  <c r="AE161" i="131" s="1"/>
  <c r="V103" i="131"/>
  <c r="AE103" i="131" s="1"/>
  <c r="Z103" i="131"/>
  <c r="AC103" i="131" s="1"/>
  <c r="Z85" i="131"/>
  <c r="AC85" i="131" s="1"/>
  <c r="V85" i="131"/>
  <c r="V75" i="131"/>
  <c r="Z75" i="131"/>
  <c r="AC75" i="131" s="1"/>
  <c r="Z54" i="131"/>
  <c r="AC54" i="131" s="1"/>
  <c r="V54" i="131"/>
  <c r="AE15" i="131"/>
  <c r="V46" i="131"/>
  <c r="Z46" i="131"/>
  <c r="AC46" i="131" s="1"/>
  <c r="V27" i="131"/>
  <c r="AE27" i="131" s="1"/>
  <c r="Z27" i="131"/>
  <c r="AC27" i="131" s="1"/>
  <c r="E2" i="131"/>
  <c r="Z50" i="131"/>
  <c r="AC50" i="131" s="1"/>
  <c r="V50" i="131"/>
  <c r="V795" i="131"/>
  <c r="Z795" i="131"/>
  <c r="AC795" i="131" s="1"/>
  <c r="E795" i="131" s="1"/>
  <c r="V779" i="131"/>
  <c r="Z779" i="131"/>
  <c r="AC779" i="131" s="1"/>
  <c r="E779" i="131" s="1"/>
  <c r="V655" i="131"/>
  <c r="Z655" i="131"/>
  <c r="AC655" i="131" s="1"/>
  <c r="E655" i="131" s="1"/>
  <c r="V635" i="131"/>
  <c r="Z635" i="131"/>
  <c r="AC599" i="131"/>
  <c r="E599" i="131" s="1"/>
  <c r="Z186" i="131"/>
  <c r="AC186" i="131" s="1"/>
  <c r="V186" i="131"/>
  <c r="AE186" i="131" s="1"/>
  <c r="Z211" i="131"/>
  <c r="AC211" i="131" s="1"/>
  <c r="V211" i="131"/>
  <c r="AE209" i="131"/>
  <c r="D209" i="131"/>
  <c r="Z154" i="131"/>
  <c r="AC154" i="131" s="1"/>
  <c r="V154" i="131"/>
  <c r="AE154" i="131" s="1"/>
  <c r="AE198" i="131"/>
  <c r="D198" i="131"/>
  <c r="AE194" i="131"/>
  <c r="D194" i="131"/>
  <c r="V191" i="131"/>
  <c r="Z191" i="131"/>
  <c r="AC173" i="131"/>
  <c r="AC171" i="131"/>
  <c r="Z143" i="131"/>
  <c r="AC143" i="131" s="1"/>
  <c r="V143" i="131"/>
  <c r="E136" i="131"/>
  <c r="AB136" i="131"/>
  <c r="V118" i="131"/>
  <c r="Z118" i="131"/>
  <c r="AC118" i="131" s="1"/>
  <c r="AC119" i="131"/>
  <c r="Z128" i="131"/>
  <c r="AC128" i="131" s="1"/>
  <c r="V128" i="131"/>
  <c r="AC160" i="131"/>
  <c r="AE156" i="131"/>
  <c r="D156" i="131"/>
  <c r="Z79" i="131"/>
  <c r="AC79" i="131" s="1"/>
  <c r="V79" i="131"/>
  <c r="D133" i="131"/>
  <c r="AC112" i="131"/>
  <c r="V95" i="131"/>
  <c r="Z95" i="131"/>
  <c r="AC95" i="131" s="1"/>
  <c r="V86" i="131"/>
  <c r="Z86" i="131"/>
  <c r="AC86" i="131" s="1"/>
  <c r="Z63" i="131"/>
  <c r="AC63" i="131" s="1"/>
  <c r="V63" i="131"/>
  <c r="AE63" i="131" s="1"/>
  <c r="D47" i="131"/>
  <c r="AE47" i="131"/>
  <c r="D41" i="131"/>
  <c r="AE41" i="131"/>
  <c r="D37" i="131"/>
  <c r="AE37" i="131"/>
  <c r="D29" i="131"/>
  <c r="D14" i="131"/>
  <c r="AE14" i="131"/>
  <c r="D72" i="131"/>
  <c r="AE72" i="131"/>
  <c r="AE131" i="131"/>
  <c r="D131" i="131"/>
  <c r="D66" i="131"/>
  <c r="AE66" i="131"/>
  <c r="V36" i="131"/>
  <c r="Z36" i="131"/>
  <c r="AC36" i="131" s="1"/>
  <c r="V28" i="131"/>
  <c r="Z28" i="131"/>
  <c r="AC28" i="131" s="1"/>
  <c r="AC19" i="131"/>
  <c r="AC635" i="131"/>
  <c r="E635" i="131" s="1"/>
  <c r="AC627" i="131"/>
  <c r="E627" i="131" s="1"/>
  <c r="V623" i="131"/>
  <c r="Z623" i="131"/>
  <c r="AC623" i="131" s="1"/>
  <c r="E623" i="131" s="1"/>
  <c r="Z185" i="131"/>
  <c r="AC185" i="131" s="1"/>
  <c r="V185" i="131"/>
  <c r="AE185" i="131" s="1"/>
  <c r="AE212" i="131"/>
  <c r="D212" i="131"/>
  <c r="Z168" i="131"/>
  <c r="AC168" i="131" s="1"/>
  <c r="V168" i="131"/>
  <c r="Z150" i="131"/>
  <c r="AC150" i="131" s="1"/>
  <c r="V150" i="131"/>
  <c r="Z196" i="131"/>
  <c r="AC196" i="131" s="1"/>
  <c r="V196" i="131"/>
  <c r="V169" i="131"/>
  <c r="Z169" i="131"/>
  <c r="AC169" i="131" s="1"/>
  <c r="V110" i="131"/>
  <c r="AE110" i="131" s="1"/>
  <c r="Z110" i="131"/>
  <c r="AC110" i="131" s="1"/>
  <c r="AC204" i="131"/>
  <c r="V187" i="131"/>
  <c r="Z187" i="131"/>
  <c r="AC187" i="131" s="1"/>
  <c r="AC162" i="131"/>
  <c r="AE217" i="131"/>
  <c r="D217" i="131"/>
  <c r="V174" i="131"/>
  <c r="Z174" i="131"/>
  <c r="AC174" i="131" s="1"/>
  <c r="Z124" i="131"/>
  <c r="AC124" i="131" s="1"/>
  <c r="V124" i="131"/>
  <c r="Z160" i="131"/>
  <c r="V160" i="131"/>
  <c r="AE160" i="131" s="1"/>
  <c r="V69" i="131"/>
  <c r="Z69" i="131"/>
  <c r="AC69" i="131" s="1"/>
  <c r="V80" i="131"/>
  <c r="Z80" i="131"/>
  <c r="AC80" i="131" s="1"/>
  <c r="D43" i="131"/>
  <c r="AE43" i="131"/>
  <c r="V7" i="131"/>
  <c r="Z7" i="131"/>
  <c r="AC7" i="131" s="1"/>
  <c r="Z92" i="131"/>
  <c r="AC92" i="131" s="1"/>
  <c r="V92" i="131"/>
  <c r="Z56" i="131"/>
  <c r="AC56" i="131" s="1"/>
  <c r="V56" i="131"/>
  <c r="V42" i="131"/>
  <c r="Z42" i="131"/>
  <c r="AC42" i="131" s="1"/>
  <c r="Z8" i="131"/>
  <c r="AC8" i="131" s="1"/>
  <c r="V8" i="131"/>
  <c r="Z21" i="131"/>
  <c r="AC21" i="131" s="1"/>
  <c r="V21" i="131"/>
  <c r="Z34" i="131"/>
  <c r="AC34" i="131" s="1"/>
  <c r="V34" i="131"/>
  <c r="V807" i="131"/>
  <c r="Z807" i="131"/>
  <c r="AC807" i="131" s="1"/>
  <c r="E807" i="131" s="1"/>
  <c r="V791" i="131"/>
  <c r="Z791" i="131"/>
  <c r="AC791" i="131" s="1"/>
  <c r="E791" i="131" s="1"/>
  <c r="V775" i="131"/>
  <c r="Z775" i="131"/>
  <c r="AC775" i="131" s="1"/>
  <c r="E775" i="131" s="1"/>
  <c r="D210" i="131"/>
  <c r="AE210" i="131"/>
  <c r="Z201" i="131"/>
  <c r="AC201" i="131" s="1"/>
  <c r="V201" i="131"/>
  <c r="Z135" i="131"/>
  <c r="AC135" i="131" s="1"/>
  <c r="V135" i="131"/>
  <c r="Z153" i="131"/>
  <c r="AC153" i="131" s="1"/>
  <c r="V153" i="131"/>
  <c r="AE153" i="131" s="1"/>
  <c r="AC140" i="131"/>
  <c r="AC191" i="131"/>
  <c r="Z125" i="131"/>
  <c r="AC125" i="131" s="1"/>
  <c r="V125" i="131"/>
  <c r="V114" i="131"/>
  <c r="AE114" i="131" s="1"/>
  <c r="Z114" i="131"/>
  <c r="AC114" i="131" s="1"/>
  <c r="Z105" i="131"/>
  <c r="AC105" i="131" s="1"/>
  <c r="V105" i="131"/>
  <c r="AE216" i="131"/>
  <c r="D216" i="131"/>
  <c r="AC197" i="131"/>
  <c r="AE190" i="131"/>
  <c r="D190" i="131"/>
  <c r="AC205" i="131"/>
  <c r="Z109" i="131"/>
  <c r="AC109" i="131" s="1"/>
  <c r="V109" i="131"/>
  <c r="AE109" i="131" s="1"/>
  <c r="Z104" i="131"/>
  <c r="AC104" i="131" s="1"/>
  <c r="V104" i="131"/>
  <c r="AE104" i="131" s="1"/>
  <c r="AE137" i="131"/>
  <c r="D137" i="131"/>
  <c r="Z123" i="131"/>
  <c r="V123" i="131"/>
  <c r="AE166" i="131"/>
  <c r="D166" i="131"/>
  <c r="AC161" i="131"/>
  <c r="Z77" i="131"/>
  <c r="AC77" i="131" s="1"/>
  <c r="V77" i="131"/>
  <c r="Z164" i="131"/>
  <c r="AC164" i="131" s="1"/>
  <c r="V164" i="131"/>
  <c r="AC120" i="131"/>
  <c r="Z70" i="131"/>
  <c r="AC70" i="131" s="1"/>
  <c r="V70" i="131"/>
  <c r="V61" i="131"/>
  <c r="Z61" i="131"/>
  <c r="AC61" i="131" s="1"/>
  <c r="AE127" i="131"/>
  <c r="D127" i="131"/>
  <c r="D81" i="131"/>
  <c r="AE81" i="131"/>
  <c r="AF219" i="131"/>
  <c r="Z64" i="131"/>
  <c r="AC64" i="131" s="1"/>
  <c r="V64" i="131"/>
  <c r="Z78" i="131"/>
  <c r="AC78" i="131" s="1"/>
  <c r="V78" i="131"/>
  <c r="Z68" i="131"/>
  <c r="AC68" i="131" s="1"/>
  <c r="V68" i="131"/>
  <c r="V45" i="131"/>
  <c r="Z45" i="131"/>
  <c r="AC45" i="131" s="1"/>
  <c r="D40" i="131"/>
  <c r="AE40" i="131"/>
  <c r="V35" i="131"/>
  <c r="Z35" i="131"/>
  <c r="AC35" i="131" s="1"/>
  <c r="D17" i="131"/>
  <c r="AE17" i="131"/>
  <c r="AC13" i="131"/>
  <c r="V101" i="131"/>
  <c r="Z101" i="131"/>
  <c r="AC101" i="131" s="1"/>
  <c r="Z60" i="131"/>
  <c r="AC60" i="131" s="1"/>
  <c r="V60" i="131"/>
  <c r="Z53" i="131"/>
  <c r="AC53" i="131" s="1"/>
  <c r="V53" i="131"/>
  <c r="AC44" i="131"/>
  <c r="AC31" i="131"/>
  <c r="V23" i="131"/>
  <c r="Z23" i="131"/>
  <c r="AC23" i="131" s="1"/>
  <c r="AC18" i="131"/>
  <c r="D91" i="131"/>
  <c r="AE91" i="131"/>
  <c r="V783" i="131"/>
  <c r="Z783" i="131"/>
  <c r="AC783" i="131" s="1"/>
  <c r="E783" i="131" s="1"/>
  <c r="V607" i="131"/>
  <c r="Z607" i="131"/>
  <c r="AC607" i="131" s="1"/>
  <c r="E607" i="131" s="1"/>
  <c r="AE667" i="131"/>
  <c r="D667" i="131"/>
  <c r="Z199" i="131"/>
  <c r="AC199" i="131" s="1"/>
  <c r="V199" i="131"/>
  <c r="AC215" i="131"/>
  <c r="Z139" i="131"/>
  <c r="AC139" i="131" s="1"/>
  <c r="V139" i="131"/>
  <c r="AE139" i="131" s="1"/>
  <c r="Z155" i="131"/>
  <c r="AC155" i="131" s="1"/>
  <c r="V155" i="131"/>
  <c r="Z195" i="131"/>
  <c r="V195" i="131"/>
  <c r="Z163" i="131"/>
  <c r="AC163" i="131" s="1"/>
  <c r="V163" i="131"/>
  <c r="Z138" i="131"/>
  <c r="AC138" i="131" s="1"/>
  <c r="V138" i="131"/>
  <c r="AE138" i="131" s="1"/>
  <c r="Z121" i="131"/>
  <c r="AC121" i="131" s="1"/>
  <c r="V121" i="131"/>
  <c r="D651" i="131"/>
  <c r="AE651" i="131"/>
  <c r="AE206" i="131"/>
  <c r="D206" i="131"/>
  <c r="AE202" i="131"/>
  <c r="D202" i="131"/>
  <c r="AC178" i="131"/>
  <c r="Z129" i="131"/>
  <c r="AC129" i="131" s="1"/>
  <c r="V129" i="131"/>
  <c r="V172" i="131"/>
  <c r="Z172" i="131"/>
  <c r="AC172" i="131" s="1"/>
  <c r="V130" i="131"/>
  <c r="Z130" i="131"/>
  <c r="AC130" i="131" s="1"/>
  <c r="Z107" i="131"/>
  <c r="V107" i="131"/>
  <c r="AC123" i="131"/>
  <c r="Z111" i="131"/>
  <c r="AC111" i="131" s="1"/>
  <c r="V111" i="131"/>
  <c r="AC167" i="131"/>
  <c r="Z112" i="131"/>
  <c r="V112" i="131"/>
  <c r="V65" i="131"/>
  <c r="AE65" i="131" s="1"/>
  <c r="Z65" i="131"/>
  <c r="AC65" i="131" s="1"/>
  <c r="D48" i="131"/>
  <c r="AE48" i="131"/>
  <c r="AC22" i="131"/>
  <c r="D96" i="131"/>
  <c r="AE96" i="131"/>
  <c r="V803" i="131"/>
  <c r="Z803" i="131"/>
  <c r="AC803" i="131" s="1"/>
  <c r="E803" i="131" s="1"/>
  <c r="V787" i="131"/>
  <c r="Z787" i="131"/>
  <c r="AC787" i="131" s="1"/>
  <c r="E787" i="131" s="1"/>
  <c r="V647" i="131"/>
  <c r="Z647" i="131"/>
  <c r="AC647" i="131" s="1"/>
  <c r="E647" i="131" s="1"/>
  <c r="V619" i="131"/>
  <c r="Z619" i="131"/>
  <c r="AC619" i="131" s="1"/>
  <c r="E619" i="131" s="1"/>
  <c r="AC611" i="131"/>
  <c r="E611" i="131" s="1"/>
  <c r="Z207" i="131"/>
  <c r="AC207" i="131" s="1"/>
  <c r="V207" i="131"/>
  <c r="V615" i="131"/>
  <c r="Z615" i="131"/>
  <c r="AC615" i="131" s="1"/>
  <c r="E615" i="131" s="1"/>
  <c r="V214" i="131"/>
  <c r="Z214" i="131"/>
  <c r="AC214" i="131" s="1"/>
  <c r="Z193" i="131"/>
  <c r="AC193" i="131" s="1"/>
  <c r="V193" i="131"/>
  <c r="Z147" i="131"/>
  <c r="AC147" i="131" s="1"/>
  <c r="V147" i="131"/>
  <c r="AE147" i="131" s="1"/>
  <c r="Z140" i="131"/>
  <c r="V140" i="131"/>
  <c r="AE140" i="131" s="1"/>
  <c r="AE200" i="131"/>
  <c r="D200" i="131"/>
  <c r="AC195" i="131"/>
  <c r="D192" i="131"/>
  <c r="AE192" i="131"/>
  <c r="D188" i="131"/>
  <c r="AE188" i="131"/>
  <c r="AC177" i="131"/>
  <c r="V113" i="131"/>
  <c r="AE113" i="131" s="1"/>
  <c r="Z113" i="131"/>
  <c r="AC113" i="131" s="1"/>
  <c r="AC631" i="131"/>
  <c r="E631" i="131" s="1"/>
  <c r="Z203" i="131"/>
  <c r="AC203" i="131" s="1"/>
  <c r="V203" i="131"/>
  <c r="V182" i="131"/>
  <c r="AE182" i="131" s="1"/>
  <c r="Z182" i="131"/>
  <c r="AC182" i="131" s="1"/>
  <c r="Z132" i="131"/>
  <c r="AC132" i="131" s="1"/>
  <c r="V132" i="131"/>
  <c r="Z184" i="131"/>
  <c r="AC184" i="131" s="1"/>
  <c r="V184" i="131"/>
  <c r="AE184" i="131" s="1"/>
  <c r="AC107" i="131"/>
  <c r="Z93" i="131"/>
  <c r="AC93" i="131" s="1"/>
  <c r="V93" i="131"/>
  <c r="Z74" i="131"/>
  <c r="AC74" i="131" s="1"/>
  <c r="V74" i="131"/>
  <c r="V99" i="131"/>
  <c r="Z99" i="131"/>
  <c r="AC99" i="131" s="1"/>
  <c r="V90" i="131"/>
  <c r="Z90" i="131"/>
  <c r="AC90" i="131" s="1"/>
  <c r="V82" i="131"/>
  <c r="Z82" i="131"/>
  <c r="AC82" i="131" s="1"/>
  <c r="V76" i="131"/>
  <c r="Z76" i="131"/>
  <c r="AC76" i="131" s="1"/>
  <c r="D87" i="131"/>
  <c r="AE87" i="131"/>
  <c r="Z57" i="131"/>
  <c r="AC57" i="131" s="1"/>
  <c r="V57" i="131"/>
  <c r="V39" i="131"/>
  <c r="Z39" i="131"/>
  <c r="AC39" i="131" s="1"/>
  <c r="D16" i="131"/>
  <c r="AE16" i="131"/>
  <c r="D2" i="131"/>
  <c r="AE2" i="131"/>
  <c r="AC102" i="131"/>
  <c r="D83" i="131"/>
  <c r="AE83" i="131"/>
  <c r="D62" i="131"/>
  <c r="AE62" i="131"/>
  <c r="AC38" i="131"/>
  <c r="Z30" i="131"/>
  <c r="AC30" i="131" s="1"/>
  <c r="V30" i="131"/>
  <c r="AE30" i="131" s="1"/>
  <c r="V25" i="131"/>
  <c r="Z25" i="131"/>
  <c r="AC25" i="131" s="1"/>
  <c r="D9" i="131"/>
  <c r="AE9" i="131"/>
  <c r="Z3" i="131"/>
  <c r="AC3" i="131" s="1"/>
  <c r="V3" i="131"/>
  <c r="AW219" i="131"/>
  <c r="E84" i="131" l="1"/>
  <c r="E56" i="131"/>
  <c r="E179" i="131"/>
  <c r="E101" i="131"/>
  <c r="E115" i="131"/>
  <c r="E73" i="131"/>
  <c r="E189" i="131"/>
  <c r="E92" i="131"/>
  <c r="E143" i="131"/>
  <c r="E21" i="131"/>
  <c r="E135" i="131"/>
  <c r="E165" i="131"/>
  <c r="D100" i="131"/>
  <c r="AE100" i="131"/>
  <c r="E209" i="131"/>
  <c r="E62" i="131"/>
  <c r="E199" i="131"/>
  <c r="E170" i="131"/>
  <c r="E134" i="131"/>
  <c r="AE763" i="131"/>
  <c r="D763" i="131"/>
  <c r="AE759" i="131"/>
  <c r="D759" i="131"/>
  <c r="E68" i="131"/>
  <c r="E61" i="131"/>
  <c r="E69" i="131"/>
  <c r="E196" i="131"/>
  <c r="E86" i="131"/>
  <c r="E208" i="131"/>
  <c r="E166" i="131"/>
  <c r="E194" i="131"/>
  <c r="E66" i="131"/>
  <c r="E15" i="131"/>
  <c r="E80" i="131"/>
  <c r="E74" i="131"/>
  <c r="E193" i="131"/>
  <c r="E123" i="131"/>
  <c r="E23" i="131"/>
  <c r="E55" i="131"/>
  <c r="AE679" i="131"/>
  <c r="D679" i="131"/>
  <c r="E44" i="131"/>
  <c r="E100" i="131"/>
  <c r="E210" i="131"/>
  <c r="E77" i="131"/>
  <c r="E93" i="131"/>
  <c r="E203" i="131"/>
  <c r="E195" i="131"/>
  <c r="E214" i="131"/>
  <c r="E31" i="131"/>
  <c r="E205" i="131"/>
  <c r="E201" i="131"/>
  <c r="E187" i="131"/>
  <c r="E82" i="131"/>
  <c r="E150" i="131"/>
  <c r="E85" i="131"/>
  <c r="E97" i="131"/>
  <c r="AE55" i="131"/>
  <c r="D55" i="131"/>
  <c r="E46" i="131"/>
  <c r="E213" i="131"/>
  <c r="AE707" i="131"/>
  <c r="D707" i="131"/>
  <c r="E202" i="131"/>
  <c r="E17" i="131"/>
  <c r="E155" i="131"/>
  <c r="E102" i="131"/>
  <c r="E107" i="131"/>
  <c r="E70" i="131"/>
  <c r="E191" i="131"/>
  <c r="E19" i="131"/>
  <c r="E172" i="131"/>
  <c r="E53" i="131"/>
  <c r="E120" i="131"/>
  <c r="E197" i="131"/>
  <c r="E140" i="131"/>
  <c r="E7" i="131"/>
  <c r="E168" i="131"/>
  <c r="E28" i="131"/>
  <c r="E112" i="131"/>
  <c r="AE715" i="131"/>
  <c r="D715" i="131"/>
  <c r="AE671" i="131"/>
  <c r="D671" i="131"/>
  <c r="E9" i="131"/>
  <c r="E3" i="131"/>
  <c r="E78" i="131"/>
  <c r="E125" i="131"/>
  <c r="E95" i="131"/>
  <c r="E113" i="131"/>
  <c r="E35" i="131"/>
  <c r="E25" i="131"/>
  <c r="E167" i="131"/>
  <c r="E121" i="131"/>
  <c r="E164" i="131"/>
  <c r="E8" i="131"/>
  <c r="E174" i="131"/>
  <c r="E36" i="131"/>
  <c r="AE71" i="131"/>
  <c r="E211" i="131"/>
  <c r="E127" i="131"/>
  <c r="E40" i="131"/>
  <c r="E29" i="131"/>
  <c r="E131" i="131"/>
  <c r="E175" i="131"/>
  <c r="E124" i="131"/>
  <c r="E24" i="131"/>
  <c r="E129" i="131"/>
  <c r="E215" i="131"/>
  <c r="E45" i="131"/>
  <c r="E169" i="131"/>
  <c r="E118" i="131"/>
  <c r="E67" i="131"/>
  <c r="E144" i="131"/>
  <c r="E108" i="131"/>
  <c r="E54" i="131"/>
  <c r="E149" i="131"/>
  <c r="E183" i="131"/>
  <c r="AE126" i="131"/>
  <c r="D126" i="131"/>
  <c r="E218" i="131"/>
  <c r="E20" i="131"/>
  <c r="E207" i="131"/>
  <c r="E204" i="131"/>
  <c r="E110" i="131"/>
  <c r="E119" i="131"/>
  <c r="E171" i="131"/>
  <c r="E157" i="131"/>
  <c r="E60" i="131"/>
  <c r="E139" i="131"/>
  <c r="E148" i="131"/>
  <c r="AB147" i="131"/>
  <c r="E83" i="131"/>
  <c r="E132" i="131"/>
  <c r="E130" i="131"/>
  <c r="E117" i="131"/>
  <c r="E79" i="131"/>
  <c r="E76" i="131"/>
  <c r="E65" i="131"/>
  <c r="E64" i="131"/>
  <c r="E52" i="131"/>
  <c r="E39" i="131"/>
  <c r="E6" i="131"/>
  <c r="E163" i="131"/>
  <c r="AB164" i="131"/>
  <c r="AB57" i="131"/>
  <c r="E57" i="131"/>
  <c r="AB109" i="131"/>
  <c r="E109" i="131"/>
  <c r="E111" i="131"/>
  <c r="AB111" i="131"/>
  <c r="E5" i="131"/>
  <c r="AB5" i="131"/>
  <c r="E128" i="131"/>
  <c r="AB126" i="131"/>
  <c r="E34" i="131"/>
  <c r="AB33" i="131"/>
  <c r="AE82" i="131"/>
  <c r="D82" i="131"/>
  <c r="AE99" i="131"/>
  <c r="D99" i="131"/>
  <c r="D615" i="131"/>
  <c r="AE615" i="131"/>
  <c r="D647" i="131"/>
  <c r="AE647" i="131"/>
  <c r="AE803" i="131"/>
  <c r="D803" i="131"/>
  <c r="D111" i="131"/>
  <c r="AE111" i="131"/>
  <c r="AE172" i="131"/>
  <c r="D172" i="131"/>
  <c r="AE199" i="131"/>
  <c r="D199" i="131"/>
  <c r="D53" i="131"/>
  <c r="AE53" i="131"/>
  <c r="D78" i="131"/>
  <c r="AE78" i="131"/>
  <c r="AE77" i="131"/>
  <c r="D77" i="131"/>
  <c r="E105" i="131"/>
  <c r="AB104" i="131"/>
  <c r="AE135" i="131"/>
  <c r="D135" i="131"/>
  <c r="AE791" i="131"/>
  <c r="D791" i="131"/>
  <c r="AE8" i="131"/>
  <c r="D8" i="131"/>
  <c r="AE42" i="131"/>
  <c r="D42" i="131"/>
  <c r="AE69" i="131"/>
  <c r="D69" i="131"/>
  <c r="D150" i="131"/>
  <c r="AE150" i="131"/>
  <c r="D28" i="131"/>
  <c r="AE28" i="131"/>
  <c r="AE86" i="131"/>
  <c r="D86" i="131"/>
  <c r="D143" i="131"/>
  <c r="AE143" i="131"/>
  <c r="AE211" i="131"/>
  <c r="D211" i="131"/>
  <c r="AE655" i="131"/>
  <c r="D655" i="131"/>
  <c r="AE795" i="131"/>
  <c r="D795" i="131"/>
  <c r="AB2" i="131"/>
  <c r="AE75" i="131"/>
  <c r="D75" i="131"/>
  <c r="AB151" i="131"/>
  <c r="E151" i="131"/>
  <c r="AE197" i="131"/>
  <c r="D197" i="131"/>
  <c r="D5" i="131"/>
  <c r="AE5" i="131"/>
  <c r="AE97" i="131"/>
  <c r="D97" i="131"/>
  <c r="AE639" i="131"/>
  <c r="D639" i="131"/>
  <c r="E49" i="131"/>
  <c r="AB47" i="131"/>
  <c r="AE215" i="131"/>
  <c r="D215" i="131"/>
  <c r="AE24" i="131"/>
  <c r="D24" i="131"/>
  <c r="AB133" i="131"/>
  <c r="D175" i="131"/>
  <c r="AE175" i="131"/>
  <c r="AE208" i="131"/>
  <c r="D208" i="131"/>
  <c r="D3" i="131"/>
  <c r="AE3" i="131"/>
  <c r="AE93" i="131"/>
  <c r="D93" i="131"/>
  <c r="D107" i="131"/>
  <c r="AE107" i="131"/>
  <c r="AE121" i="131"/>
  <c r="D121" i="131"/>
  <c r="D163" i="131"/>
  <c r="AE163" i="131"/>
  <c r="AE155" i="131"/>
  <c r="D155" i="131"/>
  <c r="E18" i="131"/>
  <c r="AB18" i="131"/>
  <c r="AB13" i="131"/>
  <c r="E13" i="131"/>
  <c r="AE70" i="131"/>
  <c r="D70" i="131"/>
  <c r="AE105" i="131"/>
  <c r="D105" i="131"/>
  <c r="AE125" i="131"/>
  <c r="D125" i="131"/>
  <c r="AE187" i="131"/>
  <c r="D187" i="131"/>
  <c r="AE25" i="131"/>
  <c r="D25" i="131"/>
  <c r="E38" i="131"/>
  <c r="AB38" i="131"/>
  <c r="E90" i="131"/>
  <c r="AB89" i="131"/>
  <c r="AE74" i="131"/>
  <c r="D74" i="131"/>
  <c r="D132" i="131"/>
  <c r="AE132" i="131"/>
  <c r="AE193" i="131"/>
  <c r="D193" i="131"/>
  <c r="D112" i="131"/>
  <c r="AE112" i="131"/>
  <c r="AE195" i="131"/>
  <c r="D195" i="131"/>
  <c r="D607" i="131"/>
  <c r="AE607" i="131"/>
  <c r="AE23" i="131"/>
  <c r="D23" i="131"/>
  <c r="D123" i="131"/>
  <c r="AE123" i="131"/>
  <c r="AE21" i="131"/>
  <c r="D21" i="131"/>
  <c r="D56" i="131"/>
  <c r="AE56" i="131"/>
  <c r="AB162" i="131"/>
  <c r="E162" i="131"/>
  <c r="AE169" i="131"/>
  <c r="D169" i="131"/>
  <c r="AE118" i="131"/>
  <c r="D118" i="131"/>
  <c r="AE191" i="131"/>
  <c r="D191" i="131"/>
  <c r="D50" i="131"/>
  <c r="AE50" i="131"/>
  <c r="AC219" i="131"/>
  <c r="AE46" i="131"/>
  <c r="D46" i="131"/>
  <c r="AE54" i="131"/>
  <c r="D54" i="131"/>
  <c r="AE85" i="131"/>
  <c r="D85" i="131"/>
  <c r="D151" i="131"/>
  <c r="AE151" i="131"/>
  <c r="AE67" i="131"/>
  <c r="D67" i="131"/>
  <c r="D119" i="131"/>
  <c r="AE119" i="131"/>
  <c r="AE599" i="131"/>
  <c r="D599" i="131"/>
  <c r="D19" i="131"/>
  <c r="AE19" i="131"/>
  <c r="AE213" i="131"/>
  <c r="D213" i="131"/>
  <c r="D13" i="131"/>
  <c r="AE13" i="131"/>
  <c r="D162" i="131"/>
  <c r="AE162" i="131"/>
  <c r="D22" i="131"/>
  <c r="AE22" i="131"/>
  <c r="D120" i="131"/>
  <c r="AE120" i="131"/>
  <c r="D171" i="131"/>
  <c r="AE171" i="131"/>
  <c r="D144" i="131"/>
  <c r="AE144" i="131"/>
  <c r="D44" i="131"/>
  <c r="AE44" i="131"/>
  <c r="AE189" i="131"/>
  <c r="D189" i="131"/>
  <c r="D102" i="131"/>
  <c r="AE102" i="131"/>
  <c r="D52" i="131"/>
  <c r="AE52" i="131"/>
  <c r="D157" i="131"/>
  <c r="AE157" i="131"/>
  <c r="D57" i="131"/>
  <c r="AE57" i="131"/>
  <c r="AB98" i="131"/>
  <c r="E99" i="131"/>
  <c r="AB138" i="131"/>
  <c r="E138" i="131"/>
  <c r="AB22" i="131"/>
  <c r="E22" i="131"/>
  <c r="AE783" i="131"/>
  <c r="D783" i="131"/>
  <c r="AE35" i="131"/>
  <c r="D35" i="131"/>
  <c r="AE45" i="131"/>
  <c r="D45" i="131"/>
  <c r="D34" i="131"/>
  <c r="AE34" i="131"/>
  <c r="E42" i="131"/>
  <c r="AB40" i="131"/>
  <c r="D92" i="131"/>
  <c r="AE92" i="131"/>
  <c r="D124" i="131"/>
  <c r="AE124" i="131"/>
  <c r="AB75" i="131"/>
  <c r="E75" i="131"/>
  <c r="D117" i="131"/>
  <c r="AE117" i="131"/>
  <c r="AE205" i="131"/>
  <c r="D205" i="131"/>
  <c r="D611" i="131"/>
  <c r="AE611" i="131"/>
  <c r="D84" i="131"/>
  <c r="AE84" i="131"/>
  <c r="D134" i="131"/>
  <c r="AE134" i="131"/>
  <c r="D218" i="131"/>
  <c r="AE218" i="131"/>
  <c r="AE49" i="131"/>
  <c r="D49" i="131"/>
  <c r="D204" i="131"/>
  <c r="AE204" i="131"/>
  <c r="AB26" i="131"/>
  <c r="D179" i="131"/>
  <c r="AE179" i="131"/>
  <c r="AE31" i="131"/>
  <c r="D31" i="131"/>
  <c r="AE165" i="131"/>
  <c r="D165" i="131"/>
  <c r="D73" i="131"/>
  <c r="AE73" i="131"/>
  <c r="AE108" i="131"/>
  <c r="D108" i="131"/>
  <c r="D115" i="131"/>
  <c r="AE115" i="131"/>
  <c r="D603" i="131"/>
  <c r="AE603" i="131"/>
  <c r="D20" i="131"/>
  <c r="AE20" i="131"/>
  <c r="D148" i="131"/>
  <c r="AE148" i="131"/>
  <c r="AE39" i="131"/>
  <c r="D39" i="131"/>
  <c r="AB88" i="131"/>
  <c r="AE76" i="131"/>
  <c r="D76" i="131"/>
  <c r="AE90" i="131"/>
  <c r="D90" i="131"/>
  <c r="AE203" i="131"/>
  <c r="D203" i="131"/>
  <c r="D214" i="131"/>
  <c r="AE214" i="131"/>
  <c r="AE207" i="131"/>
  <c r="D207" i="131"/>
  <c r="AE619" i="131"/>
  <c r="D619" i="131"/>
  <c r="AE787" i="131"/>
  <c r="D787" i="131"/>
  <c r="AE130" i="131"/>
  <c r="D130" i="131"/>
  <c r="D129" i="131"/>
  <c r="AE129" i="131"/>
  <c r="D60" i="131"/>
  <c r="AE60" i="131"/>
  <c r="AE101" i="131"/>
  <c r="D101" i="131"/>
  <c r="AE68" i="131"/>
  <c r="D68" i="131"/>
  <c r="D64" i="131"/>
  <c r="AE64" i="131"/>
  <c r="AE61" i="131"/>
  <c r="D61" i="131"/>
  <c r="D164" i="131"/>
  <c r="AE164" i="131"/>
  <c r="AE201" i="131"/>
  <c r="D201" i="131"/>
  <c r="AE775" i="131"/>
  <c r="D775" i="131"/>
  <c r="AE807" i="131"/>
  <c r="D807" i="131"/>
  <c r="AE7" i="131"/>
  <c r="D7" i="131"/>
  <c r="AE80" i="131"/>
  <c r="D80" i="131"/>
  <c r="AE174" i="131"/>
  <c r="D174" i="131"/>
  <c r="D196" i="131"/>
  <c r="AE196" i="131"/>
  <c r="D168" i="131"/>
  <c r="AE168" i="131"/>
  <c r="AE623" i="131"/>
  <c r="D623" i="131"/>
  <c r="D36" i="131"/>
  <c r="AE36" i="131"/>
  <c r="E50" i="131"/>
  <c r="AB49" i="131"/>
  <c r="AE95" i="131"/>
  <c r="D95" i="131"/>
  <c r="AE79" i="131"/>
  <c r="D79" i="131"/>
  <c r="D128" i="131"/>
  <c r="AE128" i="131"/>
  <c r="AE635" i="131"/>
  <c r="D635" i="131"/>
  <c r="AE779" i="131"/>
  <c r="D779" i="131"/>
  <c r="D631" i="131"/>
  <c r="AE631" i="131"/>
  <c r="AE799" i="131"/>
  <c r="D799" i="131"/>
  <c r="AE149" i="131"/>
  <c r="D149" i="131"/>
  <c r="D167" i="131"/>
  <c r="AE167" i="131"/>
  <c r="AE183" i="131"/>
  <c r="D183" i="131"/>
  <c r="AE6" i="131"/>
  <c r="D6" i="131"/>
  <c r="AE38" i="131"/>
  <c r="D38" i="131"/>
  <c r="AE627" i="131"/>
  <c r="D627" i="131"/>
  <c r="AE170" i="131"/>
  <c r="D170" i="131"/>
  <c r="AE219" i="131" l="1"/>
  <c r="E219" i="131"/>
  <c r="A1" i="131"/>
  <c r="AB219" i="131"/>
</calcChain>
</file>

<file path=xl/sharedStrings.xml><?xml version="1.0" encoding="utf-8"?>
<sst xmlns="http://schemas.openxmlformats.org/spreadsheetml/2006/main" count="377" uniqueCount="269">
  <si>
    <t xml:space="preserve"> </t>
  </si>
  <si>
    <t>реклама</t>
  </si>
  <si>
    <t>Ноут с офисом и гарантией</t>
  </si>
  <si>
    <t>Контроли:</t>
  </si>
  <si>
    <t>realmenote50zzz3z64zzblue</t>
  </si>
  <si>
    <t>INOI</t>
  </si>
  <si>
    <t>X-Prime</t>
  </si>
  <si>
    <t>redmia3xgreen64</t>
  </si>
  <si>
    <t>oppoa3xpurple</t>
  </si>
  <si>
    <t>realmenote50zzz128gb</t>
  </si>
  <si>
    <t>tecnogo1black64</t>
  </si>
  <si>
    <t>tecnogo2024white128</t>
  </si>
  <si>
    <t>redmi14c256green</t>
  </si>
  <si>
    <t>redmi13black128</t>
  </si>
  <si>
    <t>tecnogo2024black128</t>
  </si>
  <si>
    <t>apodspro22</t>
  </si>
  <si>
    <t>infinixsmart9black64</t>
  </si>
  <si>
    <t>redmi14c256black</t>
  </si>
  <si>
    <t>samsunga06white64</t>
  </si>
  <si>
    <t>infinixsmart9black128</t>
  </si>
  <si>
    <t>frbbyv10withoffice</t>
  </si>
  <si>
    <t>realmenote256black</t>
  </si>
  <si>
    <t>infinixsmart9titan64</t>
  </si>
  <si>
    <t>pococ61green64</t>
  </si>
  <si>
    <t>redmi13black256</t>
  </si>
  <si>
    <t>realmenote60xblack64</t>
  </si>
  <si>
    <t>redmi13pink128</t>
  </si>
  <si>
    <t>redmi13gold128</t>
  </si>
  <si>
    <t>redmi13pink256</t>
  </si>
  <si>
    <t>redmia3xwhite</t>
  </si>
  <si>
    <t>samsunga15black256</t>
  </si>
  <si>
    <t>марж-ть К</t>
  </si>
  <si>
    <t>марж-ть с рекламой  ИТОГ</t>
  </si>
  <si>
    <t>доп 3,2%</t>
  </si>
  <si>
    <t>доставка в См</t>
  </si>
  <si>
    <t>Комиссия ВБ, руб</t>
  </si>
  <si>
    <t>Логистика ВБ, руб</t>
  </si>
  <si>
    <t>Упаковка</t>
  </si>
  <si>
    <t>Бензин</t>
  </si>
  <si>
    <t>подарок+</t>
  </si>
  <si>
    <t>98% качество</t>
  </si>
  <si>
    <t xml:space="preserve">зп </t>
  </si>
  <si>
    <t>пл. пр.</t>
  </si>
  <si>
    <t>Себестоимость</t>
  </si>
  <si>
    <t xml:space="preserve">Цена на ВБ </t>
  </si>
  <si>
    <t xml:space="preserve">Прибыль за шт </t>
  </si>
  <si>
    <t>Цена на ВБ МК</t>
  </si>
  <si>
    <t>Прибыль за шт МК</t>
  </si>
  <si>
    <t>самовыкуп</t>
  </si>
  <si>
    <t>Себестоимость за вычетом комиссии ВБ и логистики всего за день</t>
  </si>
  <si>
    <t>реклама за день</t>
  </si>
  <si>
    <t xml:space="preserve">ЧИСТАЯ ПРИБЫЛЬ, руб. </t>
  </si>
  <si>
    <t>прибыль, руб. ЮВ</t>
  </si>
  <si>
    <t xml:space="preserve">Придет с ВБ, руб. </t>
  </si>
  <si>
    <t>старт недели</t>
  </si>
  <si>
    <t>куплено за эту неделю</t>
  </si>
  <si>
    <t>ост</t>
  </si>
  <si>
    <t>старт дня</t>
  </si>
  <si>
    <t>куплено за день</t>
  </si>
  <si>
    <t>литров</t>
  </si>
  <si>
    <t>6л х ст-ть хр-я</t>
  </si>
  <si>
    <t>ст-ть хр-я за сегодня</t>
  </si>
  <si>
    <t>КОЛЕДИНО</t>
  </si>
  <si>
    <t>КАЗАНЬ</t>
  </si>
  <si>
    <t>КРАСНОДАР</t>
  </si>
  <si>
    <t>ЕКАТЕРИНБУРГ</t>
  </si>
  <si>
    <t xml:space="preserve">Хр-е за 1 литр, руб. </t>
  </si>
  <si>
    <t>Коэффиц-т склада</t>
  </si>
  <si>
    <t>Хр-е Realme Note 50 ИТОГО</t>
  </si>
  <si>
    <t>Хр-е С61 ИТОГО</t>
  </si>
  <si>
    <t>Ст-ть хр-я 1 штуки в день, руб</t>
  </si>
  <si>
    <t>Хр-е Realme Note 50 Коледино</t>
  </si>
  <si>
    <t>Хр-е Realme Note 50 Казань</t>
  </si>
  <si>
    <t>Хр-е Realme Note 50 Краснодар</t>
  </si>
  <si>
    <t>Хр-е С61 Колед</t>
  </si>
  <si>
    <t>Хр-е С61 Казань</t>
  </si>
  <si>
    <t>Хр-е С63 Колед</t>
  </si>
  <si>
    <t>Хр-е С63 Казань</t>
  </si>
  <si>
    <t>Коледино</t>
  </si>
  <si>
    <t>Казань</t>
  </si>
  <si>
    <t>Краснодар</t>
  </si>
  <si>
    <t>контроль</t>
  </si>
  <si>
    <t>Realme Note 50</t>
  </si>
  <si>
    <t xml:space="preserve">С61 </t>
  </si>
  <si>
    <t xml:space="preserve">С63 </t>
  </si>
  <si>
    <t>Екатеринбург</t>
  </si>
  <si>
    <t>Хр-е 4 Краснодар</t>
  </si>
  <si>
    <t>Хр-е С61 Екатеринбург</t>
  </si>
  <si>
    <t>Остаток</t>
  </si>
  <si>
    <t>С61</t>
  </si>
  <si>
    <t>Хр-е за 3 литра, руб.</t>
  </si>
  <si>
    <t>Коэфф. Склада</t>
  </si>
  <si>
    <t>Хр-е Колед набор2</t>
  </si>
  <si>
    <t>ИТОГО</t>
  </si>
  <si>
    <t>samsunga16black256</t>
  </si>
  <si>
    <t>Чистые</t>
  </si>
  <si>
    <t>redmi14c256blue</t>
  </si>
  <si>
    <t>redmi14c128purple</t>
  </si>
  <si>
    <t>pococ75white256</t>
  </si>
  <si>
    <t>inoi22komplect</t>
  </si>
  <si>
    <t>infinixhot30play</t>
  </si>
  <si>
    <t>Infinix</t>
  </si>
  <si>
    <t>infinixhot30white</t>
  </si>
  <si>
    <t>infinixhot40</t>
  </si>
  <si>
    <t>infinixhot40i</t>
  </si>
  <si>
    <t>infinixhot50i</t>
  </si>
  <si>
    <t>infinixnote30i</t>
  </si>
  <si>
    <t>smart8pro</t>
  </si>
  <si>
    <t>OPPO</t>
  </si>
  <si>
    <t>pococ61black128</t>
  </si>
  <si>
    <t>POCO</t>
  </si>
  <si>
    <t>pococ61black64</t>
  </si>
  <si>
    <t>pococ65</t>
  </si>
  <si>
    <t>pococ75black128</t>
  </si>
  <si>
    <t>realmec61</t>
  </si>
  <si>
    <t>Realme</t>
  </si>
  <si>
    <t>realmec63blue128</t>
  </si>
  <si>
    <t>realmec63green</t>
  </si>
  <si>
    <t>realmenote50komplect</t>
  </si>
  <si>
    <t>redmi12</t>
  </si>
  <si>
    <t>Redmi</t>
  </si>
  <si>
    <t>samsunga06black128</t>
  </si>
  <si>
    <t>SAMSUNG</t>
  </si>
  <si>
    <t>samsunga16black128</t>
  </si>
  <si>
    <t>samsunga16white128</t>
  </si>
  <si>
    <t>samsunga15</t>
  </si>
  <si>
    <t>Samsung</t>
  </si>
  <si>
    <t>samsunga15white</t>
  </si>
  <si>
    <t>samsunga24</t>
  </si>
  <si>
    <t>samsunga25</t>
  </si>
  <si>
    <t>samsunga34</t>
  </si>
  <si>
    <t>samsunga35</t>
  </si>
  <si>
    <t>samsunga54</t>
  </si>
  <si>
    <t>samsunga54white</t>
  </si>
  <si>
    <t>samsunga55</t>
  </si>
  <si>
    <t>samsungs24</t>
  </si>
  <si>
    <t>smartphonekomplect1</t>
  </si>
  <si>
    <t>TECNO</t>
  </si>
  <si>
    <t>tecnogo1black128</t>
  </si>
  <si>
    <t>tecnogo1green64</t>
  </si>
  <si>
    <t>tecnosparkgo2024white</t>
  </si>
  <si>
    <t>Tecno</t>
  </si>
  <si>
    <t>tecnopop7</t>
  </si>
  <si>
    <t>a10pro</t>
  </si>
  <si>
    <t>Umiio</t>
  </si>
  <si>
    <t>a15xprime</t>
  </si>
  <si>
    <t>Xiaomi</t>
  </si>
  <si>
    <t>redmi13c</t>
  </si>
  <si>
    <t>redmi14c128green</t>
  </si>
  <si>
    <t>redmi14c256purple</t>
  </si>
  <si>
    <t>redmi14cblack</t>
  </si>
  <si>
    <t>redmi14cblue</t>
  </si>
  <si>
    <t>redmia3x</t>
  </si>
  <si>
    <t>redminote13</t>
  </si>
  <si>
    <t>realmec61gold</t>
  </si>
  <si>
    <t>realme</t>
  </si>
  <si>
    <t>realmec61q8q256</t>
  </si>
  <si>
    <t>realmec63</t>
  </si>
  <si>
    <t>realmec65</t>
  </si>
  <si>
    <t>Беспроводные наушники</t>
  </si>
  <si>
    <t>p10komplect</t>
  </si>
  <si>
    <t>ПланШет</t>
  </si>
  <si>
    <t>planshetkomplecta19pro</t>
  </si>
  <si>
    <t>komplect1</t>
  </si>
  <si>
    <t>Смарт часы</t>
  </si>
  <si>
    <t>laptopk1</t>
  </si>
  <si>
    <t>компьютер</t>
  </si>
  <si>
    <t>Налог 12%, руб</t>
  </si>
  <si>
    <t>pococ75green128</t>
  </si>
  <si>
    <t>pococ75green256</t>
  </si>
  <si>
    <t>pococ75white128</t>
  </si>
  <si>
    <t>pococ75black256</t>
  </si>
  <si>
    <t>pococ61green128</t>
  </si>
  <si>
    <t>samsunga15white256</t>
  </si>
  <si>
    <t>realmenote50blue128</t>
  </si>
  <si>
    <t>realmenote50blue256</t>
  </si>
  <si>
    <t>infinixsmart9titan128</t>
  </si>
  <si>
    <t>кол-во заказов</t>
  </si>
  <si>
    <t>0,07х2,2</t>
  </si>
  <si>
    <t>itel p55 черный</t>
  </si>
  <si>
    <t xml:space="preserve">ЧИСТАЯ ПРИБЫЛЬ по блокам, руб. </t>
  </si>
  <si>
    <t>tecnogo1green128</t>
  </si>
  <si>
    <t xml:space="preserve">tel1 </t>
  </si>
  <si>
    <t>digmakidsa7pinkwatch</t>
  </si>
  <si>
    <t>samsunga16white256</t>
  </si>
  <si>
    <t>honorx6bblack128</t>
  </si>
  <si>
    <t>Povaneo6</t>
  </si>
  <si>
    <t xml:space="preserve">tecnospark30black128 </t>
  </si>
  <si>
    <t>tecnospark30black256</t>
  </si>
  <si>
    <t xml:space="preserve">OppoA60256 </t>
  </si>
  <si>
    <t>infinixhot40problack256</t>
  </si>
  <si>
    <t>teclastp30t606blue128</t>
  </si>
  <si>
    <t>redmi12blue128</t>
  </si>
  <si>
    <t xml:space="preserve">HuaweiWatchFit3black </t>
  </si>
  <si>
    <t>infinixhot40problack128</t>
  </si>
  <si>
    <t>tecnopova6neoblack128</t>
  </si>
  <si>
    <t>digmaeve15c5403128</t>
  </si>
  <si>
    <t>SamsungGalaxyTabA9black</t>
  </si>
  <si>
    <t>HK10Ultra3WF</t>
  </si>
  <si>
    <t>Redmiwatch5Activeblack</t>
  </si>
  <si>
    <t>HuaweiNovaY61black256</t>
  </si>
  <si>
    <t xml:space="preserve"> 
Huaweifitsestab39black</t>
  </si>
  <si>
    <t>komplect1lux</t>
  </si>
  <si>
    <t xml:space="preserve">honorx6bblack256 </t>
  </si>
  <si>
    <t xml:space="preserve">VivoY198/256blac
VivoY198/256blac
VivoY198/256blac
</t>
  </si>
  <si>
    <t>VivoY198/128black</t>
  </si>
  <si>
    <t xml:space="preserve">HuaweiNovaY72S128black </t>
  </si>
  <si>
    <t>VivoY28128emerald</t>
  </si>
  <si>
    <t xml:space="preserve">XiaomiSmartBand9black </t>
  </si>
  <si>
    <t>Samsunggalaxyfit3+galaxibudsgrey</t>
  </si>
  <si>
    <t>HuaweiNovaY61black128</t>
  </si>
  <si>
    <t>RedmiWftch5Active</t>
  </si>
  <si>
    <t>ПроекторUMIIOQ4PR</t>
  </si>
  <si>
    <t xml:space="preserve">WatchGT4,41мм </t>
  </si>
  <si>
    <t>CHot50pro128</t>
  </si>
  <si>
    <t>CRedmiNote14128</t>
  </si>
  <si>
    <t>SamsungGalaxyFit3grey</t>
  </si>
  <si>
    <t>CHonorX7c128</t>
  </si>
  <si>
    <t>СRealmiC75128</t>
  </si>
  <si>
    <t>HuaweiNovaY72S256black</t>
  </si>
  <si>
    <t>InfinixHot50256black</t>
  </si>
  <si>
    <t>InfinixHot50128black</t>
  </si>
  <si>
    <t>OppoA96128blue</t>
  </si>
  <si>
    <t>OppoA96256blue</t>
  </si>
  <si>
    <t>HonorX6b128green</t>
  </si>
  <si>
    <t>PocoM6128black</t>
  </si>
  <si>
    <t>PocoM7Pro256green</t>
  </si>
  <si>
    <t>PocoM6256black</t>
  </si>
  <si>
    <t>комиссия</t>
  </si>
  <si>
    <t>HonorX6b256green</t>
  </si>
  <si>
    <t>HonorX5b64black</t>
  </si>
  <si>
    <t xml:space="preserve">RealmeNote60128black </t>
  </si>
  <si>
    <t>CRealmeC75256</t>
  </si>
  <si>
    <t xml:space="preserve">HuaweiNova13i8/128GB </t>
  </si>
  <si>
    <t>ChoiceEarbudsX5Progrey</t>
  </si>
  <si>
    <t xml:space="preserve">TecnoCamon30S128black </t>
  </si>
  <si>
    <t xml:space="preserve">UmnayakolonkaMLRblue </t>
  </si>
  <si>
    <t>дата введения товара</t>
  </si>
  <si>
    <t>XiaomiSmBand9Problack</t>
  </si>
  <si>
    <t>GalaxyFit3Bads2Propink</t>
  </si>
  <si>
    <t xml:space="preserve">FBXiaomiSmBand9Acti
veblack </t>
  </si>
  <si>
    <t>InfinixHot50grey256</t>
  </si>
  <si>
    <t>InfinixHot50grey128</t>
  </si>
  <si>
    <t>FBHuaweiBand9PodsProblack</t>
  </si>
  <si>
    <t>HuaweiFreeBudsSe2bl
ack</t>
  </si>
  <si>
    <t>FBHuaweiBand10black</t>
  </si>
  <si>
    <t xml:space="preserve">major4komplect </t>
  </si>
  <si>
    <t xml:space="preserve">tecnopop7blue </t>
  </si>
  <si>
    <t xml:space="preserve">XiaomiHaylouRS5PodsProblack </t>
  </si>
  <si>
    <t>infinixHot50green256</t>
  </si>
  <si>
    <t>AimotoConceptPodsProblack</t>
  </si>
  <si>
    <t>штука</t>
  </si>
  <si>
    <t>потом будет 9300</t>
  </si>
  <si>
    <t>цена закупа</t>
  </si>
  <si>
    <t>XiaomiRedmiA564ГБSWPPblack</t>
  </si>
  <si>
    <t>POCOC7164GBSWPPblack</t>
  </si>
  <si>
    <t>CHot50pro256</t>
  </si>
  <si>
    <t>blendersokov</t>
  </si>
  <si>
    <t>RobotMoichikRobPiles
white</t>
  </si>
  <si>
    <t>DuchKrangrey</t>
  </si>
  <si>
    <t>redmi13blue256</t>
  </si>
  <si>
    <t>REALME C75</t>
  </si>
  <si>
    <t>СRealmeC75128black</t>
  </si>
  <si>
    <t>itelp55blue256</t>
  </si>
  <si>
    <t>air2</t>
  </si>
  <si>
    <t xml:space="preserve"> smartwatch8</t>
  </si>
  <si>
    <t xml:space="preserve">RedmiA3Pro/128gbSWPPblack </t>
  </si>
  <si>
    <t>vendorCode</t>
  </si>
  <si>
    <t>zakup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</si>
</sst>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theme="7" tint="0.3999755851924192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color rgb="FF92D050"/>
      <name val="Calibri"/>
      <family val="2"/>
      <charset val="204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CBAA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587AF6"/>
        <bgColor indexed="64"/>
      </patternFill>
    </fill>
    <fill>
      <patternFill patternType="solid">
        <fgColor rgb="FFCAF6F5"/>
        <bgColor indexed="64"/>
      </patternFill>
    </fill>
    <fill>
      <patternFill patternType="solid">
        <fgColor rgb="FF7D6CE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6B85E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wrapText="1"/>
    </xf>
    <xf numFmtId="0" fontId="6" fillId="0" borderId="0" xfId="0" applyFont="1"/>
    <xf numFmtId="0" fontId="0" fillId="0" borderId="1" xfId="0" applyBorder="1" applyAlignment="1">
      <alignment textRotation="90"/>
    </xf>
    <xf numFmtId="0" fontId="6" fillId="3" borderId="1" xfId="0" applyFont="1" applyFill="1" applyBorder="1" applyAlignment="1">
      <alignment wrapText="1"/>
    </xf>
    <xf numFmtId="0" fontId="0" fillId="4" borderId="0" xfId="0" applyFill="1"/>
    <xf numFmtId="0" fontId="6" fillId="4" borderId="0" xfId="0" applyFont="1" applyFill="1"/>
    <xf numFmtId="0" fontId="0" fillId="0" borderId="2" xfId="0" applyBorder="1"/>
    <xf numFmtId="0" fontId="6" fillId="5" borderId="1" xfId="0" applyFont="1" applyFill="1" applyBorder="1" applyAlignment="1">
      <alignment wrapText="1"/>
    </xf>
    <xf numFmtId="0" fontId="0" fillId="5" borderId="0" xfId="0" applyFill="1"/>
    <xf numFmtId="0" fontId="7" fillId="0" borderId="1" xfId="0" applyFont="1" applyBorder="1" applyAlignment="1">
      <alignment wrapText="1"/>
    </xf>
    <xf numFmtId="0" fontId="0" fillId="7" borderId="0" xfId="0" applyFill="1"/>
    <xf numFmtId="0" fontId="0" fillId="6" borderId="0" xfId="0" applyFill="1"/>
    <xf numFmtId="0" fontId="6" fillId="6" borderId="0" xfId="0" applyFont="1" applyFill="1"/>
    <xf numFmtId="0" fontId="5" fillId="10" borderId="1" xfId="0" applyFont="1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6" fillId="10" borderId="1" xfId="0" applyFont="1" applyFill="1" applyBorder="1" applyAlignment="1">
      <alignment wrapText="1"/>
    </xf>
    <xf numFmtId="0" fontId="0" fillId="10" borderId="0" xfId="0" applyFill="1"/>
    <xf numFmtId="0" fontId="6" fillId="4" borderId="4" xfId="0" applyFont="1" applyFill="1" applyBorder="1"/>
    <xf numFmtId="0" fontId="4" fillId="6" borderId="1" xfId="0" applyFont="1" applyFill="1" applyBorder="1" applyAlignment="1">
      <alignment wrapText="1"/>
    </xf>
    <xf numFmtId="0" fontId="0" fillId="11" borderId="0" xfId="0" applyFill="1"/>
    <xf numFmtId="0" fontId="0" fillId="0" borderId="0" xfId="0" applyAlignment="1">
      <alignment wrapText="1"/>
    </xf>
    <xf numFmtId="0" fontId="6" fillId="3" borderId="10" xfId="0" applyFont="1" applyFill="1" applyBorder="1" applyAlignment="1">
      <alignment horizontal="center" textRotation="90"/>
    </xf>
    <xf numFmtId="0" fontId="6" fillId="13" borderId="10" xfId="0" applyFont="1" applyFill="1" applyBorder="1" applyAlignment="1">
      <alignment horizontal="center" textRotation="90" wrapText="1"/>
    </xf>
    <xf numFmtId="0" fontId="0" fillId="14" borderId="0" xfId="0" applyFill="1"/>
    <xf numFmtId="0" fontId="0" fillId="10" borderId="1" xfId="0" applyFill="1" applyBorder="1"/>
    <xf numFmtId="0" fontId="0" fillId="7" borderId="1" xfId="0" applyFill="1" applyBorder="1"/>
    <xf numFmtId="0" fontId="0" fillId="15" borderId="0" xfId="0" applyFill="1"/>
    <xf numFmtId="0" fontId="10" fillId="0" borderId="0" xfId="0" applyFont="1"/>
    <xf numFmtId="0" fontId="6" fillId="10" borderId="10" xfId="0" applyFont="1" applyFill="1" applyBorder="1" applyAlignment="1">
      <alignment wrapText="1"/>
    </xf>
    <xf numFmtId="0" fontId="0" fillId="8" borderId="0" xfId="0" applyFill="1" applyAlignment="1">
      <alignment horizontal="center" wrapText="1"/>
    </xf>
    <xf numFmtId="0" fontId="6" fillId="8" borderId="0" xfId="0" applyFont="1" applyFill="1" applyAlignment="1">
      <alignment horizontal="center" wrapText="1"/>
    </xf>
    <xf numFmtId="0" fontId="0" fillId="10" borderId="0" xfId="0" applyFill="1" applyAlignment="1">
      <alignment horizontal="center" wrapText="1"/>
    </xf>
    <xf numFmtId="0" fontId="6" fillId="10" borderId="1" xfId="0" applyFont="1" applyFill="1" applyBorder="1"/>
    <xf numFmtId="0" fontId="6" fillId="2" borderId="1" xfId="0" applyFont="1" applyFill="1" applyBorder="1" applyAlignment="1">
      <alignment horizontal="center" textRotation="90" wrapText="1"/>
    </xf>
    <xf numFmtId="0" fontId="6" fillId="2" borderId="0" xfId="0" applyFont="1" applyFill="1" applyAlignment="1">
      <alignment horizontal="center" textRotation="90" wrapText="1"/>
    </xf>
    <xf numFmtId="0" fontId="6" fillId="10" borderId="0" xfId="0" applyFont="1" applyFill="1"/>
    <xf numFmtId="0" fontId="3" fillId="2" borderId="1" xfId="0" applyFont="1" applyFill="1" applyBorder="1" applyAlignment="1">
      <alignment horizontal="center" textRotation="90" wrapText="1"/>
    </xf>
    <xf numFmtId="0" fontId="0" fillId="16" borderId="0" xfId="0" applyFill="1"/>
    <xf numFmtId="1" fontId="0" fillId="16" borderId="0" xfId="0" applyNumberFormat="1" applyFill="1"/>
    <xf numFmtId="1" fontId="6" fillId="16" borderId="4" xfId="0" applyNumberFormat="1" applyFont="1" applyFill="1" applyBorder="1"/>
    <xf numFmtId="0" fontId="0" fillId="9" borderId="0" xfId="0" applyFill="1"/>
    <xf numFmtId="49" fontId="0" fillId="0" borderId="1" xfId="0" applyNumberFormat="1" applyBorder="1" applyAlignment="1">
      <alignment textRotation="90" wrapText="1"/>
    </xf>
    <xf numFmtId="0" fontId="0" fillId="0" borderId="1" xfId="0" applyBorder="1" applyAlignment="1">
      <alignment textRotation="90" wrapText="1"/>
    </xf>
    <xf numFmtId="0" fontId="0" fillId="3" borderId="0" xfId="0" applyFill="1"/>
    <xf numFmtId="0" fontId="6" fillId="12" borderId="4" xfId="0" applyFont="1" applyFill="1" applyBorder="1"/>
    <xf numFmtId="0" fontId="2" fillId="4" borderId="0" xfId="0" applyFont="1" applyFill="1"/>
    <xf numFmtId="0" fontId="0" fillId="0" borderId="11" xfId="0" applyBorder="1"/>
    <xf numFmtId="0" fontId="0" fillId="12" borderId="0" xfId="0" applyFill="1"/>
    <xf numFmtId="0" fontId="6" fillId="2" borderId="0" xfId="0" applyFont="1" applyFill="1"/>
    <xf numFmtId="0" fontId="0" fillId="17" borderId="0" xfId="0" applyFill="1"/>
    <xf numFmtId="0" fontId="0" fillId="3" borderId="3" xfId="0" applyFill="1" applyBorder="1"/>
    <xf numFmtId="0" fontId="0" fillId="3" borderId="2" xfId="0" applyFill="1" applyBorder="1"/>
    <xf numFmtId="0" fontId="0" fillId="3" borderId="15" xfId="0" applyFill="1" applyBorder="1"/>
    <xf numFmtId="0" fontId="0" fillId="6" borderId="14" xfId="0" applyFill="1" applyBorder="1"/>
    <xf numFmtId="1" fontId="0" fillId="6" borderId="16" xfId="0" applyNumberFormat="1" applyFill="1" applyBorder="1"/>
    <xf numFmtId="1" fontId="6" fillId="6" borderId="17" xfId="0" applyNumberFormat="1" applyFont="1" applyFill="1" applyBorder="1"/>
    <xf numFmtId="1" fontId="0" fillId="6" borderId="13" xfId="0" applyNumberFormat="1" applyFill="1" applyBorder="1"/>
    <xf numFmtId="0" fontId="6" fillId="17" borderId="12" xfId="0" applyFont="1" applyFill="1" applyBorder="1"/>
    <xf numFmtId="1" fontId="0" fillId="2" borderId="1" xfId="0" applyNumberFormat="1" applyFill="1" applyBorder="1"/>
    <xf numFmtId="0" fontId="0" fillId="18" borderId="0" xfId="0" applyFill="1"/>
    <xf numFmtId="1" fontId="0" fillId="7" borderId="1" xfId="0" applyNumberFormat="1" applyFill="1" applyBorder="1"/>
    <xf numFmtId="1" fontId="6" fillId="7" borderId="1" xfId="0" applyNumberFormat="1" applyFont="1" applyFill="1" applyBorder="1"/>
    <xf numFmtId="0" fontId="0" fillId="15" borderId="1" xfId="0" applyFill="1" applyBorder="1"/>
    <xf numFmtId="1" fontId="0" fillId="15" borderId="1" xfId="0" applyNumberFormat="1" applyFill="1" applyBorder="1"/>
    <xf numFmtId="1" fontId="6" fillId="15" borderId="1" xfId="0" applyNumberFormat="1" applyFont="1" applyFill="1" applyBorder="1"/>
    <xf numFmtId="1" fontId="8" fillId="2" borderId="14" xfId="0" applyNumberFormat="1" applyFont="1" applyFill="1" applyBorder="1"/>
    <xf numFmtId="1" fontId="8" fillId="10" borderId="1" xfId="0" applyNumberFormat="1" applyFont="1" applyFill="1" applyBorder="1"/>
    <xf numFmtId="0" fontId="8" fillId="2" borderId="1" xfId="0" applyFont="1" applyFill="1" applyBorder="1"/>
    <xf numFmtId="0" fontId="8" fillId="2" borderId="0" xfId="0" applyFont="1" applyFill="1"/>
    <xf numFmtId="0" fontId="0" fillId="12" borderId="1" xfId="0" applyFill="1" applyBorder="1" applyAlignment="1">
      <alignment wrapText="1"/>
    </xf>
    <xf numFmtId="0" fontId="6" fillId="2" borderId="4" xfId="0" applyFont="1" applyFill="1" applyBorder="1"/>
    <xf numFmtId="0" fontId="6" fillId="9" borderId="4" xfId="0" applyFont="1" applyFill="1" applyBorder="1"/>
    <xf numFmtId="0" fontId="6" fillId="9" borderId="1" xfId="0" applyFont="1" applyFill="1" applyBorder="1" applyAlignment="1">
      <alignment wrapText="1"/>
    </xf>
    <xf numFmtId="0" fontId="6" fillId="9" borderId="0" xfId="0" applyFont="1" applyFill="1"/>
    <xf numFmtId="0" fontId="6" fillId="12" borderId="0" xfId="0" applyFont="1" applyFill="1"/>
    <xf numFmtId="0" fontId="6" fillId="4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11" fillId="2" borderId="13" xfId="0" applyFont="1" applyFill="1" applyBorder="1"/>
    <xf numFmtId="0" fontId="11" fillId="2" borderId="0" xfId="0" applyFont="1" applyFill="1"/>
    <xf numFmtId="0" fontId="11" fillId="2" borderId="1" xfId="0" applyFont="1" applyFill="1" applyBorder="1"/>
    <xf numFmtId="0" fontId="6" fillId="5" borderId="4" xfId="0" applyFont="1" applyFill="1" applyBorder="1"/>
    <xf numFmtId="0" fontId="0" fillId="5" borderId="7" xfId="0" applyFill="1" applyBorder="1"/>
    <xf numFmtId="0" fontId="0" fillId="5" borderId="8" xfId="0" applyFill="1" applyBorder="1"/>
    <xf numFmtId="0" fontId="6" fillId="5" borderId="0" xfId="0" applyFont="1" applyFill="1"/>
    <xf numFmtId="0" fontId="0" fillId="3" borderId="18" xfId="0" applyFill="1" applyBorder="1"/>
    <xf numFmtId="0" fontId="0" fillId="0" borderId="19" xfId="0" applyBorder="1"/>
    <xf numFmtId="0" fontId="0" fillId="3" borderId="10" xfId="0" applyFill="1" applyBorder="1"/>
    <xf numFmtId="0" fontId="0" fillId="0" borderId="10" xfId="0" applyBorder="1"/>
    <xf numFmtId="0" fontId="0" fillId="3" borderId="20" xfId="0" applyFill="1" applyBorder="1"/>
    <xf numFmtId="0" fontId="0" fillId="7" borderId="21" xfId="0" applyFill="1" applyBorder="1"/>
    <xf numFmtId="0" fontId="0" fillId="5" borderId="5" xfId="0" applyFill="1" applyBorder="1"/>
    <xf numFmtId="0" fontId="12" fillId="6" borderId="0" xfId="0" applyFont="1" applyFill="1"/>
    <xf numFmtId="0" fontId="0" fillId="18" borderId="3" xfId="0" applyFill="1" applyBorder="1"/>
    <xf numFmtId="1" fontId="6" fillId="16" borderId="12" xfId="0" applyNumberFormat="1" applyFont="1" applyFill="1" applyBorder="1"/>
    <xf numFmtId="1" fontId="0" fillId="6" borderId="0" xfId="0" applyNumberFormat="1" applyFill="1"/>
    <xf numFmtId="1" fontId="6" fillId="6" borderId="0" xfId="0" applyNumberFormat="1" applyFont="1" applyFill="1"/>
    <xf numFmtId="0" fontId="0" fillId="19" borderId="1" xfId="0" applyFill="1" applyBorder="1"/>
    <xf numFmtId="1" fontId="0" fillId="19" borderId="1" xfId="0" applyNumberFormat="1" applyFill="1" applyBorder="1"/>
    <xf numFmtId="1" fontId="6" fillId="19" borderId="1" xfId="0" applyNumberFormat="1" applyFont="1" applyFill="1" applyBorder="1"/>
    <xf numFmtId="0" fontId="0" fillId="20" borderId="1" xfId="0" applyFill="1" applyBorder="1"/>
    <xf numFmtId="1" fontId="0" fillId="20" borderId="1" xfId="0" applyNumberFormat="1" applyFill="1" applyBorder="1"/>
    <xf numFmtId="1" fontId="6" fillId="20" borderId="1" xfId="0" applyNumberFormat="1" applyFont="1" applyFill="1" applyBorder="1"/>
    <xf numFmtId="0" fontId="0" fillId="20" borderId="14" xfId="0" applyFill="1" applyBorder="1"/>
    <xf numFmtId="1" fontId="0" fillId="20" borderId="16" xfId="0" applyNumberFormat="1" applyFill="1" applyBorder="1"/>
    <xf numFmtId="1" fontId="6" fillId="20" borderId="17" xfId="0" applyNumberFormat="1" applyFont="1" applyFill="1" applyBorder="1"/>
    <xf numFmtId="1" fontId="0" fillId="20" borderId="13" xfId="0" applyNumberFormat="1" applyFill="1" applyBorder="1"/>
    <xf numFmtId="0" fontId="0" fillId="21" borderId="1" xfId="0" applyFill="1" applyBorder="1"/>
    <xf numFmtId="0" fontId="6" fillId="21" borderId="1" xfId="0" applyFont="1" applyFill="1" applyBorder="1"/>
    <xf numFmtId="0" fontId="0" fillId="21" borderId="13" xfId="0" applyFill="1" applyBorder="1"/>
    <xf numFmtId="0" fontId="0" fillId="6" borderId="1" xfId="0" applyFill="1" applyBorder="1"/>
    <xf numFmtId="0" fontId="6" fillId="6" borderId="1" xfId="0" applyFont="1" applyFill="1" applyBorder="1"/>
    <xf numFmtId="0" fontId="0" fillId="6" borderId="13" xfId="0" applyFill="1" applyBorder="1"/>
    <xf numFmtId="0" fontId="0" fillId="22" borderId="0" xfId="0" applyFill="1"/>
    <xf numFmtId="0" fontId="6" fillId="5" borderId="8" xfId="0" applyFont="1" applyFill="1" applyBorder="1"/>
    <xf numFmtId="0" fontId="6" fillId="5" borderId="7" xfId="0" applyFont="1" applyFill="1" applyBorder="1"/>
    <xf numFmtId="0" fontId="6" fillId="5" borderId="12" xfId="0" applyFont="1" applyFill="1" applyBorder="1"/>
    <xf numFmtId="0" fontId="6" fillId="4" borderId="6" xfId="0" applyFont="1" applyFill="1" applyBorder="1"/>
    <xf numFmtId="0" fontId="6" fillId="4" borderId="9" xfId="0" applyFont="1" applyFill="1" applyBorder="1"/>
    <xf numFmtId="0" fontId="9" fillId="0" borderId="0" xfId="0" applyFont="1"/>
    <xf numFmtId="0" fontId="0" fillId="21" borderId="3" xfId="0" applyFill="1" applyBorder="1"/>
    <xf numFmtId="0" fontId="0" fillId="13" borderId="3" xfId="0" applyFill="1" applyBorder="1"/>
    <xf numFmtId="0" fontId="0" fillId="13" borderId="15" xfId="0" applyFill="1" applyBorder="1"/>
    <xf numFmtId="0" fontId="11" fillId="0" borderId="0" xfId="0" applyFont="1"/>
    <xf numFmtId="0" fontId="10" fillId="12" borderId="0" xfId="0" applyFont="1" applyFill="1"/>
    <xf numFmtId="0" fontId="0" fillId="5" borderId="22" xfId="0" applyFill="1" applyBorder="1"/>
    <xf numFmtId="0" fontId="0" fillId="5" borderId="23" xfId="0" applyFill="1" applyBorder="1"/>
    <xf numFmtId="0" fontId="1" fillId="0" borderId="23" xfId="0" applyFont="1" applyBorder="1"/>
    <xf numFmtId="0" fontId="9" fillId="12" borderId="0" xfId="0" applyFont="1" applyFill="1"/>
    <xf numFmtId="0" fontId="9" fillId="12" borderId="19" xfId="0" applyFont="1" applyFill="1" applyBorder="1"/>
    <xf numFmtId="0" fontId="9" fillId="12" borderId="12" xfId="0" applyFont="1" applyFill="1" applyBorder="1"/>
    <xf numFmtId="0" fontId="9" fillId="12" borderId="22" xfId="0" applyFont="1" applyFill="1" applyBorder="1"/>
    <xf numFmtId="0" fontId="9" fillId="12" borderId="23" xfId="0" applyFont="1" applyFill="1" applyBorder="1"/>
    <xf numFmtId="0" fontId="13" fillId="2" borderId="0" xfId="0" applyFont="1" applyFill="1"/>
    <xf numFmtId="0" fontId="6" fillId="5" borderId="5" xfId="0" applyFont="1" applyFill="1" applyBorder="1"/>
    <xf numFmtId="0" fontId="0" fillId="13" borderId="2" xfId="0" applyFill="1" applyBorder="1"/>
    <xf numFmtId="0" fontId="14" fillId="0" borderId="0" xfId="0" applyFont="1"/>
    <xf numFmtId="0" fontId="10" fillId="0" borderId="0" xfId="0" applyFont="1" applyAlignment="1">
      <alignment wrapText="1"/>
    </xf>
    <xf numFmtId="0" fontId="13" fillId="2" borderId="1" xfId="0" applyFont="1" applyFill="1" applyBorder="1"/>
    <xf numFmtId="0" fontId="13" fillId="0" borderId="0" xfId="0" applyFont="1"/>
    <xf numFmtId="0" fontId="13" fillId="2" borderId="13" xfId="0" applyFont="1" applyFill="1" applyBorder="1"/>
    <xf numFmtId="0" fontId="13" fillId="11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B85E3"/>
      <color rgb="FFFF9933"/>
      <color rgb="FF7D6CE2"/>
      <color rgb="FFCAF6F5"/>
      <color rgb="FFBCF3F2"/>
      <color rgb="FFA6EEEE"/>
      <color rgb="FFA0F2F4"/>
      <color rgb="FF587AF6"/>
      <color rgb="FF5A5EF4"/>
      <color rgb="FF614C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P807"/>
  <sheetViews>
    <sheetView tabSelected="1" topLeftCell="H1" zoomScale="169" zoomScaleNormal="130" workbookViewId="0">
      <pane ySplit="1" topLeftCell="A2" activePane="bottomLeft" state="frozen"/>
      <selection activeCell="C1" sqref="C1"/>
      <selection pane="bottomLeft" activeCell="S1" sqref="S1:S1048576"/>
    </sheetView>
  </sheetViews>
  <sheetFormatPr baseColWidth="10" defaultColWidth="8.83203125" defaultRowHeight="15" x14ac:dyDescent="0.2"/>
  <cols>
    <col min="1" max="1" width="3.83203125" customWidth="1"/>
    <col min="2" max="2" width="7.1640625" customWidth="1"/>
    <col min="3" max="3" width="28.83203125" customWidth="1"/>
    <col min="4" max="4" width="6.5" customWidth="1"/>
    <col min="5" max="5" width="11.33203125" customWidth="1"/>
    <col min="6" max="7" width="6" customWidth="1"/>
    <col min="8" max="8" width="6.83203125" customWidth="1"/>
    <col min="9" max="18" width="6" customWidth="1"/>
    <col min="19" max="19" width="7.1640625" customWidth="1"/>
    <col min="20" max="20" width="8.1640625" customWidth="1"/>
    <col min="21" max="21" width="8.83203125" style="14" customWidth="1"/>
    <col min="22" max="22" width="9" style="46" customWidth="1"/>
    <col min="23" max="23" width="9.33203125" customWidth="1"/>
    <col min="24" max="24" width="9.33203125" style="11" customWidth="1"/>
    <col min="25" max="25" width="6" customWidth="1"/>
    <col min="26" max="26" width="10.83203125" customWidth="1"/>
    <col min="27" max="27" width="10.1640625" style="50" customWidth="1"/>
    <col min="28" max="28" width="10.1640625" style="11" customWidth="1"/>
    <col min="29" max="29" width="10.5" style="7" customWidth="1"/>
    <col min="30" max="30" width="9.1640625" style="1" customWidth="1"/>
    <col min="31" max="31" width="9.33203125" style="38" customWidth="1"/>
    <col min="32" max="32" width="9.6640625" style="43" customWidth="1"/>
    <col min="33" max="34" width="9.6640625" hidden="1" customWidth="1"/>
    <col min="35" max="35" width="9.33203125" hidden="1" customWidth="1"/>
    <col min="36" max="40" width="9.6640625" hidden="1" customWidth="1"/>
    <col min="41" max="49" width="7.33203125" customWidth="1"/>
    <col min="50" max="52" width="14.83203125" customWidth="1"/>
    <col min="53" max="53" width="8" customWidth="1"/>
    <col min="54" max="93" width="14.83203125" customWidth="1"/>
    <col min="96" max="96" width="9.83203125" customWidth="1"/>
    <col min="98" max="98" width="10.1640625" customWidth="1"/>
    <col min="102" max="102" width="13.83203125" customWidth="1"/>
  </cols>
  <sheetData>
    <row r="1" spans="1:120" ht="100.75" customHeight="1" x14ac:dyDescent="0.2">
      <c r="A1" s="2" t="e">
        <f>#REF!+'01'!AC219</f>
        <v>#REF!</v>
      </c>
      <c r="B1" s="5" t="s">
        <v>237</v>
      </c>
      <c r="C1" s="2" t="s">
        <v>267</v>
      </c>
      <c r="D1" s="24" t="s">
        <v>31</v>
      </c>
      <c r="E1" s="25" t="s">
        <v>32</v>
      </c>
      <c r="F1" s="45" t="s">
        <v>228</v>
      </c>
      <c r="G1" s="44" t="s">
        <v>33</v>
      </c>
      <c r="H1" s="44" t="s">
        <v>268</v>
      </c>
      <c r="I1" s="44" t="s">
        <v>34</v>
      </c>
      <c r="J1" s="45" t="s">
        <v>35</v>
      </c>
      <c r="K1" s="45" t="s">
        <v>36</v>
      </c>
      <c r="L1" s="45" t="s">
        <v>167</v>
      </c>
      <c r="M1" s="45" t="s">
        <v>37</v>
      </c>
      <c r="N1" s="45" t="s">
        <v>38</v>
      </c>
      <c r="O1" s="45" t="s">
        <v>39</v>
      </c>
      <c r="P1" s="45" t="s">
        <v>40</v>
      </c>
      <c r="Q1" s="45" t="s">
        <v>41</v>
      </c>
      <c r="R1" s="45" t="s">
        <v>42</v>
      </c>
      <c r="S1" s="45" t="s">
        <v>43</v>
      </c>
      <c r="T1" s="3"/>
      <c r="U1" s="21" t="s">
        <v>44</v>
      </c>
      <c r="V1" s="6" t="s">
        <v>45</v>
      </c>
      <c r="W1" s="12" t="s">
        <v>46</v>
      </c>
      <c r="X1" s="10" t="s">
        <v>47</v>
      </c>
      <c r="Y1" s="16" t="s">
        <v>48</v>
      </c>
      <c r="Z1" s="17" t="s">
        <v>49</v>
      </c>
      <c r="AA1" s="72" t="s">
        <v>50</v>
      </c>
      <c r="AB1" s="10" t="s">
        <v>180</v>
      </c>
      <c r="AC1" s="78" t="s">
        <v>51</v>
      </c>
      <c r="AD1" s="79" t="s">
        <v>177</v>
      </c>
      <c r="AE1" s="18" t="s">
        <v>52</v>
      </c>
      <c r="AF1" s="75" t="s">
        <v>53</v>
      </c>
      <c r="AG1" s="31"/>
      <c r="AH1" s="32" t="s">
        <v>54</v>
      </c>
      <c r="AI1" s="32" t="s">
        <v>55</v>
      </c>
      <c r="AJ1" s="32" t="s">
        <v>56</v>
      </c>
      <c r="AK1" s="33" t="s">
        <v>56</v>
      </c>
      <c r="AL1" s="32" t="s">
        <v>57</v>
      </c>
      <c r="AM1" s="32" t="s">
        <v>58</v>
      </c>
      <c r="AN1" s="34"/>
      <c r="AO1" s="36" t="s">
        <v>54</v>
      </c>
      <c r="AP1" s="36" t="s">
        <v>55</v>
      </c>
      <c r="AQ1" s="36" t="s">
        <v>57</v>
      </c>
      <c r="AR1" s="36" t="s">
        <v>56</v>
      </c>
      <c r="AS1" s="36" t="s">
        <v>58</v>
      </c>
      <c r="AT1" s="36" t="s">
        <v>59</v>
      </c>
      <c r="AU1" s="36" t="s">
        <v>178</v>
      </c>
      <c r="AV1" s="36" t="s">
        <v>60</v>
      </c>
      <c r="AW1" s="36" t="s">
        <v>61</v>
      </c>
      <c r="AX1" s="39" t="s">
        <v>61</v>
      </c>
      <c r="AY1" s="37"/>
      <c r="AZ1" s="37"/>
      <c r="BA1" s="37" t="s">
        <v>251</v>
      </c>
      <c r="BB1" s="37" t="s">
        <v>253</v>
      </c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</row>
    <row r="2" spans="1:120" ht="16" customHeight="1" x14ac:dyDescent="0.2">
      <c r="A2">
        <v>17</v>
      </c>
      <c r="C2" t="s">
        <v>99</v>
      </c>
      <c r="D2">
        <f>V2/((H2+I2+O2)/100)</f>
        <v>22.953618233618247</v>
      </c>
      <c r="E2" t="e">
        <f>AC2/AD2/(S2/100)</f>
        <v>#DIV/0!</v>
      </c>
      <c r="F2">
        <v>7.6</v>
      </c>
      <c r="H2">
        <v>2500</v>
      </c>
      <c r="I2">
        <v>100</v>
      </c>
      <c r="J2">
        <f>U2*(F2+G2)/100</f>
        <v>448.4</v>
      </c>
      <c r="K2">
        <v>150</v>
      </c>
      <c r="L2">
        <f>U2*0.12</f>
        <v>708</v>
      </c>
      <c r="M2">
        <v>50</v>
      </c>
      <c r="N2">
        <v>30</v>
      </c>
      <c r="O2">
        <v>910</v>
      </c>
      <c r="P2">
        <f>(H2+I2+J2+K2+L2+M2+N2+O2)*0.02</f>
        <v>97.927999999999997</v>
      </c>
      <c r="Q2">
        <v>100</v>
      </c>
      <c r="S2">
        <f>H2+I2+J2+K2+L2+M2+N2+O2+P2+Q2+R2</f>
        <v>5094.3279999999995</v>
      </c>
      <c r="T2">
        <f>U2-J2-K2</f>
        <v>5301.6</v>
      </c>
      <c r="U2">
        <v>5900</v>
      </c>
      <c r="V2" s="46">
        <f>U2-S2</f>
        <v>805.67200000000048</v>
      </c>
      <c r="X2"/>
      <c r="Z2">
        <f>(S2-J2-K2)*AD2</f>
        <v>0</v>
      </c>
      <c r="AB2" s="11">
        <f>SUM(AC2:AC3)</f>
        <v>0</v>
      </c>
      <c r="AC2" s="8">
        <f>AF2-Z2-(J2+K2+L2)*Y2</f>
        <v>0</v>
      </c>
      <c r="AD2" s="140">
        <v>0</v>
      </c>
      <c r="AE2" s="15">
        <f>V2*AD2</f>
        <v>0</v>
      </c>
      <c r="AF2" s="43">
        <f>(U2-J2-K2)*AD2-AA2</f>
        <v>0</v>
      </c>
      <c r="AT2" s="1">
        <v>6</v>
      </c>
      <c r="AU2">
        <v>0.126</v>
      </c>
      <c r="AV2">
        <v>0.75600000000000023</v>
      </c>
      <c r="AW2">
        <v>0</v>
      </c>
      <c r="AX2">
        <v>0</v>
      </c>
      <c r="AZ2">
        <v>0</v>
      </c>
      <c r="CU2" t="s">
        <v>0</v>
      </c>
      <c r="CW2" t="s">
        <v>82</v>
      </c>
      <c r="DP2" t="s">
        <v>5</v>
      </c>
    </row>
    <row r="3" spans="1:120" ht="16" customHeight="1" x14ac:dyDescent="0.2">
      <c r="C3" t="s">
        <v>263</v>
      </c>
      <c r="D3">
        <f>V3/((H3+I3+O3)/100)</f>
        <v>1.2610992148465403</v>
      </c>
      <c r="E3" t="e">
        <f>AC3/AD3/(S3/100)</f>
        <v>#DIV/0!</v>
      </c>
      <c r="F3">
        <v>7.6</v>
      </c>
      <c r="H3">
        <v>13000</v>
      </c>
      <c r="I3">
        <v>100</v>
      </c>
      <c r="J3">
        <f>U3*(F3+G3)/100</f>
        <v>1406</v>
      </c>
      <c r="K3">
        <v>150</v>
      </c>
      <c r="L3">
        <f>U3*0.12</f>
        <v>2220</v>
      </c>
      <c r="M3">
        <v>50</v>
      </c>
      <c r="N3">
        <v>30</v>
      </c>
      <c r="O3">
        <v>910</v>
      </c>
      <c r="P3">
        <f>(H3+I3+J3+K3+L3+M3+N3+O3)*0.02</f>
        <v>357.32</v>
      </c>
      <c r="Q3">
        <v>100</v>
      </c>
      <c r="S3">
        <f>H3+I3+J3+K3+L3+M3+N3+O3+P3+Q3+R3</f>
        <v>18323.32</v>
      </c>
      <c r="U3">
        <v>18500</v>
      </c>
      <c r="V3" s="46">
        <f>U3-S3</f>
        <v>176.68000000000029</v>
      </c>
      <c r="X3"/>
      <c r="Y3">
        <v>0</v>
      </c>
      <c r="Z3">
        <f t="shared" ref="Z3:Z66" si="0">(S3-J3-K3)*AD3</f>
        <v>0</v>
      </c>
      <c r="AC3" s="8">
        <f>AF3-Z3-(J3+K3+L3)*Y3</f>
        <v>0</v>
      </c>
      <c r="AD3" s="135">
        <v>0</v>
      </c>
      <c r="AE3" s="15">
        <f t="shared" ref="AE3:AE66" si="1">V3*AD3</f>
        <v>0</v>
      </c>
      <c r="AF3" s="43">
        <f t="shared" ref="AF3:AF66" si="2">(U3-J3-K3)*AD3-AA3</f>
        <v>0</v>
      </c>
      <c r="AT3" s="1"/>
    </row>
    <row r="4" spans="1:120" ht="16" customHeight="1" thickBot="1" x14ac:dyDescent="0.25">
      <c r="U4"/>
      <c r="X4"/>
      <c r="Z4">
        <f t="shared" si="0"/>
        <v>0</v>
      </c>
      <c r="AC4" s="8"/>
      <c r="AD4" s="135"/>
      <c r="AE4" s="15">
        <f t="shared" si="1"/>
        <v>0</v>
      </c>
      <c r="AF4" s="43">
        <f t="shared" si="2"/>
        <v>0</v>
      </c>
      <c r="AT4" s="1"/>
    </row>
    <row r="5" spans="1:120" ht="15" customHeight="1" x14ac:dyDescent="0.2">
      <c r="C5" s="123" t="s">
        <v>221</v>
      </c>
      <c r="D5">
        <f t="shared" ref="D5:D29" si="3">V5/((H5+I5+O5)/100)</f>
        <v>33.662774005819593</v>
      </c>
      <c r="E5" t="e">
        <f t="shared" ref="E5:E9" si="4">AC5/AD5/(S5/100)</f>
        <v>#DIV/0!</v>
      </c>
      <c r="F5">
        <v>7.6</v>
      </c>
      <c r="H5">
        <v>9300</v>
      </c>
      <c r="I5">
        <v>100</v>
      </c>
      <c r="J5">
        <f t="shared" ref="J5:J74" si="5">U5*(F5+G5)/100</f>
        <v>1360.4</v>
      </c>
      <c r="K5">
        <v>150</v>
      </c>
      <c r="L5">
        <f t="shared" ref="L5:L74" si="6">U5*0.12</f>
        <v>2148</v>
      </c>
      <c r="M5">
        <v>50</v>
      </c>
      <c r="N5">
        <v>30</v>
      </c>
      <c r="O5">
        <v>910</v>
      </c>
      <c r="P5">
        <f t="shared" ref="P5:P74" si="7">(H5+I5+J5+K5+L5+M5+N5+O5)*0.02</f>
        <v>280.96800000000002</v>
      </c>
      <c r="Q5">
        <v>100</v>
      </c>
      <c r="S5">
        <f t="shared" ref="S5:S74" si="8">H5+I5+J5+K5+L5+M5+N5+O5+P5+Q5+R5</f>
        <v>14429.368</v>
      </c>
      <c r="U5" s="14">
        <v>17900</v>
      </c>
      <c r="V5" s="46">
        <f t="shared" ref="V5:V74" si="9">U5-S5</f>
        <v>3470.6319999999996</v>
      </c>
      <c r="Z5">
        <f t="shared" si="0"/>
        <v>0</v>
      </c>
      <c r="AB5" s="118">
        <f>SUM(AC5:AC12)</f>
        <v>28742.319999999992</v>
      </c>
      <c r="AC5" s="8">
        <f t="shared" ref="AC5:AC74" si="10">AF5-Z5-(J5+K5+L5)*Y5</f>
        <v>0</v>
      </c>
      <c r="AD5" s="81">
        <v>0</v>
      </c>
      <c r="AE5" s="15">
        <f t="shared" si="1"/>
        <v>0</v>
      </c>
      <c r="AF5" s="43">
        <f t="shared" si="2"/>
        <v>0</v>
      </c>
      <c r="AT5" s="1"/>
    </row>
    <row r="6" spans="1:120" ht="15" customHeight="1" thickBot="1" x14ac:dyDescent="0.25">
      <c r="B6">
        <v>19</v>
      </c>
      <c r="C6" s="124" t="s">
        <v>220</v>
      </c>
      <c r="D6">
        <f t="shared" si="3"/>
        <v>33.662774005819593</v>
      </c>
      <c r="E6">
        <f t="shared" si="4"/>
        <v>19.919320097734005</v>
      </c>
      <c r="F6">
        <v>7.6</v>
      </c>
      <c r="H6">
        <v>9300</v>
      </c>
      <c r="I6">
        <v>100</v>
      </c>
      <c r="J6">
        <f t="shared" si="5"/>
        <v>1360.4</v>
      </c>
      <c r="K6">
        <v>150</v>
      </c>
      <c r="L6">
        <f t="shared" si="6"/>
        <v>2148</v>
      </c>
      <c r="M6">
        <v>50</v>
      </c>
      <c r="N6">
        <v>30</v>
      </c>
      <c r="O6">
        <v>910</v>
      </c>
      <c r="P6">
        <f t="shared" si="7"/>
        <v>280.96800000000002</v>
      </c>
      <c r="Q6">
        <v>100</v>
      </c>
      <c r="S6">
        <f t="shared" si="8"/>
        <v>14429.368</v>
      </c>
      <c r="U6">
        <v>17900</v>
      </c>
      <c r="V6">
        <f t="shared" si="9"/>
        <v>3470.6319999999996</v>
      </c>
      <c r="X6"/>
      <c r="Z6">
        <f t="shared" si="0"/>
        <v>129189.68000000001</v>
      </c>
      <c r="AA6">
        <v>5964</v>
      </c>
      <c r="AB6" s="129"/>
      <c r="AC6" s="4">
        <f t="shared" si="10"/>
        <v>28742.319999999992</v>
      </c>
      <c r="AD6" s="125">
        <v>10</v>
      </c>
      <c r="AE6" s="4">
        <f t="shared" si="1"/>
        <v>34706.319999999992</v>
      </c>
      <c r="AF6">
        <f t="shared" si="2"/>
        <v>157932</v>
      </c>
      <c r="BA6">
        <v>16</v>
      </c>
      <c r="BB6">
        <v>10700</v>
      </c>
      <c r="BC6" t="s">
        <v>252</v>
      </c>
    </row>
    <row r="7" spans="1:120" ht="15" customHeight="1" thickBot="1" x14ac:dyDescent="0.25">
      <c r="C7" s="137" t="s">
        <v>242</v>
      </c>
      <c r="D7" t="e">
        <f t="shared" si="3"/>
        <v>#DIV/0!</v>
      </c>
      <c r="E7" t="e">
        <f t="shared" si="4"/>
        <v>#DIV/0!</v>
      </c>
      <c r="F7">
        <v>7.6</v>
      </c>
      <c r="J7">
        <f t="shared" si="5"/>
        <v>0</v>
      </c>
      <c r="K7">
        <v>150</v>
      </c>
      <c r="L7">
        <f t="shared" si="6"/>
        <v>0</v>
      </c>
      <c r="P7">
        <f t="shared" si="7"/>
        <v>3</v>
      </c>
      <c r="S7">
        <f t="shared" si="8"/>
        <v>153</v>
      </c>
      <c r="U7"/>
      <c r="V7">
        <f t="shared" si="9"/>
        <v>-153</v>
      </c>
      <c r="X7"/>
      <c r="Z7">
        <f t="shared" si="0"/>
        <v>0</v>
      </c>
      <c r="AA7"/>
      <c r="AB7" s="129"/>
      <c r="AC7" s="4">
        <f t="shared" si="10"/>
        <v>0</v>
      </c>
      <c r="AD7" s="141"/>
      <c r="AE7" s="4">
        <f t="shared" si="1"/>
        <v>0</v>
      </c>
      <c r="AF7">
        <f t="shared" si="2"/>
        <v>0</v>
      </c>
    </row>
    <row r="8" spans="1:120" ht="15" customHeight="1" thickBot="1" x14ac:dyDescent="0.25">
      <c r="C8" s="137" t="s">
        <v>241</v>
      </c>
      <c r="D8">
        <f t="shared" si="3"/>
        <v>49.492893490085983</v>
      </c>
      <c r="E8" t="e">
        <f t="shared" si="4"/>
        <v>#DIV/0!</v>
      </c>
      <c r="F8">
        <v>7.6</v>
      </c>
      <c r="H8">
        <v>10388</v>
      </c>
      <c r="I8">
        <v>100</v>
      </c>
      <c r="J8">
        <f t="shared" si="5"/>
        <v>1672</v>
      </c>
      <c r="K8">
        <v>150</v>
      </c>
      <c r="L8">
        <f t="shared" si="6"/>
        <v>2640</v>
      </c>
      <c r="M8">
        <v>50</v>
      </c>
      <c r="N8">
        <v>30</v>
      </c>
      <c r="O8">
        <v>910</v>
      </c>
      <c r="P8">
        <f t="shared" si="7"/>
        <v>318.8</v>
      </c>
      <c r="Q8">
        <v>100</v>
      </c>
      <c r="S8">
        <f t="shared" si="8"/>
        <v>16358.8</v>
      </c>
      <c r="U8">
        <v>22000</v>
      </c>
      <c r="V8">
        <f t="shared" si="9"/>
        <v>5641.2000000000007</v>
      </c>
      <c r="X8"/>
      <c r="Z8">
        <f t="shared" si="0"/>
        <v>0</v>
      </c>
      <c r="AA8"/>
      <c r="AB8" s="129"/>
      <c r="AC8" s="4">
        <f t="shared" si="10"/>
        <v>0</v>
      </c>
      <c r="AD8" s="141">
        <v>0</v>
      </c>
      <c r="AE8" s="4">
        <f t="shared" si="1"/>
        <v>0</v>
      </c>
      <c r="AF8">
        <f t="shared" si="2"/>
        <v>0</v>
      </c>
    </row>
    <row r="9" spans="1:120" ht="15" customHeight="1" thickBot="1" x14ac:dyDescent="0.25">
      <c r="C9" s="137" t="s">
        <v>249</v>
      </c>
      <c r="D9">
        <f t="shared" si="3"/>
        <v>67.452011776251226</v>
      </c>
      <c r="E9" t="e">
        <f t="shared" si="4"/>
        <v>#DIV/0!</v>
      </c>
      <c r="F9">
        <v>7.6</v>
      </c>
      <c r="H9">
        <v>9180</v>
      </c>
      <c r="I9">
        <v>100</v>
      </c>
      <c r="J9">
        <f t="shared" si="5"/>
        <v>1672</v>
      </c>
      <c r="K9">
        <v>150</v>
      </c>
      <c r="L9">
        <f t="shared" si="6"/>
        <v>2640</v>
      </c>
      <c r="M9">
        <v>50</v>
      </c>
      <c r="N9">
        <v>30</v>
      </c>
      <c r="O9">
        <v>910</v>
      </c>
      <c r="P9">
        <f t="shared" si="7"/>
        <v>294.64</v>
      </c>
      <c r="Q9">
        <v>100</v>
      </c>
      <c r="S9">
        <f t="shared" si="8"/>
        <v>15126.64</v>
      </c>
      <c r="U9">
        <v>22000</v>
      </c>
      <c r="V9">
        <f t="shared" si="9"/>
        <v>6873.3600000000006</v>
      </c>
      <c r="X9"/>
      <c r="Y9">
        <v>0</v>
      </c>
      <c r="Z9">
        <f t="shared" si="0"/>
        <v>0</v>
      </c>
      <c r="AA9"/>
      <c r="AB9" s="129"/>
      <c r="AC9" s="4">
        <f t="shared" si="10"/>
        <v>0</v>
      </c>
      <c r="AD9" s="141">
        <v>0</v>
      </c>
      <c r="AE9" s="4">
        <f t="shared" si="1"/>
        <v>0</v>
      </c>
      <c r="AF9">
        <f t="shared" si="2"/>
        <v>0</v>
      </c>
    </row>
    <row r="10" spans="1:120" ht="15" customHeight="1" thickBot="1" x14ac:dyDescent="0.25">
      <c r="C10" s="137"/>
      <c r="U10"/>
      <c r="V10"/>
      <c r="X10"/>
      <c r="Z10">
        <f t="shared" si="0"/>
        <v>0</v>
      </c>
      <c r="AA10"/>
      <c r="AB10" s="129"/>
      <c r="AC10" s="4">
        <f t="shared" si="10"/>
        <v>0</v>
      </c>
      <c r="AD10" s="141"/>
      <c r="AE10" s="4">
        <f t="shared" si="1"/>
        <v>0</v>
      </c>
      <c r="AF10">
        <f t="shared" si="2"/>
        <v>0</v>
      </c>
    </row>
    <row r="11" spans="1:120" ht="15" customHeight="1" thickBot="1" x14ac:dyDescent="0.25">
      <c r="C11" s="9"/>
      <c r="U11"/>
      <c r="V11"/>
      <c r="X11"/>
      <c r="Z11">
        <f t="shared" si="0"/>
        <v>0</v>
      </c>
      <c r="AA11"/>
      <c r="AB11" s="129"/>
      <c r="AC11" s="4">
        <f t="shared" si="10"/>
        <v>0</v>
      </c>
      <c r="AD11" s="141"/>
      <c r="AE11" s="4">
        <f t="shared" si="1"/>
        <v>0</v>
      </c>
      <c r="AF11">
        <f t="shared" si="2"/>
        <v>0</v>
      </c>
    </row>
    <row r="12" spans="1:120" ht="15" customHeight="1" thickBot="1" x14ac:dyDescent="0.25">
      <c r="C12" s="9"/>
      <c r="U12"/>
      <c r="V12"/>
      <c r="X12"/>
      <c r="Z12">
        <f t="shared" si="0"/>
        <v>0</v>
      </c>
      <c r="AA12"/>
      <c r="AB12" s="129"/>
      <c r="AC12" s="4">
        <f t="shared" si="10"/>
        <v>0</v>
      </c>
      <c r="AD12" s="141"/>
      <c r="AE12" s="4">
        <f t="shared" si="1"/>
        <v>0</v>
      </c>
      <c r="AF12">
        <f t="shared" si="2"/>
        <v>0</v>
      </c>
    </row>
    <row r="13" spans="1:120" ht="15" customHeight="1" thickBot="1" x14ac:dyDescent="0.25">
      <c r="A13">
        <v>18</v>
      </c>
      <c r="C13" s="53" t="s">
        <v>100</v>
      </c>
      <c r="D13">
        <f t="shared" si="3"/>
        <v>61.167567506687327</v>
      </c>
      <c r="E13" t="e">
        <f t="shared" ref="E13:E21" si="11">AC13/AD13/(S13/100)</f>
        <v>#DIV/0!</v>
      </c>
      <c r="F13">
        <v>7.6</v>
      </c>
      <c r="H13">
        <v>6158</v>
      </c>
      <c r="I13">
        <v>35</v>
      </c>
      <c r="J13">
        <f t="shared" si="5"/>
        <v>1132.704</v>
      </c>
      <c r="K13">
        <v>150</v>
      </c>
      <c r="L13">
        <f t="shared" si="6"/>
        <v>1788.48</v>
      </c>
      <c r="M13">
        <v>50</v>
      </c>
      <c r="N13">
        <v>30</v>
      </c>
      <c r="O13">
        <v>910</v>
      </c>
      <c r="P13">
        <f t="shared" si="7"/>
        <v>205.08367999999999</v>
      </c>
      <c r="Q13">
        <v>100</v>
      </c>
      <c r="S13">
        <f t="shared" si="8"/>
        <v>10559.267679999999</v>
      </c>
      <c r="T13">
        <f t="shared" ref="T13:T29" si="12">U13-J13-K13</f>
        <v>13621.296</v>
      </c>
      <c r="U13">
        <v>14904</v>
      </c>
      <c r="V13" s="46">
        <f t="shared" si="9"/>
        <v>4344.732320000001</v>
      </c>
      <c r="X13"/>
      <c r="Z13">
        <f t="shared" si="0"/>
        <v>0</v>
      </c>
      <c r="AA13" s="50">
        <v>377</v>
      </c>
      <c r="AB13" s="83">
        <f>SUM(AC13:AC17)</f>
        <v>-377</v>
      </c>
      <c r="AC13" s="8">
        <f t="shared" si="10"/>
        <v>-377</v>
      </c>
      <c r="AD13" s="80">
        <v>0</v>
      </c>
      <c r="AE13" s="15">
        <f t="shared" si="1"/>
        <v>0</v>
      </c>
      <c r="AF13" s="43">
        <f t="shared" si="2"/>
        <v>-377</v>
      </c>
      <c r="AT13" s="1">
        <v>6</v>
      </c>
      <c r="AU13">
        <v>0.126</v>
      </c>
      <c r="AV13">
        <v>0.75600000000000023</v>
      </c>
      <c r="AW13">
        <v>0</v>
      </c>
      <c r="AX13">
        <v>0</v>
      </c>
      <c r="AZ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W13" t="s">
        <v>83</v>
      </c>
      <c r="CX13">
        <v>24</v>
      </c>
      <c r="CY13">
        <v>0</v>
      </c>
      <c r="CZ13">
        <v>24</v>
      </c>
      <c r="DA13">
        <v>24</v>
      </c>
      <c r="DB13">
        <v>24</v>
      </c>
      <c r="DC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P13" t="s">
        <v>101</v>
      </c>
    </row>
    <row r="14" spans="1:120" s="26" customFormat="1" ht="15" customHeight="1" x14ac:dyDescent="0.2">
      <c r="A14">
        <v>16</v>
      </c>
      <c r="B14"/>
      <c r="C14" s="54" t="s">
        <v>102</v>
      </c>
      <c r="D14">
        <f t="shared" si="3"/>
        <v>44.319745510518224</v>
      </c>
      <c r="E14" t="e">
        <f t="shared" si="11"/>
        <v>#DIV/0!</v>
      </c>
      <c r="F14">
        <v>7.6</v>
      </c>
      <c r="G14"/>
      <c r="H14">
        <v>8800</v>
      </c>
      <c r="I14">
        <v>35</v>
      </c>
      <c r="J14">
        <f t="shared" si="5"/>
        <v>1386.24</v>
      </c>
      <c r="K14">
        <v>150</v>
      </c>
      <c r="L14">
        <f t="shared" si="6"/>
        <v>2188.7999999999997</v>
      </c>
      <c r="M14">
        <v>50</v>
      </c>
      <c r="N14">
        <v>30</v>
      </c>
      <c r="O14">
        <v>910</v>
      </c>
      <c r="P14">
        <f t="shared" si="7"/>
        <v>271.00079999999997</v>
      </c>
      <c r="Q14">
        <v>100</v>
      </c>
      <c r="R14"/>
      <c r="S14">
        <f t="shared" si="8"/>
        <v>13921.040799999999</v>
      </c>
      <c r="T14">
        <f t="shared" si="12"/>
        <v>16703.759999999998</v>
      </c>
      <c r="U14">
        <v>18240</v>
      </c>
      <c r="V14" s="46">
        <f t="shared" si="9"/>
        <v>4318.9592000000011</v>
      </c>
      <c r="W14"/>
      <c r="X14"/>
      <c r="Y14"/>
      <c r="Z14">
        <f t="shared" si="0"/>
        <v>0</v>
      </c>
      <c r="AA14" s="50"/>
      <c r="AB14" s="127"/>
      <c r="AC14" s="8">
        <f t="shared" si="10"/>
        <v>0</v>
      </c>
      <c r="AD14" s="142">
        <v>0</v>
      </c>
      <c r="AE14" s="15">
        <f t="shared" si="1"/>
        <v>0</v>
      </c>
      <c r="AF14" s="43">
        <f t="shared" si="2"/>
        <v>0</v>
      </c>
      <c r="AG14"/>
      <c r="AH14"/>
      <c r="AI14"/>
      <c r="AJ14"/>
      <c r="AK14"/>
      <c r="AL14"/>
      <c r="AM14"/>
      <c r="AN14"/>
      <c r="AO14"/>
      <c r="AP14"/>
      <c r="AQ14"/>
      <c r="AR14"/>
      <c r="AS14"/>
      <c r="AT14" s="1">
        <v>6</v>
      </c>
      <c r="AU14">
        <v>0.126</v>
      </c>
      <c r="AV14">
        <v>0.75600000000000023</v>
      </c>
      <c r="AW14">
        <v>0</v>
      </c>
      <c r="AX14">
        <v>0</v>
      </c>
      <c r="AY14"/>
      <c r="AZ14">
        <v>0</v>
      </c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48</v>
      </c>
      <c r="CY14">
        <v>0</v>
      </c>
      <c r="CZ14">
        <v>48</v>
      </c>
      <c r="DA14">
        <v>48</v>
      </c>
      <c r="DB14">
        <v>48</v>
      </c>
      <c r="DC14">
        <v>0</v>
      </c>
      <c r="DD14"/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/>
      <c r="DL14"/>
      <c r="DM14"/>
      <c r="DN14"/>
      <c r="DO14"/>
      <c r="DP14" t="s">
        <v>101</v>
      </c>
    </row>
    <row r="15" spans="1:120" s="29" customFormat="1" ht="15" customHeight="1" x14ac:dyDescent="0.2">
      <c r="A15">
        <v>34</v>
      </c>
      <c r="B15"/>
      <c r="C15" s="54" t="s">
        <v>103</v>
      </c>
      <c r="D15">
        <f t="shared" si="3"/>
        <v>21.302004219409273</v>
      </c>
      <c r="E15" t="e">
        <f t="shared" si="11"/>
        <v>#DIV/0!</v>
      </c>
      <c r="F15">
        <v>7.6</v>
      </c>
      <c r="G15"/>
      <c r="H15">
        <v>10431</v>
      </c>
      <c r="I15">
        <v>35</v>
      </c>
      <c r="J15">
        <f t="shared" si="5"/>
        <v>1364.2</v>
      </c>
      <c r="K15">
        <v>150</v>
      </c>
      <c r="L15">
        <f t="shared" si="6"/>
        <v>2154</v>
      </c>
      <c r="M15">
        <v>50</v>
      </c>
      <c r="N15">
        <v>30</v>
      </c>
      <c r="O15">
        <v>910</v>
      </c>
      <c r="P15">
        <f t="shared" si="7"/>
        <v>302.48400000000004</v>
      </c>
      <c r="Q15">
        <v>100</v>
      </c>
      <c r="R15"/>
      <c r="S15">
        <f t="shared" si="8"/>
        <v>15526.684000000001</v>
      </c>
      <c r="T15">
        <f t="shared" si="12"/>
        <v>16435.8</v>
      </c>
      <c r="U15">
        <v>17950</v>
      </c>
      <c r="V15" s="46">
        <f t="shared" si="9"/>
        <v>2423.3159999999989</v>
      </c>
      <c r="W15"/>
      <c r="X15"/>
      <c r="Y15"/>
      <c r="Z15">
        <f t="shared" si="0"/>
        <v>0</v>
      </c>
      <c r="AA15" s="50">
        <v>0</v>
      </c>
      <c r="AB15" s="127"/>
      <c r="AC15" s="8">
        <f t="shared" si="10"/>
        <v>0</v>
      </c>
      <c r="AD15" s="142">
        <v>0</v>
      </c>
      <c r="AE15" s="15">
        <f t="shared" si="1"/>
        <v>0</v>
      </c>
      <c r="AF15" s="43">
        <f t="shared" si="2"/>
        <v>0</v>
      </c>
      <c r="AG15"/>
      <c r="AH15"/>
      <c r="AI15"/>
      <c r="AJ15"/>
      <c r="AK15"/>
      <c r="AL15"/>
      <c r="AM15"/>
      <c r="AN15"/>
      <c r="AO15"/>
      <c r="AP15"/>
      <c r="AQ15"/>
      <c r="AR15"/>
      <c r="AS15"/>
      <c r="AT15" s="1">
        <v>6</v>
      </c>
      <c r="AU15">
        <v>0.126</v>
      </c>
      <c r="AV15">
        <v>0.75600000000000023</v>
      </c>
      <c r="AW15">
        <v>0</v>
      </c>
      <c r="AX15">
        <v>0</v>
      </c>
      <c r="AY15"/>
      <c r="AZ15">
        <v>0</v>
      </c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 t="s">
        <v>101</v>
      </c>
    </row>
    <row r="16" spans="1:120" ht="16" customHeight="1" x14ac:dyDescent="0.2">
      <c r="C16" s="54" t="s">
        <v>105</v>
      </c>
      <c r="D16">
        <f t="shared" si="3"/>
        <v>92.638750661725794</v>
      </c>
      <c r="E16" t="e">
        <f t="shared" si="11"/>
        <v>#DIV/0!</v>
      </c>
      <c r="F16">
        <v>7.6</v>
      </c>
      <c r="H16">
        <v>6596</v>
      </c>
      <c r="I16">
        <v>50</v>
      </c>
      <c r="J16">
        <f t="shared" si="5"/>
        <v>1428.8</v>
      </c>
      <c r="K16">
        <v>150</v>
      </c>
      <c r="L16">
        <f t="shared" si="6"/>
        <v>2256</v>
      </c>
      <c r="M16">
        <v>50</v>
      </c>
      <c r="N16">
        <v>30</v>
      </c>
      <c r="O16">
        <v>910</v>
      </c>
      <c r="P16">
        <f t="shared" si="7"/>
        <v>229.416</v>
      </c>
      <c r="Q16">
        <v>100</v>
      </c>
      <c r="S16">
        <f t="shared" si="8"/>
        <v>11800.215999999999</v>
      </c>
      <c r="T16">
        <f t="shared" si="12"/>
        <v>17221.2</v>
      </c>
      <c r="U16">
        <v>18800</v>
      </c>
      <c r="V16" s="46">
        <f t="shared" si="9"/>
        <v>6999.7840000000015</v>
      </c>
      <c r="X16"/>
      <c r="Z16">
        <f t="shared" si="0"/>
        <v>0</v>
      </c>
      <c r="AB16" s="127"/>
      <c r="AC16" s="8">
        <f t="shared" si="10"/>
        <v>0</v>
      </c>
      <c r="AD16" s="142">
        <v>0</v>
      </c>
      <c r="AE16" s="15">
        <f t="shared" si="1"/>
        <v>0</v>
      </c>
      <c r="AF16" s="43">
        <f t="shared" si="2"/>
        <v>0</v>
      </c>
      <c r="AT16" s="1">
        <v>6</v>
      </c>
      <c r="AU16">
        <v>0.126</v>
      </c>
      <c r="AV16">
        <v>0.75600000000000023</v>
      </c>
      <c r="AW16">
        <v>0</v>
      </c>
      <c r="AZ16">
        <v>0</v>
      </c>
      <c r="DP16" t="s">
        <v>101</v>
      </c>
    </row>
    <row r="17" spans="1:120" ht="16" thickBot="1" x14ac:dyDescent="0.25">
      <c r="A17">
        <v>33</v>
      </c>
      <c r="C17" s="55" t="s">
        <v>106</v>
      </c>
      <c r="D17">
        <f t="shared" si="3"/>
        <v>79.065458922323302</v>
      </c>
      <c r="E17" t="e">
        <f t="shared" si="11"/>
        <v>#DIV/0!</v>
      </c>
      <c r="F17">
        <v>7.6</v>
      </c>
      <c r="H17">
        <v>6200</v>
      </c>
      <c r="I17">
        <v>35</v>
      </c>
      <c r="J17">
        <f t="shared" si="5"/>
        <v>1260.6879999999999</v>
      </c>
      <c r="K17">
        <v>150</v>
      </c>
      <c r="L17">
        <f t="shared" si="6"/>
        <v>1990.56</v>
      </c>
      <c r="M17">
        <v>50</v>
      </c>
      <c r="N17">
        <v>30</v>
      </c>
      <c r="O17">
        <v>910</v>
      </c>
      <c r="P17">
        <f t="shared" si="7"/>
        <v>212.52495999999999</v>
      </c>
      <c r="Q17">
        <v>100</v>
      </c>
      <c r="S17">
        <f t="shared" si="8"/>
        <v>10938.77296</v>
      </c>
      <c r="T17">
        <f t="shared" si="12"/>
        <v>15177.312</v>
      </c>
      <c r="U17">
        <v>16588</v>
      </c>
      <c r="V17" s="46">
        <f t="shared" si="9"/>
        <v>5649.2270399999998</v>
      </c>
      <c r="X17"/>
      <c r="Z17">
        <f t="shared" si="0"/>
        <v>0</v>
      </c>
      <c r="AA17" s="50">
        <v>0</v>
      </c>
      <c r="AB17" s="128"/>
      <c r="AC17" s="8">
        <f t="shared" si="10"/>
        <v>0</v>
      </c>
      <c r="AD17" s="80">
        <v>0</v>
      </c>
      <c r="AE17" s="15">
        <f t="shared" si="1"/>
        <v>0</v>
      </c>
      <c r="AF17" s="43">
        <f t="shared" si="2"/>
        <v>0</v>
      </c>
      <c r="AT17" s="1">
        <v>6</v>
      </c>
      <c r="AU17">
        <v>0.126</v>
      </c>
      <c r="AV17">
        <v>0.75600000000000023</v>
      </c>
      <c r="AW17">
        <v>0</v>
      </c>
      <c r="AX17">
        <v>0</v>
      </c>
      <c r="AZ17">
        <v>0</v>
      </c>
      <c r="CU17">
        <v>0</v>
      </c>
      <c r="CX17">
        <v>0</v>
      </c>
      <c r="DP17" t="s">
        <v>101</v>
      </c>
    </row>
    <row r="18" spans="1:120" ht="16" thickBot="1" x14ac:dyDescent="0.25">
      <c r="C18" s="9"/>
      <c r="E18" t="e">
        <f t="shared" si="11"/>
        <v>#DIV/0!</v>
      </c>
      <c r="J18">
        <f t="shared" si="5"/>
        <v>0</v>
      </c>
      <c r="K18">
        <v>150</v>
      </c>
      <c r="L18">
        <f t="shared" si="6"/>
        <v>0</v>
      </c>
      <c r="P18">
        <f t="shared" si="7"/>
        <v>3</v>
      </c>
      <c r="S18">
        <f t="shared" si="8"/>
        <v>153</v>
      </c>
      <c r="U18"/>
      <c r="V18" s="46">
        <f t="shared" si="9"/>
        <v>-153</v>
      </c>
      <c r="X18"/>
      <c r="Z18">
        <f t="shared" si="0"/>
        <v>0</v>
      </c>
      <c r="AB18" s="83">
        <f>SUM(AC18:AC21)</f>
        <v>-842</v>
      </c>
      <c r="AC18" s="8">
        <f t="shared" si="10"/>
        <v>0</v>
      </c>
      <c r="AD18" s="135"/>
      <c r="AE18" s="15">
        <f t="shared" si="1"/>
        <v>0</v>
      </c>
      <c r="AF18" s="43">
        <f t="shared" si="2"/>
        <v>0</v>
      </c>
      <c r="AT18" s="1"/>
    </row>
    <row r="19" spans="1:120" x14ac:dyDescent="0.2">
      <c r="C19" t="s">
        <v>104</v>
      </c>
      <c r="D19">
        <f t="shared" si="3"/>
        <v>52.253919731693685</v>
      </c>
      <c r="E19" t="e">
        <f t="shared" si="11"/>
        <v>#DIV/0!</v>
      </c>
      <c r="F19">
        <v>7.6</v>
      </c>
      <c r="H19">
        <v>8000</v>
      </c>
      <c r="I19">
        <v>35</v>
      </c>
      <c r="J19">
        <f t="shared" si="5"/>
        <v>1342.4639999999999</v>
      </c>
      <c r="K19">
        <v>150</v>
      </c>
      <c r="L19">
        <f t="shared" si="6"/>
        <v>2119.6799999999998</v>
      </c>
      <c r="M19">
        <v>50</v>
      </c>
      <c r="N19">
        <v>30</v>
      </c>
      <c r="O19">
        <v>910</v>
      </c>
      <c r="P19">
        <f t="shared" si="7"/>
        <v>252.74288000000001</v>
      </c>
      <c r="Q19">
        <v>100</v>
      </c>
      <c r="S19">
        <f t="shared" si="8"/>
        <v>12989.88688</v>
      </c>
      <c r="T19">
        <f t="shared" si="12"/>
        <v>16171.536</v>
      </c>
      <c r="U19">
        <v>17664</v>
      </c>
      <c r="V19" s="46">
        <f t="shared" si="9"/>
        <v>4674.11312</v>
      </c>
      <c r="X19"/>
      <c r="Z19">
        <f t="shared" si="0"/>
        <v>0</v>
      </c>
      <c r="AB19" s="84"/>
      <c r="AC19" s="8">
        <f t="shared" si="10"/>
        <v>0</v>
      </c>
      <c r="AD19" s="135">
        <v>0</v>
      </c>
      <c r="AE19" s="15">
        <f t="shared" si="1"/>
        <v>0</v>
      </c>
      <c r="AF19" s="43">
        <f t="shared" si="2"/>
        <v>0</v>
      </c>
      <c r="AT19" s="1"/>
    </row>
    <row r="20" spans="1:120" x14ac:dyDescent="0.2">
      <c r="A20">
        <v>793</v>
      </c>
      <c r="C20" s="14" t="s">
        <v>190</v>
      </c>
      <c r="D20">
        <f t="shared" si="3"/>
        <v>45.624412427449634</v>
      </c>
      <c r="E20" t="e">
        <f t="shared" si="11"/>
        <v>#DIV/0!</v>
      </c>
      <c r="F20">
        <v>7.6</v>
      </c>
      <c r="H20">
        <v>13700</v>
      </c>
      <c r="I20">
        <v>35</v>
      </c>
      <c r="J20">
        <f t="shared" si="5"/>
        <v>2085.44</v>
      </c>
      <c r="K20">
        <v>150</v>
      </c>
      <c r="L20">
        <f t="shared" si="6"/>
        <v>3292.7999999999997</v>
      </c>
      <c r="M20">
        <v>50</v>
      </c>
      <c r="N20">
        <v>30</v>
      </c>
      <c r="O20">
        <v>910</v>
      </c>
      <c r="P20">
        <f t="shared" si="7"/>
        <v>405.06480000000005</v>
      </c>
      <c r="Q20">
        <v>100</v>
      </c>
      <c r="S20">
        <f t="shared" si="8"/>
        <v>20758.304800000002</v>
      </c>
      <c r="T20">
        <f t="shared" si="12"/>
        <v>25204.560000000001</v>
      </c>
      <c r="U20">
        <v>27440</v>
      </c>
      <c r="V20" s="46">
        <f t="shared" si="9"/>
        <v>6681.6951999999983</v>
      </c>
      <c r="X20"/>
      <c r="Z20">
        <f t="shared" si="0"/>
        <v>0</v>
      </c>
      <c r="AA20" s="50">
        <v>842</v>
      </c>
      <c r="AB20" s="84"/>
      <c r="AC20" s="8">
        <f t="shared" si="10"/>
        <v>-842</v>
      </c>
      <c r="AD20" s="81">
        <v>0</v>
      </c>
      <c r="AE20" s="15">
        <f t="shared" si="1"/>
        <v>0</v>
      </c>
      <c r="AF20" s="43">
        <f t="shared" si="2"/>
        <v>-842</v>
      </c>
      <c r="AT20" s="1"/>
    </row>
    <row r="21" spans="1:120" ht="16" thickBot="1" x14ac:dyDescent="0.25">
      <c r="C21" s="14" t="s">
        <v>194</v>
      </c>
      <c r="D21">
        <f t="shared" si="3"/>
        <v>56.463593278759149</v>
      </c>
      <c r="E21" t="e">
        <f t="shared" si="11"/>
        <v>#DIV/0!</v>
      </c>
      <c r="F21">
        <v>7.6</v>
      </c>
      <c r="H21">
        <v>12981</v>
      </c>
      <c r="I21">
        <v>35</v>
      </c>
      <c r="J21">
        <f t="shared" si="5"/>
        <v>2128</v>
      </c>
      <c r="K21">
        <v>150</v>
      </c>
      <c r="L21">
        <f t="shared" si="6"/>
        <v>3360</v>
      </c>
      <c r="M21">
        <v>50</v>
      </c>
      <c r="N21">
        <v>30</v>
      </c>
      <c r="O21">
        <v>910</v>
      </c>
      <c r="P21">
        <f t="shared" si="7"/>
        <v>392.88</v>
      </c>
      <c r="Q21">
        <v>100</v>
      </c>
      <c r="S21">
        <f t="shared" si="8"/>
        <v>20136.88</v>
      </c>
      <c r="T21">
        <f t="shared" si="12"/>
        <v>25722</v>
      </c>
      <c r="U21">
        <v>28000</v>
      </c>
      <c r="V21" s="46">
        <f t="shared" si="9"/>
        <v>7863.119999999999</v>
      </c>
      <c r="X21"/>
      <c r="Z21">
        <f t="shared" si="0"/>
        <v>0</v>
      </c>
      <c r="AB21" s="116"/>
      <c r="AC21" s="8">
        <f t="shared" si="10"/>
        <v>0</v>
      </c>
      <c r="AD21" s="135">
        <v>0</v>
      </c>
      <c r="AE21" s="15">
        <f t="shared" si="1"/>
        <v>0</v>
      </c>
      <c r="AF21" s="43">
        <f t="shared" si="2"/>
        <v>0</v>
      </c>
      <c r="AT21" s="1">
        <v>6</v>
      </c>
      <c r="AU21">
        <v>0.126</v>
      </c>
      <c r="AV21">
        <v>0.75600000000000023</v>
      </c>
      <c r="AW21">
        <v>0</v>
      </c>
      <c r="AZ21">
        <v>1</v>
      </c>
      <c r="DP21" t="s">
        <v>101</v>
      </c>
    </row>
    <row r="22" spans="1:120" ht="16" thickBot="1" x14ac:dyDescent="0.25">
      <c r="C22" s="53" t="s">
        <v>16</v>
      </c>
      <c r="D22">
        <f t="shared" si="3"/>
        <v>64.323480620155038</v>
      </c>
      <c r="E22">
        <f>AC22/AD22/(S22/100)</f>
        <v>33.077202896982534</v>
      </c>
      <c r="F22">
        <v>7.6</v>
      </c>
      <c r="H22">
        <v>4200</v>
      </c>
      <c r="I22">
        <v>50</v>
      </c>
      <c r="J22">
        <f t="shared" si="5"/>
        <v>847.02</v>
      </c>
      <c r="K22">
        <v>150</v>
      </c>
      <c r="L22">
        <f t="shared" si="6"/>
        <v>1337.3999999999999</v>
      </c>
      <c r="M22">
        <v>50</v>
      </c>
      <c r="N22">
        <v>30</v>
      </c>
      <c r="O22">
        <v>910</v>
      </c>
      <c r="P22">
        <f t="shared" si="7"/>
        <v>151.48840000000001</v>
      </c>
      <c r="Q22">
        <v>100</v>
      </c>
      <c r="S22">
        <f t="shared" si="8"/>
        <v>7825.9084000000003</v>
      </c>
      <c r="T22">
        <f t="shared" si="12"/>
        <v>10147.98</v>
      </c>
      <c r="U22">
        <v>11145</v>
      </c>
      <c r="V22" s="46">
        <f t="shared" si="9"/>
        <v>3319.0915999999997</v>
      </c>
      <c r="X22"/>
      <c r="Z22">
        <f t="shared" si="0"/>
        <v>13657.7768</v>
      </c>
      <c r="AA22" s="130">
        <v>1461</v>
      </c>
      <c r="AB22" s="83">
        <f>SUM(AC22:AC25)</f>
        <v>5177.1831999999995</v>
      </c>
      <c r="AC22" s="8">
        <f t="shared" si="10"/>
        <v>5177.1831999999995</v>
      </c>
      <c r="AD22" s="80">
        <v>2</v>
      </c>
      <c r="AE22" s="15">
        <f t="shared" si="1"/>
        <v>6638.1831999999995</v>
      </c>
      <c r="AF22" s="43">
        <f t="shared" si="2"/>
        <v>18834.96</v>
      </c>
      <c r="AO22" s="40">
        <v>0</v>
      </c>
      <c r="AP22" s="41">
        <v>0</v>
      </c>
      <c r="AQ22" s="41">
        <f t="shared" ref="AQ22" si="13">AO22-AP22</f>
        <v>0</v>
      </c>
      <c r="AR22" s="42">
        <f t="shared" ref="AR22" si="14">AQ22-AS22</f>
        <v>0</v>
      </c>
      <c r="AS22" s="41">
        <v>0</v>
      </c>
      <c r="AT22" s="61">
        <v>6</v>
      </c>
      <c r="AU22" s="27">
        <f t="shared" ref="AU22:AU85" si="15">0.07*2.2</f>
        <v>0.15400000000000003</v>
      </c>
      <c r="AV22" s="27">
        <f t="shared" ref="AV22:AV85" si="16">AT22*AU22</f>
        <v>0.92400000000000015</v>
      </c>
      <c r="AW22" s="35">
        <f t="shared" ref="AW22:AW85" si="17">AQ22*AV22</f>
        <v>0</v>
      </c>
      <c r="AZ22">
        <v>0</v>
      </c>
      <c r="DP22" t="s">
        <v>101</v>
      </c>
    </row>
    <row r="23" spans="1:120" x14ac:dyDescent="0.2">
      <c r="C23" s="54" t="s">
        <v>19</v>
      </c>
      <c r="D23">
        <f t="shared" si="3"/>
        <v>13.981960277136263</v>
      </c>
      <c r="E23" t="e">
        <f>AC23/AD23/(S23/100)</f>
        <v>#DIV/0!</v>
      </c>
      <c r="F23">
        <v>7.6</v>
      </c>
      <c r="H23">
        <v>7700</v>
      </c>
      <c r="I23">
        <v>50</v>
      </c>
      <c r="J23">
        <f t="shared" si="5"/>
        <v>985.87199999999996</v>
      </c>
      <c r="K23">
        <v>150</v>
      </c>
      <c r="L23">
        <f t="shared" si="6"/>
        <v>1556.6399999999999</v>
      </c>
      <c r="M23">
        <v>50</v>
      </c>
      <c r="N23">
        <v>30</v>
      </c>
      <c r="O23">
        <v>910</v>
      </c>
      <c r="P23">
        <f t="shared" si="7"/>
        <v>228.65023999999997</v>
      </c>
      <c r="Q23">
        <v>100</v>
      </c>
      <c r="S23">
        <f t="shared" si="8"/>
        <v>11761.16224</v>
      </c>
      <c r="T23">
        <f t="shared" si="12"/>
        <v>11836.128000000001</v>
      </c>
      <c r="U23">
        <v>12972</v>
      </c>
      <c r="V23" s="46">
        <f t="shared" si="9"/>
        <v>1210.8377600000003</v>
      </c>
      <c r="X23"/>
      <c r="Y23">
        <v>0</v>
      </c>
      <c r="Z23">
        <f t="shared" si="0"/>
        <v>0</v>
      </c>
      <c r="AA23" s="50">
        <v>0</v>
      </c>
      <c r="AB23" s="84"/>
      <c r="AC23" s="8">
        <f t="shared" si="10"/>
        <v>0</v>
      </c>
      <c r="AD23" s="80">
        <v>0</v>
      </c>
      <c r="AE23" s="15">
        <f t="shared" si="1"/>
        <v>0</v>
      </c>
      <c r="AF23" s="43">
        <f t="shared" si="2"/>
        <v>0</v>
      </c>
      <c r="AO23" s="40">
        <v>0</v>
      </c>
      <c r="AP23" s="41">
        <v>0</v>
      </c>
      <c r="AQ23" s="41">
        <f>AO23-AP23</f>
        <v>0</v>
      </c>
      <c r="AR23" s="96">
        <f>AQ23-AS23</f>
        <v>0</v>
      </c>
      <c r="AS23" s="41">
        <v>0</v>
      </c>
      <c r="AT23" s="61">
        <v>6</v>
      </c>
      <c r="AU23" s="27">
        <f t="shared" si="15"/>
        <v>0.15400000000000003</v>
      </c>
      <c r="AV23" s="27">
        <f t="shared" si="16"/>
        <v>0.92400000000000015</v>
      </c>
      <c r="AW23" s="35">
        <f t="shared" si="17"/>
        <v>0</v>
      </c>
    </row>
    <row r="24" spans="1:120" ht="16" customHeight="1" x14ac:dyDescent="0.2">
      <c r="C24" s="54" t="s">
        <v>22</v>
      </c>
      <c r="D24">
        <f t="shared" si="3"/>
        <v>26.379225698324035</v>
      </c>
      <c r="E24" t="e">
        <f>AC24/AD24/(S24/100)</f>
        <v>#DIV/0!</v>
      </c>
      <c r="F24">
        <v>7.6</v>
      </c>
      <c r="H24">
        <v>6200</v>
      </c>
      <c r="I24">
        <v>50</v>
      </c>
      <c r="J24">
        <f t="shared" si="5"/>
        <v>904.93200000000002</v>
      </c>
      <c r="K24">
        <v>150</v>
      </c>
      <c r="L24">
        <f t="shared" si="6"/>
        <v>1428.84</v>
      </c>
      <c r="M24">
        <v>50</v>
      </c>
      <c r="N24">
        <v>30</v>
      </c>
      <c r="O24">
        <v>910</v>
      </c>
      <c r="P24">
        <f t="shared" si="7"/>
        <v>194.47543999999999</v>
      </c>
      <c r="Q24">
        <v>100</v>
      </c>
      <c r="S24">
        <f t="shared" si="8"/>
        <v>10018.247439999999</v>
      </c>
      <c r="T24">
        <f t="shared" si="12"/>
        <v>10852.067999999999</v>
      </c>
      <c r="U24">
        <v>11907</v>
      </c>
      <c r="V24" s="46">
        <f t="shared" si="9"/>
        <v>1888.7525600000008</v>
      </c>
      <c r="X24"/>
      <c r="Y24">
        <v>0</v>
      </c>
      <c r="Z24">
        <f t="shared" si="0"/>
        <v>0</v>
      </c>
      <c r="AB24" s="84"/>
      <c r="AC24" s="8">
        <f t="shared" si="10"/>
        <v>0</v>
      </c>
      <c r="AD24" s="142">
        <v>0</v>
      </c>
      <c r="AE24" s="15">
        <f t="shared" si="1"/>
        <v>0</v>
      </c>
      <c r="AF24" s="43">
        <f t="shared" si="2"/>
        <v>0</v>
      </c>
      <c r="AQ24" s="97"/>
      <c r="AR24" s="98"/>
      <c r="AT24" s="1">
        <v>6</v>
      </c>
      <c r="AU24" s="27">
        <f t="shared" si="15"/>
        <v>0.15400000000000003</v>
      </c>
      <c r="AV24" s="27">
        <f t="shared" si="16"/>
        <v>0.92400000000000015</v>
      </c>
      <c r="AW24" s="35">
        <f t="shared" si="17"/>
        <v>0</v>
      </c>
      <c r="DP24" t="s">
        <v>101</v>
      </c>
    </row>
    <row r="25" spans="1:120" ht="16" customHeight="1" thickBot="1" x14ac:dyDescent="0.25">
      <c r="C25" s="55" t="s">
        <v>176</v>
      </c>
      <c r="D25">
        <f t="shared" si="3"/>
        <v>24.060763819095488</v>
      </c>
      <c r="E25" t="e">
        <f>AC25/AD25/(S25/100)</f>
        <v>#DIV/0!</v>
      </c>
      <c r="F25">
        <v>7.6</v>
      </c>
      <c r="H25" s="22">
        <v>7000</v>
      </c>
      <c r="I25">
        <v>50</v>
      </c>
      <c r="J25">
        <f t="shared" si="5"/>
        <v>984.96</v>
      </c>
      <c r="K25">
        <v>150</v>
      </c>
      <c r="L25">
        <f t="shared" si="6"/>
        <v>1555.2</v>
      </c>
      <c r="M25">
        <v>50</v>
      </c>
      <c r="N25">
        <v>30</v>
      </c>
      <c r="O25">
        <v>910</v>
      </c>
      <c r="P25">
        <f t="shared" si="7"/>
        <v>214.60320000000002</v>
      </c>
      <c r="Q25">
        <v>100</v>
      </c>
      <c r="S25">
        <f t="shared" si="8"/>
        <v>11044.763199999999</v>
      </c>
      <c r="T25">
        <f t="shared" si="12"/>
        <v>11825.04</v>
      </c>
      <c r="U25">
        <v>12960</v>
      </c>
      <c r="V25" s="46">
        <f t="shared" si="9"/>
        <v>1915.2368000000006</v>
      </c>
      <c r="X25"/>
      <c r="Z25">
        <f t="shared" si="0"/>
        <v>0</v>
      </c>
      <c r="AB25" s="85"/>
      <c r="AC25" s="8">
        <f t="shared" si="10"/>
        <v>0</v>
      </c>
      <c r="AD25" s="142">
        <v>0</v>
      </c>
      <c r="AE25" s="15">
        <f t="shared" si="1"/>
        <v>0</v>
      </c>
      <c r="AF25" s="43">
        <f t="shared" si="2"/>
        <v>0</v>
      </c>
      <c r="AQ25" s="97"/>
      <c r="AR25" s="98"/>
      <c r="AT25" s="1"/>
      <c r="AU25" s="27">
        <f t="shared" si="15"/>
        <v>0.15400000000000003</v>
      </c>
      <c r="AV25" s="27">
        <f t="shared" si="16"/>
        <v>0</v>
      </c>
      <c r="AW25" s="35">
        <f t="shared" si="17"/>
        <v>0</v>
      </c>
    </row>
    <row r="26" spans="1:120" ht="16" customHeight="1" x14ac:dyDescent="0.2">
      <c r="C26" s="46"/>
      <c r="H26" s="22"/>
      <c r="J26">
        <f t="shared" si="5"/>
        <v>0</v>
      </c>
      <c r="K26">
        <v>150</v>
      </c>
      <c r="L26">
        <f t="shared" si="6"/>
        <v>0</v>
      </c>
      <c r="P26">
        <f t="shared" si="7"/>
        <v>3</v>
      </c>
      <c r="S26">
        <f t="shared" si="8"/>
        <v>153</v>
      </c>
      <c r="U26"/>
      <c r="V26" s="46">
        <f t="shared" si="9"/>
        <v>-153</v>
      </c>
      <c r="X26"/>
      <c r="Z26">
        <f t="shared" si="0"/>
        <v>0</v>
      </c>
      <c r="AB26" s="86">
        <f>SUM(AC26:AC32)</f>
        <v>0</v>
      </c>
      <c r="AC26" s="8">
        <f t="shared" si="10"/>
        <v>0</v>
      </c>
      <c r="AD26" s="135"/>
      <c r="AE26" s="15">
        <f t="shared" si="1"/>
        <v>0</v>
      </c>
      <c r="AF26" s="43">
        <f t="shared" si="2"/>
        <v>0</v>
      </c>
      <c r="AQ26" s="97"/>
      <c r="AR26" s="98"/>
      <c r="AT26" s="1"/>
      <c r="AU26" s="27">
        <f t="shared" si="15"/>
        <v>0.15400000000000003</v>
      </c>
      <c r="AV26" s="27">
        <f t="shared" si="16"/>
        <v>0</v>
      </c>
      <c r="AW26" s="35">
        <f t="shared" si="17"/>
        <v>0</v>
      </c>
    </row>
    <row r="27" spans="1:120" ht="16" customHeight="1" x14ac:dyDescent="0.2">
      <c r="J27">
        <f t="shared" si="5"/>
        <v>0</v>
      </c>
      <c r="K27">
        <v>150</v>
      </c>
      <c r="L27">
        <f t="shared" si="6"/>
        <v>0</v>
      </c>
      <c r="P27">
        <f t="shared" si="7"/>
        <v>3</v>
      </c>
      <c r="S27">
        <f t="shared" si="8"/>
        <v>153</v>
      </c>
      <c r="U27"/>
      <c r="V27" s="46">
        <f t="shared" si="9"/>
        <v>-153</v>
      </c>
      <c r="X27"/>
      <c r="Z27">
        <f t="shared" si="0"/>
        <v>0</v>
      </c>
      <c r="AC27" s="8">
        <f t="shared" si="10"/>
        <v>0</v>
      </c>
      <c r="AD27" s="135"/>
      <c r="AE27" s="15">
        <f t="shared" si="1"/>
        <v>0</v>
      </c>
      <c r="AF27" s="43">
        <f t="shared" si="2"/>
        <v>0</v>
      </c>
      <c r="AQ27" s="97"/>
      <c r="AR27" s="98"/>
      <c r="AT27" s="1"/>
      <c r="AU27" s="27">
        <f t="shared" si="15"/>
        <v>0.15400000000000003</v>
      </c>
      <c r="AV27" s="27">
        <f t="shared" si="16"/>
        <v>0</v>
      </c>
      <c r="AW27" s="35">
        <f t="shared" si="17"/>
        <v>0</v>
      </c>
    </row>
    <row r="28" spans="1:120" ht="15" customHeight="1" x14ac:dyDescent="0.2">
      <c r="A28">
        <v>24</v>
      </c>
      <c r="C28" t="s">
        <v>107</v>
      </c>
      <c r="D28">
        <f t="shared" si="3"/>
        <v>46.56607523066004</v>
      </c>
      <c r="E28" t="e">
        <f>AC28/AD28/(S28/100)</f>
        <v>#DIV/0!</v>
      </c>
      <c r="F28">
        <v>7.6</v>
      </c>
      <c r="H28">
        <v>6100</v>
      </c>
      <c r="I28">
        <v>35</v>
      </c>
      <c r="J28">
        <f t="shared" si="5"/>
        <v>1026</v>
      </c>
      <c r="K28">
        <v>150</v>
      </c>
      <c r="L28">
        <f t="shared" si="6"/>
        <v>1620</v>
      </c>
      <c r="M28">
        <v>50</v>
      </c>
      <c r="N28">
        <v>30</v>
      </c>
      <c r="O28">
        <v>910</v>
      </c>
      <c r="P28">
        <f t="shared" si="7"/>
        <v>198.42000000000002</v>
      </c>
      <c r="Q28">
        <v>100</v>
      </c>
      <c r="S28">
        <f t="shared" si="8"/>
        <v>10219.42</v>
      </c>
      <c r="T28">
        <f t="shared" si="12"/>
        <v>12324</v>
      </c>
      <c r="U28">
        <v>13500</v>
      </c>
      <c r="V28" s="46">
        <f t="shared" si="9"/>
        <v>3280.58</v>
      </c>
      <c r="X28"/>
      <c r="Z28">
        <f t="shared" si="0"/>
        <v>0</v>
      </c>
      <c r="AC28" s="8">
        <f t="shared" si="10"/>
        <v>0</v>
      </c>
      <c r="AD28" s="135">
        <v>0</v>
      </c>
      <c r="AE28" s="15">
        <f t="shared" si="1"/>
        <v>0</v>
      </c>
      <c r="AF28" s="43">
        <f t="shared" si="2"/>
        <v>0</v>
      </c>
      <c r="AQ28" s="97"/>
      <c r="AR28" s="98"/>
      <c r="AT28" s="1">
        <v>6</v>
      </c>
      <c r="AU28" s="27">
        <f t="shared" si="15"/>
        <v>0.15400000000000003</v>
      </c>
      <c r="AV28" s="27">
        <f t="shared" si="16"/>
        <v>0.92400000000000015</v>
      </c>
      <c r="AW28" s="35">
        <f t="shared" si="17"/>
        <v>0</v>
      </c>
      <c r="AX28">
        <v>0</v>
      </c>
      <c r="AZ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DP28" t="s">
        <v>101</v>
      </c>
    </row>
    <row r="29" spans="1:120" ht="15" customHeight="1" x14ac:dyDescent="0.2">
      <c r="C29" t="s">
        <v>107</v>
      </c>
      <c r="D29">
        <f t="shared" si="3"/>
        <v>12.548365296803661</v>
      </c>
      <c r="E29" t="e">
        <f>AC29/AD29/(S29/100)</f>
        <v>#DIV/0!</v>
      </c>
      <c r="F29">
        <v>7.6</v>
      </c>
      <c r="H29">
        <v>7800</v>
      </c>
      <c r="I29">
        <v>50</v>
      </c>
      <c r="J29">
        <f t="shared" si="5"/>
        <v>984.96</v>
      </c>
      <c r="K29">
        <v>150</v>
      </c>
      <c r="L29">
        <f t="shared" si="6"/>
        <v>1555.2</v>
      </c>
      <c r="M29">
        <v>50</v>
      </c>
      <c r="N29">
        <v>30</v>
      </c>
      <c r="O29">
        <v>910</v>
      </c>
      <c r="P29">
        <f t="shared" si="7"/>
        <v>230.60320000000002</v>
      </c>
      <c r="Q29">
        <v>100</v>
      </c>
      <c r="S29">
        <f t="shared" si="8"/>
        <v>11860.763199999999</v>
      </c>
      <c r="T29">
        <f t="shared" si="12"/>
        <v>11825.04</v>
      </c>
      <c r="U29">
        <v>12960</v>
      </c>
      <c r="V29" s="46">
        <f t="shared" si="9"/>
        <v>1099.2368000000006</v>
      </c>
      <c r="X29"/>
      <c r="Z29">
        <f t="shared" si="0"/>
        <v>0</v>
      </c>
      <c r="AA29" s="50">
        <v>0</v>
      </c>
      <c r="AC29" s="8">
        <f t="shared" si="10"/>
        <v>0</v>
      </c>
      <c r="AD29" s="135">
        <v>0</v>
      </c>
      <c r="AE29" s="15">
        <f t="shared" si="1"/>
        <v>0</v>
      </c>
      <c r="AF29" s="43">
        <f t="shared" si="2"/>
        <v>0</v>
      </c>
      <c r="AQ29" s="97"/>
      <c r="AR29" s="98"/>
      <c r="AT29" s="1">
        <v>6</v>
      </c>
      <c r="AU29" s="27">
        <f t="shared" si="15"/>
        <v>0.15400000000000003</v>
      </c>
      <c r="AV29" s="27">
        <f t="shared" si="16"/>
        <v>0.92400000000000015</v>
      </c>
      <c r="AW29" s="35">
        <f t="shared" si="17"/>
        <v>0</v>
      </c>
      <c r="AZ29">
        <v>0</v>
      </c>
      <c r="DP29" t="s">
        <v>101</v>
      </c>
    </row>
    <row r="30" spans="1:120" ht="17.5" customHeight="1" x14ac:dyDescent="0.2">
      <c r="J30">
        <f t="shared" si="5"/>
        <v>0</v>
      </c>
      <c r="K30">
        <v>150</v>
      </c>
      <c r="L30">
        <f t="shared" si="6"/>
        <v>0</v>
      </c>
      <c r="P30">
        <f t="shared" si="7"/>
        <v>3</v>
      </c>
      <c r="S30">
        <f t="shared" si="8"/>
        <v>153</v>
      </c>
      <c r="V30" s="46">
        <f t="shared" si="9"/>
        <v>-153</v>
      </c>
      <c r="Z30">
        <f t="shared" si="0"/>
        <v>0</v>
      </c>
      <c r="AC30" s="8">
        <f t="shared" si="10"/>
        <v>0</v>
      </c>
      <c r="AD30" s="135"/>
      <c r="AE30" s="15">
        <f t="shared" si="1"/>
        <v>0</v>
      </c>
      <c r="AF30" s="43">
        <f t="shared" si="2"/>
        <v>0</v>
      </c>
      <c r="AQ30" s="97"/>
      <c r="AR30" s="98"/>
      <c r="AT30" s="1"/>
      <c r="AU30" s="27">
        <f t="shared" si="15"/>
        <v>0.15400000000000003</v>
      </c>
      <c r="AV30" s="27">
        <f t="shared" si="16"/>
        <v>0</v>
      </c>
      <c r="AW30" s="35">
        <f t="shared" si="17"/>
        <v>0</v>
      </c>
    </row>
    <row r="31" spans="1:120" ht="17.5" customHeight="1" x14ac:dyDescent="0.2">
      <c r="A31">
        <v>49</v>
      </c>
      <c r="C31" t="s">
        <v>8</v>
      </c>
      <c r="D31">
        <f>V31/((H31+I31+O31)/100)</f>
        <v>-10.858463656929276</v>
      </c>
      <c r="E31" t="e">
        <f>AC31/AD31/(S31/100)</f>
        <v>#DIV/0!</v>
      </c>
      <c r="F31">
        <v>7.6</v>
      </c>
      <c r="H31">
        <v>9222</v>
      </c>
      <c r="I31">
        <v>35</v>
      </c>
      <c r="J31">
        <f t="shared" si="5"/>
        <v>912</v>
      </c>
      <c r="K31">
        <v>150</v>
      </c>
      <c r="L31">
        <f t="shared" si="6"/>
        <v>1440</v>
      </c>
      <c r="M31">
        <v>50</v>
      </c>
      <c r="N31">
        <v>30</v>
      </c>
      <c r="O31">
        <v>910</v>
      </c>
      <c r="P31">
        <f t="shared" si="7"/>
        <v>254.98000000000002</v>
      </c>
      <c r="Q31">
        <v>100</v>
      </c>
      <c r="S31">
        <f t="shared" si="8"/>
        <v>13103.98</v>
      </c>
      <c r="T31">
        <f>U31-J31-K31</f>
        <v>10938</v>
      </c>
      <c r="U31">
        <v>12000</v>
      </c>
      <c r="V31" s="46">
        <f t="shared" si="9"/>
        <v>-1103.9799999999996</v>
      </c>
      <c r="X31"/>
      <c r="Z31">
        <f t="shared" si="0"/>
        <v>0</v>
      </c>
      <c r="AA31" s="50">
        <v>0</v>
      </c>
      <c r="AC31" s="8">
        <f t="shared" si="10"/>
        <v>0</v>
      </c>
      <c r="AD31" s="140">
        <v>0</v>
      </c>
      <c r="AE31" s="15">
        <f t="shared" si="1"/>
        <v>0</v>
      </c>
      <c r="AF31" s="43">
        <f t="shared" si="2"/>
        <v>0</v>
      </c>
      <c r="AQ31" s="97"/>
      <c r="AR31" s="98"/>
      <c r="AT31" s="1">
        <v>6</v>
      </c>
      <c r="AU31" s="27">
        <f t="shared" si="15"/>
        <v>0.15400000000000003</v>
      </c>
      <c r="AV31" s="27">
        <f t="shared" si="16"/>
        <v>0.92400000000000015</v>
      </c>
      <c r="AW31" s="35">
        <f t="shared" si="17"/>
        <v>0</v>
      </c>
      <c r="AZ31">
        <v>0</v>
      </c>
      <c r="CP31">
        <v>0.3</v>
      </c>
      <c r="CQ31">
        <v>1.45</v>
      </c>
      <c r="CR31">
        <v>0.435</v>
      </c>
      <c r="CS31">
        <v>0</v>
      </c>
      <c r="DP31" t="s">
        <v>108</v>
      </c>
    </row>
    <row r="32" spans="1:120" ht="17.5" customHeight="1" thickBot="1" x14ac:dyDescent="0.25">
      <c r="C32" s="123" t="s">
        <v>222</v>
      </c>
      <c r="J32">
        <f t="shared" si="5"/>
        <v>0</v>
      </c>
      <c r="K32">
        <v>150</v>
      </c>
      <c r="L32">
        <f t="shared" si="6"/>
        <v>0</v>
      </c>
      <c r="P32">
        <f t="shared" si="7"/>
        <v>3</v>
      </c>
      <c r="S32">
        <f t="shared" si="8"/>
        <v>153</v>
      </c>
      <c r="U32"/>
      <c r="V32" s="46">
        <f t="shared" si="9"/>
        <v>-153</v>
      </c>
      <c r="X32"/>
      <c r="Z32">
        <f t="shared" si="0"/>
        <v>0</v>
      </c>
      <c r="AA32" s="50">
        <v>0</v>
      </c>
      <c r="AC32" s="8">
        <f t="shared" si="10"/>
        <v>0</v>
      </c>
      <c r="AD32" s="140">
        <v>0</v>
      </c>
      <c r="AE32" s="15">
        <f t="shared" si="1"/>
        <v>0</v>
      </c>
      <c r="AF32" s="43">
        <f t="shared" si="2"/>
        <v>0</v>
      </c>
      <c r="AQ32" s="97"/>
      <c r="AR32" s="98"/>
      <c r="AT32" s="1"/>
      <c r="AU32" s="27">
        <f t="shared" si="15"/>
        <v>0.15400000000000003</v>
      </c>
      <c r="AV32" s="27">
        <f t="shared" si="16"/>
        <v>0</v>
      </c>
      <c r="AW32" s="35">
        <f t="shared" si="17"/>
        <v>0</v>
      </c>
    </row>
    <row r="33" spans="1:120" ht="17.5" customHeight="1" thickBot="1" x14ac:dyDescent="0.25">
      <c r="C33" s="124" t="s">
        <v>223</v>
      </c>
      <c r="J33">
        <f t="shared" si="5"/>
        <v>0</v>
      </c>
      <c r="K33">
        <v>150</v>
      </c>
      <c r="L33">
        <f t="shared" si="6"/>
        <v>0</v>
      </c>
      <c r="P33">
        <f t="shared" si="7"/>
        <v>3</v>
      </c>
      <c r="S33">
        <f t="shared" si="8"/>
        <v>153</v>
      </c>
      <c r="U33"/>
      <c r="V33" s="46">
        <f t="shared" si="9"/>
        <v>-153</v>
      </c>
      <c r="X33"/>
      <c r="Z33">
        <f t="shared" si="0"/>
        <v>0</v>
      </c>
      <c r="AB33" s="83">
        <f>SUM(AC34:AC37)</f>
        <v>-845.02400000000034</v>
      </c>
      <c r="AC33" s="8">
        <f t="shared" si="10"/>
        <v>0</v>
      </c>
      <c r="AD33" s="142"/>
      <c r="AE33" s="15">
        <f t="shared" si="1"/>
        <v>0</v>
      </c>
      <c r="AF33" s="43">
        <f t="shared" si="2"/>
        <v>0</v>
      </c>
      <c r="AQ33" s="97"/>
      <c r="AR33" s="98"/>
      <c r="AT33" s="1"/>
      <c r="AU33" s="27">
        <f t="shared" si="15"/>
        <v>0.15400000000000003</v>
      </c>
      <c r="AV33" s="27">
        <f t="shared" si="16"/>
        <v>0</v>
      </c>
      <c r="AW33" s="35">
        <f t="shared" si="17"/>
        <v>0</v>
      </c>
      <c r="DP33" t="s">
        <v>110</v>
      </c>
    </row>
    <row r="34" spans="1:120" ht="17.5" customHeight="1" x14ac:dyDescent="0.2">
      <c r="A34">
        <v>14</v>
      </c>
      <c r="C34" s="53" t="s">
        <v>111</v>
      </c>
      <c r="D34">
        <f t="shared" ref="D34:D57" si="18">V34/((H34+I34+O34)/100)</f>
        <v>44.762371541501984</v>
      </c>
      <c r="E34">
        <f>AC34/AD34/(S34/100)</f>
        <v>-11.365450871443056</v>
      </c>
      <c r="F34">
        <v>7.6</v>
      </c>
      <c r="H34">
        <v>3950</v>
      </c>
      <c r="I34">
        <v>200</v>
      </c>
      <c r="J34">
        <f t="shared" si="5"/>
        <v>737.2</v>
      </c>
      <c r="K34">
        <v>150</v>
      </c>
      <c r="L34">
        <f t="shared" si="6"/>
        <v>1164</v>
      </c>
      <c r="M34">
        <v>50</v>
      </c>
      <c r="N34">
        <v>30</v>
      </c>
      <c r="O34">
        <v>910</v>
      </c>
      <c r="P34">
        <f t="shared" si="7"/>
        <v>143.82400000000001</v>
      </c>
      <c r="Q34">
        <v>100</v>
      </c>
      <c r="S34">
        <f t="shared" si="8"/>
        <v>7435.0239999999994</v>
      </c>
      <c r="T34">
        <f t="shared" ref="T34:T57" si="19">U34-J34-K34</f>
        <v>8812.7999999999993</v>
      </c>
      <c r="U34">
        <v>9700</v>
      </c>
      <c r="V34" s="46">
        <f t="shared" si="9"/>
        <v>2264.9760000000006</v>
      </c>
      <c r="X34"/>
      <c r="Y34">
        <v>0</v>
      </c>
      <c r="Z34">
        <f t="shared" si="0"/>
        <v>6547.8239999999996</v>
      </c>
      <c r="AA34" s="126">
        <v>3110</v>
      </c>
      <c r="AB34" s="84"/>
      <c r="AC34" s="8">
        <f t="shared" si="10"/>
        <v>-845.02400000000034</v>
      </c>
      <c r="AD34" s="80">
        <v>1</v>
      </c>
      <c r="AE34" s="15">
        <f t="shared" si="1"/>
        <v>2264.9760000000006</v>
      </c>
      <c r="AF34" s="43">
        <f t="shared" si="2"/>
        <v>5702.7999999999993</v>
      </c>
      <c r="AQ34" s="97"/>
      <c r="AR34" s="98"/>
      <c r="AT34" s="1">
        <v>6</v>
      </c>
      <c r="AU34" s="27">
        <f t="shared" si="15"/>
        <v>0.15400000000000003</v>
      </c>
      <c r="AV34" s="27">
        <f t="shared" si="16"/>
        <v>0.92400000000000015</v>
      </c>
      <c r="AW34" s="35">
        <f t="shared" si="17"/>
        <v>0</v>
      </c>
      <c r="AX34">
        <v>0</v>
      </c>
      <c r="AZ34">
        <v>0</v>
      </c>
      <c r="CP34" t="s">
        <v>54</v>
      </c>
      <c r="CQ34" t="s">
        <v>55</v>
      </c>
      <c r="CR34" t="s">
        <v>56</v>
      </c>
      <c r="CS34" t="s">
        <v>56</v>
      </c>
      <c r="CT34" t="s">
        <v>57</v>
      </c>
      <c r="CU34" t="s">
        <v>58</v>
      </c>
      <c r="CV34" t="s">
        <v>81</v>
      </c>
      <c r="CW34" t="s">
        <v>81</v>
      </c>
      <c r="CX34" t="s">
        <v>54</v>
      </c>
      <c r="CY34" t="s">
        <v>55</v>
      </c>
      <c r="CZ34" t="s">
        <v>56</v>
      </c>
      <c r="DA34" t="s">
        <v>56</v>
      </c>
      <c r="DB34" t="s">
        <v>57</v>
      </c>
      <c r="DC34" t="s">
        <v>58</v>
      </c>
      <c r="DE34" t="s">
        <v>54</v>
      </c>
      <c r="DF34" t="s">
        <v>55</v>
      </c>
      <c r="DG34" t="s">
        <v>56</v>
      </c>
      <c r="DH34" t="s">
        <v>56</v>
      </c>
      <c r="DI34" t="s">
        <v>57</v>
      </c>
      <c r="DJ34" t="s">
        <v>58</v>
      </c>
      <c r="DP34" t="s">
        <v>110</v>
      </c>
    </row>
    <row r="35" spans="1:120" ht="17.5" customHeight="1" x14ac:dyDescent="0.2">
      <c r="C35" s="54" t="s">
        <v>23</v>
      </c>
      <c r="D35">
        <f t="shared" si="18"/>
        <v>65.494841930116465</v>
      </c>
      <c r="E35" t="e">
        <f>AC35/AD35/(S35/100)</f>
        <v>#DIV/0!</v>
      </c>
      <c r="F35">
        <v>7.6</v>
      </c>
      <c r="H35">
        <v>5050</v>
      </c>
      <c r="I35">
        <v>50</v>
      </c>
      <c r="J35">
        <f t="shared" si="5"/>
        <v>988</v>
      </c>
      <c r="K35">
        <v>150</v>
      </c>
      <c r="L35">
        <f t="shared" si="6"/>
        <v>1560</v>
      </c>
      <c r="M35">
        <v>50</v>
      </c>
      <c r="N35">
        <v>30</v>
      </c>
      <c r="O35">
        <v>910</v>
      </c>
      <c r="P35">
        <f t="shared" si="7"/>
        <v>175.76</v>
      </c>
      <c r="Q35">
        <v>100</v>
      </c>
      <c r="S35">
        <f t="shared" si="8"/>
        <v>9063.76</v>
      </c>
      <c r="T35">
        <f t="shared" si="19"/>
        <v>11862</v>
      </c>
      <c r="U35">
        <v>13000</v>
      </c>
      <c r="V35" s="46">
        <f t="shared" si="9"/>
        <v>3936.24</v>
      </c>
      <c r="X35"/>
      <c r="Z35">
        <f t="shared" si="0"/>
        <v>0</v>
      </c>
      <c r="AB35" s="84"/>
      <c r="AC35" s="8">
        <f t="shared" si="10"/>
        <v>0</v>
      </c>
      <c r="AD35" s="142">
        <v>0</v>
      </c>
      <c r="AE35" s="15">
        <f t="shared" si="1"/>
        <v>0</v>
      </c>
      <c r="AF35" s="43">
        <f t="shared" si="2"/>
        <v>0</v>
      </c>
      <c r="AQ35" s="97"/>
      <c r="AR35" s="98"/>
      <c r="AT35" s="1"/>
      <c r="AU35" s="27">
        <f t="shared" si="15"/>
        <v>0.15400000000000003</v>
      </c>
      <c r="AV35" s="27">
        <f t="shared" si="16"/>
        <v>0</v>
      </c>
      <c r="AW35" s="35">
        <f t="shared" si="17"/>
        <v>0</v>
      </c>
      <c r="DP35" t="s">
        <v>110</v>
      </c>
    </row>
    <row r="36" spans="1:120" ht="17.5" customHeight="1" x14ac:dyDescent="0.2">
      <c r="C36" s="54" t="s">
        <v>109</v>
      </c>
      <c r="D36">
        <f t="shared" si="18"/>
        <v>58.440163162849053</v>
      </c>
      <c r="E36" t="e">
        <f>AC36/AD36/(S36/100)</f>
        <v>#DIV/0!</v>
      </c>
      <c r="F36">
        <v>7.6</v>
      </c>
      <c r="H36">
        <v>5414</v>
      </c>
      <c r="I36">
        <v>50</v>
      </c>
      <c r="J36">
        <f t="shared" si="5"/>
        <v>1003.2</v>
      </c>
      <c r="K36">
        <v>150</v>
      </c>
      <c r="L36">
        <f t="shared" si="6"/>
        <v>1584</v>
      </c>
      <c r="M36">
        <v>50</v>
      </c>
      <c r="N36">
        <v>30</v>
      </c>
      <c r="O36">
        <v>910</v>
      </c>
      <c r="P36">
        <f t="shared" si="7"/>
        <v>183.82400000000001</v>
      </c>
      <c r="Q36">
        <v>100</v>
      </c>
      <c r="S36">
        <f t="shared" si="8"/>
        <v>9475.0240000000013</v>
      </c>
      <c r="T36">
        <f t="shared" si="19"/>
        <v>12046.8</v>
      </c>
      <c r="U36">
        <v>13200</v>
      </c>
      <c r="V36" s="46">
        <f t="shared" si="9"/>
        <v>3724.9759999999987</v>
      </c>
      <c r="X36"/>
      <c r="Z36">
        <f t="shared" si="0"/>
        <v>0</v>
      </c>
      <c r="AB36" s="84"/>
      <c r="AC36" s="8">
        <f t="shared" si="10"/>
        <v>0</v>
      </c>
      <c r="AD36" s="142">
        <v>0</v>
      </c>
      <c r="AE36" s="15">
        <f t="shared" si="1"/>
        <v>0</v>
      </c>
      <c r="AF36" s="43">
        <f t="shared" si="2"/>
        <v>0</v>
      </c>
      <c r="AQ36" s="97"/>
      <c r="AR36" s="98"/>
      <c r="AT36" s="1"/>
      <c r="AU36" s="27">
        <f t="shared" si="15"/>
        <v>0.15400000000000003</v>
      </c>
      <c r="AV36" s="27">
        <f t="shared" si="16"/>
        <v>0</v>
      </c>
      <c r="AW36" s="35">
        <f t="shared" si="17"/>
        <v>0</v>
      </c>
    </row>
    <row r="37" spans="1:120" ht="17.5" customHeight="1" thickBot="1" x14ac:dyDescent="0.25">
      <c r="C37" s="55" t="s">
        <v>172</v>
      </c>
      <c r="D37">
        <f t="shared" si="18"/>
        <v>47.073702623906698</v>
      </c>
      <c r="E37" t="e">
        <f>AC37/AD37/(S37/100)</f>
        <v>#DIV/0!</v>
      </c>
      <c r="F37">
        <v>7.6</v>
      </c>
      <c r="H37" s="22">
        <v>5900</v>
      </c>
      <c r="I37">
        <v>50</v>
      </c>
      <c r="J37">
        <f t="shared" si="5"/>
        <v>1003.2</v>
      </c>
      <c r="K37">
        <v>150</v>
      </c>
      <c r="L37">
        <f t="shared" si="6"/>
        <v>1584</v>
      </c>
      <c r="M37">
        <v>50</v>
      </c>
      <c r="N37">
        <v>30</v>
      </c>
      <c r="O37">
        <v>910</v>
      </c>
      <c r="P37">
        <f t="shared" si="7"/>
        <v>193.54400000000001</v>
      </c>
      <c r="Q37">
        <v>100</v>
      </c>
      <c r="S37">
        <f t="shared" si="8"/>
        <v>9970.7440000000006</v>
      </c>
      <c r="T37">
        <f t="shared" si="19"/>
        <v>12046.8</v>
      </c>
      <c r="U37">
        <v>13200</v>
      </c>
      <c r="V37" s="46">
        <f t="shared" si="9"/>
        <v>3229.2559999999994</v>
      </c>
      <c r="X37"/>
      <c r="Z37">
        <f t="shared" si="0"/>
        <v>0</v>
      </c>
      <c r="AB37" s="85"/>
      <c r="AC37" s="8">
        <f t="shared" si="10"/>
        <v>0</v>
      </c>
      <c r="AD37" s="142">
        <v>0</v>
      </c>
      <c r="AE37" s="15">
        <f t="shared" si="1"/>
        <v>0</v>
      </c>
      <c r="AF37" s="43">
        <f t="shared" si="2"/>
        <v>0</v>
      </c>
      <c r="AQ37" s="97"/>
      <c r="AR37" s="98"/>
      <c r="AT37" s="1"/>
      <c r="AU37" s="27">
        <f t="shared" si="15"/>
        <v>0.15400000000000003</v>
      </c>
      <c r="AV37" s="27">
        <f t="shared" si="16"/>
        <v>0</v>
      </c>
      <c r="AW37" s="35">
        <f t="shared" si="17"/>
        <v>0</v>
      </c>
    </row>
    <row r="38" spans="1:120" ht="17.5" customHeight="1" x14ac:dyDescent="0.2">
      <c r="C38" s="46"/>
      <c r="D38" t="e">
        <f t="shared" si="18"/>
        <v>#DIV/0!</v>
      </c>
      <c r="E38" t="e">
        <f t="shared" ref="E38:E57" si="20">AC38/AD38/(S38/100)</f>
        <v>#DIV/0!</v>
      </c>
      <c r="F38">
        <v>7.6</v>
      </c>
      <c r="H38" s="22"/>
      <c r="J38">
        <f t="shared" si="5"/>
        <v>0</v>
      </c>
      <c r="K38">
        <v>150</v>
      </c>
      <c r="L38">
        <f t="shared" si="6"/>
        <v>0</v>
      </c>
      <c r="P38">
        <f t="shared" si="7"/>
        <v>3</v>
      </c>
      <c r="S38">
        <f t="shared" si="8"/>
        <v>153</v>
      </c>
      <c r="U38"/>
      <c r="V38" s="46">
        <f t="shared" si="9"/>
        <v>-153</v>
      </c>
      <c r="X38"/>
      <c r="Z38">
        <f t="shared" si="0"/>
        <v>0</v>
      </c>
      <c r="AB38" s="86">
        <f>SUM(AC38:AC39)</f>
        <v>-1294</v>
      </c>
      <c r="AC38" s="8">
        <f t="shared" si="10"/>
        <v>0</v>
      </c>
      <c r="AD38" s="135"/>
      <c r="AE38" s="15">
        <f t="shared" si="1"/>
        <v>0</v>
      </c>
      <c r="AF38" s="43">
        <f t="shared" si="2"/>
        <v>0</v>
      </c>
      <c r="AQ38" s="97"/>
      <c r="AR38" s="98"/>
      <c r="AT38" s="1"/>
      <c r="AU38" s="27">
        <f t="shared" si="15"/>
        <v>0.15400000000000003</v>
      </c>
      <c r="AV38" s="27">
        <f t="shared" si="16"/>
        <v>0</v>
      </c>
      <c r="AW38" s="35">
        <f t="shared" si="17"/>
        <v>0</v>
      </c>
    </row>
    <row r="39" spans="1:120" ht="17.5" customHeight="1" thickBot="1" x14ac:dyDescent="0.25">
      <c r="C39" t="s">
        <v>255</v>
      </c>
      <c r="D39">
        <f t="shared" si="18"/>
        <v>41.343433756805801</v>
      </c>
      <c r="E39" t="e">
        <f t="shared" si="20"/>
        <v>#DIV/0!</v>
      </c>
      <c r="F39">
        <v>7.6</v>
      </c>
      <c r="H39">
        <v>4500</v>
      </c>
      <c r="I39">
        <v>100</v>
      </c>
      <c r="J39">
        <f t="shared" si="5"/>
        <v>782.04</v>
      </c>
      <c r="K39">
        <v>150</v>
      </c>
      <c r="L39">
        <f t="shared" si="6"/>
        <v>1234.8</v>
      </c>
      <c r="M39">
        <v>50</v>
      </c>
      <c r="N39">
        <v>30</v>
      </c>
      <c r="O39">
        <v>910</v>
      </c>
      <c r="P39">
        <f t="shared" si="7"/>
        <v>155.13679999999999</v>
      </c>
      <c r="Q39">
        <v>100</v>
      </c>
      <c r="S39">
        <f t="shared" si="8"/>
        <v>8011.9768000000004</v>
      </c>
      <c r="U39">
        <v>10290</v>
      </c>
      <c r="V39" s="46">
        <f t="shared" si="9"/>
        <v>2278.0231999999996</v>
      </c>
      <c r="X39"/>
      <c r="Y39">
        <v>0</v>
      </c>
      <c r="Z39">
        <f t="shared" si="0"/>
        <v>0</v>
      </c>
      <c r="AA39" s="126">
        <v>1294</v>
      </c>
      <c r="AB39" s="86"/>
      <c r="AC39" s="8">
        <f t="shared" si="10"/>
        <v>-1294</v>
      </c>
      <c r="AD39" s="81">
        <v>0</v>
      </c>
      <c r="AE39" s="15">
        <f t="shared" si="1"/>
        <v>0</v>
      </c>
      <c r="AF39" s="43">
        <f t="shared" si="2"/>
        <v>-1294</v>
      </c>
      <c r="AQ39" s="97"/>
      <c r="AR39" s="98"/>
      <c r="AT39" s="1"/>
      <c r="AU39" s="27">
        <f t="shared" si="15"/>
        <v>0.15400000000000003</v>
      </c>
      <c r="AV39" s="27">
        <f t="shared" si="16"/>
        <v>0</v>
      </c>
      <c r="AW39" s="35">
        <f t="shared" si="17"/>
        <v>0</v>
      </c>
    </row>
    <row r="40" spans="1:120" ht="17.5" customHeight="1" thickBot="1" x14ac:dyDescent="0.25">
      <c r="A40">
        <v>39</v>
      </c>
      <c r="C40" s="53" t="s">
        <v>112</v>
      </c>
      <c r="D40">
        <f t="shared" si="18"/>
        <v>31.884553001715283</v>
      </c>
      <c r="E40" t="e">
        <f t="shared" si="20"/>
        <v>#DIV/0!</v>
      </c>
      <c r="F40">
        <v>7.6</v>
      </c>
      <c r="H40">
        <v>7800</v>
      </c>
      <c r="I40">
        <v>35</v>
      </c>
      <c r="J40">
        <f t="shared" si="5"/>
        <v>1143.952</v>
      </c>
      <c r="K40">
        <v>150</v>
      </c>
      <c r="L40">
        <f t="shared" si="6"/>
        <v>1806.24</v>
      </c>
      <c r="M40">
        <v>50</v>
      </c>
      <c r="N40">
        <v>30</v>
      </c>
      <c r="O40">
        <v>910</v>
      </c>
      <c r="P40">
        <f t="shared" si="7"/>
        <v>238.50384</v>
      </c>
      <c r="Q40">
        <v>100</v>
      </c>
      <c r="S40">
        <f t="shared" si="8"/>
        <v>12263.695839999998</v>
      </c>
      <c r="T40">
        <f t="shared" si="19"/>
        <v>13758.048000000001</v>
      </c>
      <c r="U40">
        <v>15052</v>
      </c>
      <c r="V40" s="46">
        <f t="shared" si="9"/>
        <v>2788.3041600000015</v>
      </c>
      <c r="X40"/>
      <c r="Z40">
        <f t="shared" si="0"/>
        <v>0</v>
      </c>
      <c r="AA40" s="130">
        <v>0</v>
      </c>
      <c r="AB40" s="83">
        <f>SUM(AC40:AC46)</f>
        <v>7859.5515200000027</v>
      </c>
      <c r="AC40" s="8">
        <f t="shared" si="10"/>
        <v>0</v>
      </c>
      <c r="AD40" s="142">
        <v>0</v>
      </c>
      <c r="AE40" s="15">
        <f t="shared" si="1"/>
        <v>0</v>
      </c>
      <c r="AF40" s="43">
        <f t="shared" si="2"/>
        <v>0</v>
      </c>
      <c r="AQ40" s="97"/>
      <c r="AR40" s="98"/>
      <c r="AT40" s="1">
        <v>6</v>
      </c>
      <c r="AU40" s="27">
        <f t="shared" si="15"/>
        <v>0.15400000000000003</v>
      </c>
      <c r="AV40" s="27">
        <f t="shared" si="16"/>
        <v>0.92400000000000015</v>
      </c>
      <c r="AW40" s="35">
        <f t="shared" si="17"/>
        <v>0</v>
      </c>
      <c r="AX40">
        <v>0</v>
      </c>
      <c r="AZ40">
        <v>0</v>
      </c>
      <c r="DP40" t="s">
        <v>110</v>
      </c>
    </row>
    <row r="41" spans="1:120" ht="17.5" customHeight="1" x14ac:dyDescent="0.2">
      <c r="A41">
        <v>1692</v>
      </c>
      <c r="C41" s="54" t="s">
        <v>113</v>
      </c>
      <c r="D41">
        <f t="shared" si="18"/>
        <v>32.719555726561509</v>
      </c>
      <c r="E41">
        <f t="shared" si="20"/>
        <v>19.31767489168266</v>
      </c>
      <c r="F41">
        <v>7.6</v>
      </c>
      <c r="H41">
        <v>6837</v>
      </c>
      <c r="I41">
        <v>50</v>
      </c>
      <c r="J41">
        <f t="shared" si="5"/>
        <v>1029.5719999999999</v>
      </c>
      <c r="K41">
        <v>150</v>
      </c>
      <c r="L41">
        <f t="shared" si="6"/>
        <v>1625.6399999999999</v>
      </c>
      <c r="M41">
        <v>50</v>
      </c>
      <c r="N41">
        <v>30</v>
      </c>
      <c r="O41">
        <v>910</v>
      </c>
      <c r="P41">
        <f t="shared" si="7"/>
        <v>213.64424</v>
      </c>
      <c r="Q41">
        <v>100</v>
      </c>
      <c r="S41">
        <f t="shared" si="8"/>
        <v>10995.856239999999</v>
      </c>
      <c r="T41">
        <f t="shared" si="19"/>
        <v>12367.428</v>
      </c>
      <c r="U41">
        <v>13547</v>
      </c>
      <c r="V41" s="46">
        <f t="shared" si="9"/>
        <v>2551.1437600000008</v>
      </c>
      <c r="X41"/>
      <c r="Y41">
        <v>0</v>
      </c>
      <c r="Z41">
        <f t="shared" si="0"/>
        <v>19632.568479999998</v>
      </c>
      <c r="AA41" s="126">
        <v>854</v>
      </c>
      <c r="AB41" s="84"/>
      <c r="AC41" s="8">
        <f t="shared" si="10"/>
        <v>4248.2875200000017</v>
      </c>
      <c r="AD41" s="80">
        <v>2</v>
      </c>
      <c r="AE41" s="15">
        <f t="shared" si="1"/>
        <v>5102.2875200000017</v>
      </c>
      <c r="AF41" s="43">
        <f t="shared" si="2"/>
        <v>23880.856</v>
      </c>
      <c r="AO41" s="102">
        <v>0</v>
      </c>
      <c r="AP41" s="102">
        <v>0</v>
      </c>
      <c r="AQ41" s="103">
        <f>AO41-AP41</f>
        <v>0</v>
      </c>
      <c r="AR41" s="104">
        <f t="shared" ref="AR41" si="21">AQ41-AS41</f>
        <v>0</v>
      </c>
      <c r="AS41" s="102">
        <v>0</v>
      </c>
      <c r="AT41" s="1">
        <v>6</v>
      </c>
      <c r="AU41" s="27">
        <f t="shared" si="15"/>
        <v>0.15400000000000003</v>
      </c>
      <c r="AV41" s="27">
        <f t="shared" si="16"/>
        <v>0.92400000000000015</v>
      </c>
      <c r="AW41" s="35">
        <f t="shared" si="17"/>
        <v>0</v>
      </c>
      <c r="AZ41">
        <v>0</v>
      </c>
      <c r="DP41" t="s">
        <v>110</v>
      </c>
    </row>
    <row r="42" spans="1:120" ht="17.5" customHeight="1" x14ac:dyDescent="0.2">
      <c r="C42" s="54" t="s">
        <v>170</v>
      </c>
      <c r="D42">
        <f t="shared" si="18"/>
        <v>45.698264593193613</v>
      </c>
      <c r="E42">
        <f t="shared" si="20"/>
        <v>28.335337821042362</v>
      </c>
      <c r="F42">
        <v>7.6</v>
      </c>
      <c r="H42" s="22">
        <v>7914</v>
      </c>
      <c r="I42">
        <v>50</v>
      </c>
      <c r="J42">
        <f t="shared" si="5"/>
        <v>1276.8</v>
      </c>
      <c r="K42">
        <v>150</v>
      </c>
      <c r="L42">
        <f t="shared" si="6"/>
        <v>2016</v>
      </c>
      <c r="M42">
        <v>50</v>
      </c>
      <c r="N42">
        <v>30</v>
      </c>
      <c r="O42">
        <v>910</v>
      </c>
      <c r="P42">
        <f t="shared" si="7"/>
        <v>247.93599999999998</v>
      </c>
      <c r="Q42">
        <v>100</v>
      </c>
      <c r="S42">
        <f t="shared" si="8"/>
        <v>12744.735999999999</v>
      </c>
      <c r="T42">
        <f t="shared" si="19"/>
        <v>15373.2</v>
      </c>
      <c r="U42">
        <v>16800</v>
      </c>
      <c r="V42" s="46">
        <f t="shared" si="9"/>
        <v>4055.264000000001</v>
      </c>
      <c r="X42"/>
      <c r="Z42">
        <f t="shared" si="0"/>
        <v>11317.936</v>
      </c>
      <c r="AA42" s="126">
        <v>444</v>
      </c>
      <c r="AB42" s="84"/>
      <c r="AC42" s="8">
        <f t="shared" si="10"/>
        <v>3611.264000000001</v>
      </c>
      <c r="AD42" s="80">
        <v>1</v>
      </c>
      <c r="AE42" s="15">
        <f t="shared" si="1"/>
        <v>4055.264000000001</v>
      </c>
      <c r="AF42" s="43">
        <f t="shared" si="2"/>
        <v>14929.2</v>
      </c>
      <c r="AT42" s="1"/>
      <c r="AU42" s="27">
        <f t="shared" si="15"/>
        <v>0.15400000000000003</v>
      </c>
      <c r="AV42" s="27">
        <f t="shared" si="16"/>
        <v>0</v>
      </c>
      <c r="AW42" s="35">
        <f t="shared" si="17"/>
        <v>0</v>
      </c>
    </row>
    <row r="43" spans="1:120" ht="17.5" customHeight="1" x14ac:dyDescent="0.2">
      <c r="C43" s="54" t="s">
        <v>168</v>
      </c>
      <c r="D43">
        <f t="shared" si="18"/>
        <v>56.370517158047363</v>
      </c>
      <c r="E43" t="e">
        <f t="shared" si="20"/>
        <v>#DIV/0!</v>
      </c>
      <c r="F43">
        <v>7.6</v>
      </c>
      <c r="H43" s="22">
        <v>7316</v>
      </c>
      <c r="I43">
        <v>50</v>
      </c>
      <c r="J43">
        <f t="shared" si="5"/>
        <v>1276.8</v>
      </c>
      <c r="K43">
        <v>150</v>
      </c>
      <c r="L43">
        <f t="shared" si="6"/>
        <v>2016</v>
      </c>
      <c r="M43">
        <v>50</v>
      </c>
      <c r="N43">
        <v>30</v>
      </c>
      <c r="O43">
        <v>910</v>
      </c>
      <c r="P43">
        <f t="shared" si="7"/>
        <v>235.976</v>
      </c>
      <c r="Q43">
        <v>100</v>
      </c>
      <c r="S43">
        <f t="shared" si="8"/>
        <v>12134.776</v>
      </c>
      <c r="T43">
        <f t="shared" si="19"/>
        <v>15373.2</v>
      </c>
      <c r="U43">
        <v>16800</v>
      </c>
      <c r="V43" s="46">
        <f t="shared" si="9"/>
        <v>4665.2240000000002</v>
      </c>
      <c r="X43"/>
      <c r="Z43">
        <f t="shared" si="0"/>
        <v>0</v>
      </c>
      <c r="AA43" s="130"/>
      <c r="AB43" s="84"/>
      <c r="AC43" s="8">
        <f t="shared" si="10"/>
        <v>0</v>
      </c>
      <c r="AD43" s="142">
        <v>0</v>
      </c>
      <c r="AE43" s="15">
        <f t="shared" si="1"/>
        <v>0</v>
      </c>
      <c r="AF43" s="43">
        <f t="shared" si="2"/>
        <v>0</v>
      </c>
      <c r="AT43" s="1"/>
      <c r="AU43" s="27">
        <f t="shared" si="15"/>
        <v>0.15400000000000003</v>
      </c>
      <c r="AV43" s="27">
        <f t="shared" si="16"/>
        <v>0</v>
      </c>
      <c r="AW43" s="35">
        <f t="shared" si="17"/>
        <v>0</v>
      </c>
    </row>
    <row r="44" spans="1:120" ht="17.5" customHeight="1" x14ac:dyDescent="0.2">
      <c r="C44" s="54" t="s">
        <v>171</v>
      </c>
      <c r="D44">
        <f t="shared" si="18"/>
        <v>26.808682068568626</v>
      </c>
      <c r="E44" t="e">
        <f t="shared" si="20"/>
        <v>#DIV/0!</v>
      </c>
      <c r="F44">
        <v>7.6</v>
      </c>
      <c r="H44" s="22">
        <v>11203</v>
      </c>
      <c r="I44">
        <v>50</v>
      </c>
      <c r="J44">
        <f t="shared" si="5"/>
        <v>1520</v>
      </c>
      <c r="K44">
        <v>150</v>
      </c>
      <c r="L44">
        <f t="shared" si="6"/>
        <v>2400</v>
      </c>
      <c r="M44">
        <v>50</v>
      </c>
      <c r="N44">
        <v>30</v>
      </c>
      <c r="O44">
        <v>910</v>
      </c>
      <c r="P44">
        <f t="shared" si="7"/>
        <v>326.26</v>
      </c>
      <c r="Q44">
        <v>100</v>
      </c>
      <c r="S44">
        <f t="shared" si="8"/>
        <v>16739.259999999998</v>
      </c>
      <c r="T44">
        <f t="shared" si="19"/>
        <v>18330</v>
      </c>
      <c r="U44">
        <v>20000</v>
      </c>
      <c r="V44" s="46">
        <f t="shared" si="9"/>
        <v>3260.7400000000016</v>
      </c>
      <c r="X44"/>
      <c r="Z44">
        <f t="shared" si="0"/>
        <v>0</v>
      </c>
      <c r="AA44" s="130"/>
      <c r="AB44" s="84"/>
      <c r="AC44" s="8">
        <f t="shared" si="10"/>
        <v>0</v>
      </c>
      <c r="AD44" s="142">
        <v>0</v>
      </c>
      <c r="AE44" s="15">
        <f t="shared" si="1"/>
        <v>0</v>
      </c>
      <c r="AF44" s="43">
        <f t="shared" si="2"/>
        <v>0</v>
      </c>
      <c r="AT44" s="1"/>
      <c r="AU44" s="27">
        <f t="shared" si="15"/>
        <v>0.15400000000000003</v>
      </c>
      <c r="AV44" s="27">
        <f t="shared" si="16"/>
        <v>0</v>
      </c>
      <c r="AW44" s="35">
        <f t="shared" si="17"/>
        <v>0</v>
      </c>
    </row>
    <row r="45" spans="1:120" ht="17.5" customHeight="1" x14ac:dyDescent="0.2">
      <c r="C45" s="54" t="s">
        <v>98</v>
      </c>
      <c r="D45">
        <f t="shared" si="18"/>
        <v>26.808682068568626</v>
      </c>
      <c r="E45" t="e">
        <f t="shared" si="20"/>
        <v>#DIV/0!</v>
      </c>
      <c r="F45">
        <v>7.6</v>
      </c>
      <c r="H45" s="22">
        <v>11203</v>
      </c>
      <c r="I45">
        <v>50</v>
      </c>
      <c r="J45">
        <f t="shared" si="5"/>
        <v>1520</v>
      </c>
      <c r="K45">
        <v>150</v>
      </c>
      <c r="L45">
        <f t="shared" si="6"/>
        <v>2400</v>
      </c>
      <c r="M45">
        <v>50</v>
      </c>
      <c r="N45">
        <v>30</v>
      </c>
      <c r="O45">
        <v>910</v>
      </c>
      <c r="P45">
        <f t="shared" si="7"/>
        <v>326.26</v>
      </c>
      <c r="Q45">
        <v>100</v>
      </c>
      <c r="S45">
        <f t="shared" si="8"/>
        <v>16739.259999999998</v>
      </c>
      <c r="T45">
        <f t="shared" si="19"/>
        <v>18330</v>
      </c>
      <c r="U45">
        <v>20000</v>
      </c>
      <c r="V45" s="46">
        <f t="shared" si="9"/>
        <v>3260.7400000000016</v>
      </c>
      <c r="X45"/>
      <c r="Z45">
        <f t="shared" si="0"/>
        <v>0</v>
      </c>
      <c r="AA45" s="130"/>
      <c r="AB45" s="84"/>
      <c r="AC45" s="8">
        <f t="shared" si="10"/>
        <v>0</v>
      </c>
      <c r="AD45" s="142">
        <v>0</v>
      </c>
      <c r="AE45" s="15">
        <f t="shared" si="1"/>
        <v>0</v>
      </c>
      <c r="AF45" s="43">
        <f t="shared" si="2"/>
        <v>0</v>
      </c>
      <c r="AT45" s="1"/>
      <c r="AU45" s="27">
        <f t="shared" si="15"/>
        <v>0.15400000000000003</v>
      </c>
      <c r="AV45" s="27">
        <f t="shared" si="16"/>
        <v>0</v>
      </c>
      <c r="AW45" s="35">
        <f t="shared" si="17"/>
        <v>0</v>
      </c>
      <c r="DP45" t="s">
        <v>110</v>
      </c>
    </row>
    <row r="46" spans="1:120" ht="17.5" customHeight="1" thickBot="1" x14ac:dyDescent="0.25">
      <c r="C46" s="55" t="s">
        <v>169</v>
      </c>
      <c r="D46">
        <f t="shared" si="18"/>
        <v>26.808682068568626</v>
      </c>
      <c r="E46" t="e">
        <f t="shared" si="20"/>
        <v>#DIV/0!</v>
      </c>
      <c r="F46">
        <v>7.6</v>
      </c>
      <c r="H46" s="22">
        <v>11203</v>
      </c>
      <c r="I46">
        <v>50</v>
      </c>
      <c r="J46">
        <f t="shared" si="5"/>
        <v>1520</v>
      </c>
      <c r="K46">
        <v>150</v>
      </c>
      <c r="L46">
        <f t="shared" si="6"/>
        <v>2400</v>
      </c>
      <c r="M46">
        <v>50</v>
      </c>
      <c r="N46">
        <v>30</v>
      </c>
      <c r="O46">
        <v>910</v>
      </c>
      <c r="P46">
        <f t="shared" si="7"/>
        <v>326.26</v>
      </c>
      <c r="Q46">
        <v>100</v>
      </c>
      <c r="S46">
        <f t="shared" si="8"/>
        <v>16739.259999999998</v>
      </c>
      <c r="T46">
        <f t="shared" si="19"/>
        <v>18330</v>
      </c>
      <c r="U46" s="14">
        <v>20000</v>
      </c>
      <c r="V46" s="46">
        <f t="shared" si="9"/>
        <v>3260.7400000000016</v>
      </c>
      <c r="Z46">
        <f t="shared" si="0"/>
        <v>0</v>
      </c>
      <c r="AA46" s="130"/>
      <c r="AB46" s="85"/>
      <c r="AC46" s="8">
        <f t="shared" si="10"/>
        <v>0</v>
      </c>
      <c r="AD46" s="142">
        <v>0</v>
      </c>
      <c r="AE46" s="15">
        <f t="shared" si="1"/>
        <v>0</v>
      </c>
      <c r="AF46" s="43">
        <f t="shared" si="2"/>
        <v>0</v>
      </c>
      <c r="AT46" s="1"/>
      <c r="AU46" s="27">
        <f t="shared" si="15"/>
        <v>0.15400000000000003</v>
      </c>
      <c r="AV46" s="27">
        <f t="shared" si="16"/>
        <v>0</v>
      </c>
      <c r="AW46" s="35">
        <f t="shared" si="17"/>
        <v>0</v>
      </c>
    </row>
    <row r="47" spans="1:120" ht="17.5" customHeight="1" x14ac:dyDescent="0.2">
      <c r="C47" s="46" t="s">
        <v>225</v>
      </c>
      <c r="D47">
        <f t="shared" si="18"/>
        <v>46.480727554179566</v>
      </c>
      <c r="E47" t="e">
        <f t="shared" si="20"/>
        <v>#DIV/0!</v>
      </c>
      <c r="F47">
        <v>7.6</v>
      </c>
      <c r="H47">
        <v>9376</v>
      </c>
      <c r="I47">
        <v>50</v>
      </c>
      <c r="J47">
        <f t="shared" si="5"/>
        <v>1489.6</v>
      </c>
      <c r="K47">
        <v>150</v>
      </c>
      <c r="L47">
        <f t="shared" si="6"/>
        <v>2352</v>
      </c>
      <c r="M47">
        <v>50</v>
      </c>
      <c r="N47">
        <v>30</v>
      </c>
      <c r="O47">
        <v>910</v>
      </c>
      <c r="P47">
        <f t="shared" si="7"/>
        <v>288.15199999999999</v>
      </c>
      <c r="Q47">
        <v>100</v>
      </c>
      <c r="S47">
        <f t="shared" si="8"/>
        <v>14795.752</v>
      </c>
      <c r="T47">
        <f t="shared" si="19"/>
        <v>17960.400000000001</v>
      </c>
      <c r="U47" s="14">
        <v>19600</v>
      </c>
      <c r="V47" s="46">
        <f t="shared" si="9"/>
        <v>4804.2479999999996</v>
      </c>
      <c r="Z47">
        <f t="shared" si="0"/>
        <v>0</v>
      </c>
      <c r="AA47" s="130">
        <v>1031</v>
      </c>
      <c r="AB47" s="11">
        <f>SUM(AC47:AC49)</f>
        <v>-1031</v>
      </c>
      <c r="AC47" s="8">
        <f t="shared" si="10"/>
        <v>-1031</v>
      </c>
      <c r="AD47" s="135">
        <v>0</v>
      </c>
      <c r="AE47" s="15">
        <f t="shared" si="1"/>
        <v>0</v>
      </c>
      <c r="AF47" s="43">
        <f t="shared" si="2"/>
        <v>-1031</v>
      </c>
      <c r="AT47" s="1"/>
      <c r="AU47" s="27">
        <f t="shared" si="15"/>
        <v>0.15400000000000003</v>
      </c>
      <c r="AV47" s="27">
        <f t="shared" si="16"/>
        <v>0</v>
      </c>
      <c r="AW47" s="35">
        <f t="shared" si="17"/>
        <v>0</v>
      </c>
    </row>
    <row r="48" spans="1:120" ht="17.5" customHeight="1" thickBot="1" x14ac:dyDescent="0.25">
      <c r="C48" s="46" t="s">
        <v>227</v>
      </c>
      <c r="D48">
        <f t="shared" si="18"/>
        <v>10.170675105485236</v>
      </c>
      <c r="E48" t="e">
        <f t="shared" si="20"/>
        <v>#DIV/0!</v>
      </c>
      <c r="F48">
        <v>7.6</v>
      </c>
      <c r="H48" s="22">
        <v>18000</v>
      </c>
      <c r="I48">
        <v>50</v>
      </c>
      <c r="J48">
        <f t="shared" si="5"/>
        <v>2052</v>
      </c>
      <c r="K48">
        <v>150</v>
      </c>
      <c r="L48">
        <f t="shared" si="6"/>
        <v>3240</v>
      </c>
      <c r="M48">
        <v>50</v>
      </c>
      <c r="N48">
        <v>30</v>
      </c>
      <c r="O48">
        <v>910</v>
      </c>
      <c r="P48">
        <f t="shared" si="7"/>
        <v>489.64</v>
      </c>
      <c r="Q48">
        <v>100</v>
      </c>
      <c r="S48">
        <f t="shared" si="8"/>
        <v>25071.64</v>
      </c>
      <c r="T48">
        <f t="shared" si="19"/>
        <v>24798</v>
      </c>
      <c r="U48" s="14">
        <v>27000</v>
      </c>
      <c r="V48" s="46">
        <f t="shared" si="9"/>
        <v>1928.3600000000006</v>
      </c>
      <c r="Y48">
        <v>0</v>
      </c>
      <c r="Z48">
        <f t="shared" si="0"/>
        <v>0</v>
      </c>
      <c r="AA48" s="130"/>
      <c r="AC48" s="8">
        <f t="shared" si="10"/>
        <v>0</v>
      </c>
      <c r="AD48" s="135">
        <v>0</v>
      </c>
      <c r="AE48" s="15">
        <f t="shared" si="1"/>
        <v>0</v>
      </c>
      <c r="AF48" s="43">
        <f t="shared" si="2"/>
        <v>0</v>
      </c>
      <c r="AT48" s="1"/>
      <c r="AU48" s="27">
        <f t="shared" si="15"/>
        <v>0.15400000000000003</v>
      </c>
      <c r="AV48" s="27">
        <f t="shared" si="16"/>
        <v>0</v>
      </c>
      <c r="AW48" s="35">
        <f t="shared" si="17"/>
        <v>0</v>
      </c>
    </row>
    <row r="49" spans="1:120" ht="17.5" customHeight="1" thickBot="1" x14ac:dyDescent="0.25">
      <c r="C49" s="46" t="s">
        <v>226</v>
      </c>
      <c r="D49">
        <f t="shared" si="18"/>
        <v>38.991229946524086</v>
      </c>
      <c r="E49" t="e">
        <f t="shared" si="20"/>
        <v>#DIV/0!</v>
      </c>
      <c r="F49">
        <v>7.6</v>
      </c>
      <c r="H49" s="14">
        <v>14374</v>
      </c>
      <c r="I49">
        <v>50</v>
      </c>
      <c r="J49">
        <f t="shared" si="5"/>
        <v>2085.44</v>
      </c>
      <c r="K49">
        <v>150</v>
      </c>
      <c r="L49">
        <f t="shared" si="6"/>
        <v>3292.7999999999997</v>
      </c>
      <c r="M49">
        <v>50</v>
      </c>
      <c r="N49">
        <v>30</v>
      </c>
      <c r="O49">
        <v>910</v>
      </c>
      <c r="P49">
        <f t="shared" si="7"/>
        <v>418.84479999999996</v>
      </c>
      <c r="Q49">
        <v>100</v>
      </c>
      <c r="S49">
        <f t="shared" si="8"/>
        <v>21461.084799999997</v>
      </c>
      <c r="T49">
        <f t="shared" si="19"/>
        <v>25204.560000000001</v>
      </c>
      <c r="U49" s="14">
        <v>27440</v>
      </c>
      <c r="V49" s="46">
        <f t="shared" si="9"/>
        <v>5978.9152000000031</v>
      </c>
      <c r="Z49">
        <f t="shared" si="0"/>
        <v>0</v>
      </c>
      <c r="AA49" s="130">
        <v>0</v>
      </c>
      <c r="AB49" s="83">
        <f>SUM(AC50:AC56)</f>
        <v>5059.201600000004</v>
      </c>
      <c r="AC49" s="8">
        <f t="shared" si="10"/>
        <v>0</v>
      </c>
      <c r="AD49" s="135">
        <v>0</v>
      </c>
      <c r="AE49" s="15">
        <f t="shared" si="1"/>
        <v>0</v>
      </c>
      <c r="AF49" s="43">
        <f t="shared" si="2"/>
        <v>0</v>
      </c>
      <c r="AT49" s="1"/>
      <c r="AU49" s="27">
        <f t="shared" si="15"/>
        <v>0.15400000000000003</v>
      </c>
      <c r="AV49" s="27">
        <f t="shared" si="16"/>
        <v>0</v>
      </c>
      <c r="AW49" s="35">
        <f t="shared" si="17"/>
        <v>0</v>
      </c>
    </row>
    <row r="50" spans="1:120" ht="17.5" customHeight="1" x14ac:dyDescent="0.2">
      <c r="A50" s="52">
        <v>6</v>
      </c>
      <c r="B50" s="52"/>
      <c r="C50" s="53" t="s">
        <v>118</v>
      </c>
      <c r="D50" s="52">
        <f t="shared" si="18"/>
        <v>24.362444810543657</v>
      </c>
      <c r="E50" s="52">
        <f t="shared" si="20"/>
        <v>14.834280914558944</v>
      </c>
      <c r="F50" s="52">
        <v>7.6</v>
      </c>
      <c r="G50" s="52"/>
      <c r="H50" s="52">
        <v>5135</v>
      </c>
      <c r="I50" s="52">
        <v>25</v>
      </c>
      <c r="J50">
        <f t="shared" si="5"/>
        <v>760.38</v>
      </c>
      <c r="K50">
        <v>150</v>
      </c>
      <c r="L50">
        <f t="shared" si="6"/>
        <v>1200.5999999999999</v>
      </c>
      <c r="M50" s="52">
        <v>50</v>
      </c>
      <c r="N50" s="52">
        <v>30</v>
      </c>
      <c r="O50" s="52">
        <v>910</v>
      </c>
      <c r="P50">
        <f t="shared" si="7"/>
        <v>165.21959999999999</v>
      </c>
      <c r="Q50" s="52">
        <v>100</v>
      </c>
      <c r="R50" s="52"/>
      <c r="S50">
        <f t="shared" si="8"/>
        <v>8526.1995999999999</v>
      </c>
      <c r="T50" s="52">
        <f t="shared" si="19"/>
        <v>9094.6200000000008</v>
      </c>
      <c r="U50" s="52">
        <v>10005</v>
      </c>
      <c r="V50" s="46">
        <f t="shared" si="9"/>
        <v>1478.8004000000001</v>
      </c>
      <c r="W50" s="52"/>
      <c r="X50" s="52"/>
      <c r="Y50" s="52"/>
      <c r="Z50">
        <f t="shared" si="0"/>
        <v>30463.278399999999</v>
      </c>
      <c r="AA50" s="130">
        <v>856</v>
      </c>
      <c r="AB50" s="84"/>
      <c r="AC50" s="8">
        <f t="shared" si="10"/>
        <v>5059.201600000004</v>
      </c>
      <c r="AD50" s="80">
        <v>4</v>
      </c>
      <c r="AE50" s="15">
        <f t="shared" si="1"/>
        <v>5915.2016000000003</v>
      </c>
      <c r="AF50" s="43">
        <f t="shared" si="2"/>
        <v>35522.480000000003</v>
      </c>
      <c r="AO50" s="52">
        <v>0</v>
      </c>
      <c r="AP50" s="52">
        <v>0</v>
      </c>
      <c r="AQ50" s="52">
        <f t="shared" ref="AQ50" si="22">AO50-AP50</f>
        <v>0</v>
      </c>
      <c r="AR50" s="60">
        <f t="shared" ref="AR50" si="23">AQ50-AS50</f>
        <v>0</v>
      </c>
      <c r="AS50" s="52">
        <v>0</v>
      </c>
      <c r="AT50" s="70">
        <v>6</v>
      </c>
      <c r="AU50" s="27">
        <f t="shared" si="15"/>
        <v>0.15400000000000003</v>
      </c>
      <c r="AV50" s="27">
        <f t="shared" si="16"/>
        <v>0.92400000000000015</v>
      </c>
      <c r="AW50" s="35">
        <f t="shared" si="17"/>
        <v>0</v>
      </c>
    </row>
    <row r="51" spans="1:120" ht="17.5" customHeight="1" x14ac:dyDescent="0.2">
      <c r="A51">
        <v>51</v>
      </c>
      <c r="C51" s="54" t="s">
        <v>9</v>
      </c>
      <c r="D51">
        <f t="shared" si="18"/>
        <v>40.328896174863374</v>
      </c>
      <c r="E51" t="e">
        <f t="shared" si="20"/>
        <v>#DIV/0!</v>
      </c>
      <c r="F51">
        <v>7.6</v>
      </c>
      <c r="H51">
        <v>6310</v>
      </c>
      <c r="I51">
        <v>100</v>
      </c>
      <c r="J51">
        <f t="shared" si="5"/>
        <v>1021.44</v>
      </c>
      <c r="K51">
        <v>150</v>
      </c>
      <c r="L51">
        <f t="shared" si="6"/>
        <v>1612.8</v>
      </c>
      <c r="M51">
        <v>50</v>
      </c>
      <c r="N51">
        <v>30</v>
      </c>
      <c r="O51">
        <v>910</v>
      </c>
      <c r="P51">
        <f t="shared" si="7"/>
        <v>203.6848</v>
      </c>
      <c r="Q51">
        <v>100</v>
      </c>
      <c r="S51">
        <f t="shared" si="8"/>
        <v>10487.924800000001</v>
      </c>
      <c r="T51">
        <f t="shared" si="19"/>
        <v>12268.56</v>
      </c>
      <c r="U51" s="14">
        <v>13440</v>
      </c>
      <c r="V51" s="46">
        <f t="shared" si="9"/>
        <v>2952.0751999999993</v>
      </c>
      <c r="Z51">
        <f t="shared" si="0"/>
        <v>0</v>
      </c>
      <c r="AA51" s="130"/>
      <c r="AB51" s="84"/>
      <c r="AC51" s="8">
        <f t="shared" si="10"/>
        <v>0</v>
      </c>
      <c r="AD51" s="142">
        <v>0</v>
      </c>
      <c r="AE51" s="15">
        <f t="shared" si="1"/>
        <v>0</v>
      </c>
      <c r="AF51" s="43">
        <f t="shared" si="2"/>
        <v>0</v>
      </c>
      <c r="AQ51" s="14"/>
      <c r="AR51" s="15"/>
      <c r="AS51" s="14"/>
      <c r="AT51" s="1"/>
      <c r="AU51" s="27">
        <f t="shared" si="15"/>
        <v>0.15400000000000003</v>
      </c>
      <c r="AV51" s="27">
        <f t="shared" si="16"/>
        <v>0</v>
      </c>
      <c r="AW51" s="35">
        <f t="shared" si="17"/>
        <v>0</v>
      </c>
    </row>
    <row r="52" spans="1:120" ht="17.5" customHeight="1" x14ac:dyDescent="0.2">
      <c r="A52">
        <v>72</v>
      </c>
      <c r="C52" s="54" t="s">
        <v>21</v>
      </c>
      <c r="D52">
        <f t="shared" si="18"/>
        <v>45.916298633017874</v>
      </c>
      <c r="E52" t="e">
        <f t="shared" si="20"/>
        <v>#DIV/0!</v>
      </c>
      <c r="F52">
        <v>7.6</v>
      </c>
      <c r="H52">
        <v>8500</v>
      </c>
      <c r="I52">
        <v>100</v>
      </c>
      <c r="J52">
        <f t="shared" si="5"/>
        <v>1368</v>
      </c>
      <c r="K52">
        <v>150</v>
      </c>
      <c r="L52">
        <f t="shared" si="6"/>
        <v>2160</v>
      </c>
      <c r="M52">
        <v>50</v>
      </c>
      <c r="N52">
        <v>30</v>
      </c>
      <c r="O52">
        <v>910</v>
      </c>
      <c r="P52">
        <f t="shared" si="7"/>
        <v>265.36</v>
      </c>
      <c r="Q52">
        <v>100</v>
      </c>
      <c r="S52">
        <f t="shared" si="8"/>
        <v>13633.36</v>
      </c>
      <c r="T52">
        <f t="shared" si="19"/>
        <v>16482</v>
      </c>
      <c r="U52" s="14">
        <v>18000</v>
      </c>
      <c r="V52" s="46">
        <f t="shared" si="9"/>
        <v>4366.6399999999994</v>
      </c>
      <c r="Z52">
        <f t="shared" si="0"/>
        <v>0</v>
      </c>
      <c r="AA52" s="130"/>
      <c r="AB52" s="84"/>
      <c r="AC52" s="8">
        <f t="shared" si="10"/>
        <v>0</v>
      </c>
      <c r="AD52" s="80">
        <v>0</v>
      </c>
      <c r="AE52" s="15">
        <f t="shared" si="1"/>
        <v>0</v>
      </c>
      <c r="AF52" s="43">
        <f t="shared" si="2"/>
        <v>0</v>
      </c>
      <c r="AQ52" s="14"/>
      <c r="AR52" s="15"/>
      <c r="AS52" s="14"/>
      <c r="AT52" s="1"/>
      <c r="AU52" s="27">
        <f t="shared" si="15"/>
        <v>0.15400000000000003</v>
      </c>
      <c r="AV52" s="27">
        <f t="shared" si="16"/>
        <v>0</v>
      </c>
      <c r="AW52" s="35">
        <f t="shared" si="17"/>
        <v>0</v>
      </c>
    </row>
    <row r="53" spans="1:120" ht="17.5" customHeight="1" x14ac:dyDescent="0.2">
      <c r="A53">
        <v>10</v>
      </c>
      <c r="C53" s="54" t="s">
        <v>4</v>
      </c>
      <c r="D53">
        <f t="shared" si="18"/>
        <v>42.560998439937599</v>
      </c>
      <c r="E53" t="e">
        <f t="shared" si="20"/>
        <v>#DIV/0!</v>
      </c>
      <c r="F53">
        <v>7.6</v>
      </c>
      <c r="H53">
        <v>5400</v>
      </c>
      <c r="I53">
        <v>100</v>
      </c>
      <c r="J53">
        <f t="shared" si="5"/>
        <v>912</v>
      </c>
      <c r="K53">
        <v>150</v>
      </c>
      <c r="L53">
        <f t="shared" si="6"/>
        <v>1440</v>
      </c>
      <c r="M53">
        <v>50</v>
      </c>
      <c r="N53">
        <v>30</v>
      </c>
      <c r="O53">
        <v>910</v>
      </c>
      <c r="P53">
        <f t="shared" si="7"/>
        <v>179.84</v>
      </c>
      <c r="Q53">
        <v>100</v>
      </c>
      <c r="S53">
        <f t="shared" si="8"/>
        <v>9271.84</v>
      </c>
      <c r="T53">
        <f t="shared" si="19"/>
        <v>10938</v>
      </c>
      <c r="U53" s="14">
        <v>12000</v>
      </c>
      <c r="V53" s="46">
        <f t="shared" si="9"/>
        <v>2728.16</v>
      </c>
      <c r="Z53">
        <f t="shared" si="0"/>
        <v>0</v>
      </c>
      <c r="AA53" s="130"/>
      <c r="AB53" s="84"/>
      <c r="AC53" s="8">
        <f t="shared" si="10"/>
        <v>0</v>
      </c>
      <c r="AD53" s="142">
        <v>0</v>
      </c>
      <c r="AE53" s="15">
        <f t="shared" si="1"/>
        <v>0</v>
      </c>
      <c r="AF53" s="43">
        <f t="shared" si="2"/>
        <v>0</v>
      </c>
      <c r="AQ53" s="14"/>
      <c r="AR53" s="15"/>
      <c r="AS53" s="14"/>
      <c r="AT53" s="1"/>
      <c r="AU53" s="27">
        <f t="shared" si="15"/>
        <v>0.15400000000000003</v>
      </c>
      <c r="AV53" s="27">
        <f t="shared" si="16"/>
        <v>0</v>
      </c>
      <c r="AW53" s="35">
        <f t="shared" si="17"/>
        <v>0</v>
      </c>
    </row>
    <row r="54" spans="1:120" ht="17.5" customHeight="1" x14ac:dyDescent="0.2">
      <c r="A54">
        <v>51</v>
      </c>
      <c r="C54" s="54" t="s">
        <v>174</v>
      </c>
      <c r="D54">
        <f t="shared" si="18"/>
        <v>34.514070351758789</v>
      </c>
      <c r="E54" t="e">
        <f t="shared" si="20"/>
        <v>#DIV/0!</v>
      </c>
      <c r="F54">
        <v>7.6</v>
      </c>
      <c r="H54">
        <v>6950</v>
      </c>
      <c r="I54">
        <v>100</v>
      </c>
      <c r="J54">
        <f t="shared" si="5"/>
        <v>1064</v>
      </c>
      <c r="K54">
        <v>150</v>
      </c>
      <c r="L54">
        <f t="shared" si="6"/>
        <v>1680</v>
      </c>
      <c r="M54">
        <v>50</v>
      </c>
      <c r="N54">
        <v>30</v>
      </c>
      <c r="O54">
        <v>910</v>
      </c>
      <c r="P54">
        <f t="shared" si="7"/>
        <v>218.68</v>
      </c>
      <c r="Q54">
        <v>100</v>
      </c>
      <c r="S54">
        <f t="shared" si="8"/>
        <v>11252.68</v>
      </c>
      <c r="T54">
        <f t="shared" si="19"/>
        <v>12786</v>
      </c>
      <c r="U54" s="14">
        <v>14000</v>
      </c>
      <c r="V54" s="46">
        <f t="shared" si="9"/>
        <v>2747.3199999999997</v>
      </c>
      <c r="Z54">
        <f t="shared" si="0"/>
        <v>0</v>
      </c>
      <c r="AA54" s="130"/>
      <c r="AB54" s="84"/>
      <c r="AC54" s="8">
        <f t="shared" si="10"/>
        <v>0</v>
      </c>
      <c r="AD54" s="80">
        <v>0</v>
      </c>
      <c r="AE54" s="15">
        <f t="shared" si="1"/>
        <v>0</v>
      </c>
      <c r="AF54" s="43">
        <f t="shared" si="2"/>
        <v>0</v>
      </c>
      <c r="AQ54" s="14"/>
      <c r="AR54" s="15"/>
      <c r="AS54" s="14"/>
      <c r="AT54" s="1"/>
      <c r="AU54" s="27">
        <f t="shared" si="15"/>
        <v>0.15400000000000003</v>
      </c>
      <c r="AV54" s="27">
        <f t="shared" si="16"/>
        <v>0</v>
      </c>
      <c r="AW54" s="35">
        <f t="shared" si="17"/>
        <v>0</v>
      </c>
    </row>
    <row r="55" spans="1:120" ht="17.5" customHeight="1" x14ac:dyDescent="0.2">
      <c r="C55" s="54" t="s">
        <v>175</v>
      </c>
      <c r="D55">
        <f t="shared" si="18"/>
        <v>45.916298633017874</v>
      </c>
      <c r="E55" t="e">
        <f t="shared" si="20"/>
        <v>#DIV/0!</v>
      </c>
      <c r="F55">
        <v>7.6</v>
      </c>
      <c r="H55" s="30">
        <v>8500</v>
      </c>
      <c r="I55">
        <v>100</v>
      </c>
      <c r="J55">
        <f t="shared" si="5"/>
        <v>1368</v>
      </c>
      <c r="K55">
        <v>150</v>
      </c>
      <c r="L55">
        <f t="shared" si="6"/>
        <v>2160</v>
      </c>
      <c r="M55">
        <v>50</v>
      </c>
      <c r="N55">
        <v>30</v>
      </c>
      <c r="O55">
        <v>910</v>
      </c>
      <c r="P55">
        <f t="shared" si="7"/>
        <v>265.36</v>
      </c>
      <c r="Q55">
        <v>100</v>
      </c>
      <c r="S55">
        <f t="shared" si="8"/>
        <v>13633.36</v>
      </c>
      <c r="T55">
        <f t="shared" si="19"/>
        <v>16482</v>
      </c>
      <c r="U55" s="14">
        <v>18000</v>
      </c>
      <c r="V55" s="46">
        <f t="shared" si="9"/>
        <v>4366.6399999999994</v>
      </c>
      <c r="Z55">
        <f t="shared" si="0"/>
        <v>0</v>
      </c>
      <c r="AA55" s="130"/>
      <c r="AB55" s="84"/>
      <c r="AC55" s="8">
        <f t="shared" si="10"/>
        <v>0</v>
      </c>
      <c r="AD55" s="142">
        <v>0</v>
      </c>
      <c r="AE55" s="15">
        <f t="shared" si="1"/>
        <v>0</v>
      </c>
      <c r="AF55" s="43">
        <f t="shared" si="2"/>
        <v>0</v>
      </c>
      <c r="AQ55" s="14"/>
      <c r="AR55" s="15"/>
      <c r="AS55" s="14"/>
      <c r="AT55" s="1"/>
      <c r="AU55" s="27">
        <f t="shared" si="15"/>
        <v>0.15400000000000003</v>
      </c>
      <c r="AV55" s="27">
        <f t="shared" si="16"/>
        <v>0</v>
      </c>
      <c r="AW55" s="35">
        <f t="shared" si="17"/>
        <v>0</v>
      </c>
    </row>
    <row r="56" spans="1:120" ht="17.5" customHeight="1" thickBot="1" x14ac:dyDescent="0.25">
      <c r="A56">
        <v>41</v>
      </c>
      <c r="C56" s="55" t="s">
        <v>158</v>
      </c>
      <c r="D56">
        <f t="shared" si="18"/>
        <v>28.081368316174022</v>
      </c>
      <c r="E56" t="e">
        <f t="shared" si="20"/>
        <v>#DIV/0!</v>
      </c>
      <c r="F56">
        <v>7.6</v>
      </c>
      <c r="H56">
        <v>11034</v>
      </c>
      <c r="I56">
        <v>100</v>
      </c>
      <c r="J56">
        <f t="shared" si="5"/>
        <v>1520</v>
      </c>
      <c r="K56">
        <v>150</v>
      </c>
      <c r="L56">
        <f t="shared" si="6"/>
        <v>2400</v>
      </c>
      <c r="M56">
        <v>50</v>
      </c>
      <c r="N56">
        <v>30</v>
      </c>
      <c r="O56">
        <v>910</v>
      </c>
      <c r="P56">
        <f t="shared" si="7"/>
        <v>323.88</v>
      </c>
      <c r="Q56">
        <v>100</v>
      </c>
      <c r="S56">
        <f t="shared" si="8"/>
        <v>16617.88</v>
      </c>
      <c r="T56">
        <f t="shared" si="19"/>
        <v>18330</v>
      </c>
      <c r="U56" s="14">
        <v>20000</v>
      </c>
      <c r="V56" s="46">
        <f t="shared" si="9"/>
        <v>3382.119999999999</v>
      </c>
      <c r="Z56">
        <f t="shared" si="0"/>
        <v>0</v>
      </c>
      <c r="AA56" s="130"/>
      <c r="AB56" s="85"/>
      <c r="AC56" s="8">
        <f t="shared" si="10"/>
        <v>0</v>
      </c>
      <c r="AD56" s="142">
        <v>0</v>
      </c>
      <c r="AE56" s="15">
        <f t="shared" si="1"/>
        <v>0</v>
      </c>
      <c r="AF56" s="43">
        <f t="shared" si="2"/>
        <v>0</v>
      </c>
      <c r="AQ56" s="14"/>
      <c r="AR56" s="15"/>
      <c r="AS56" s="14"/>
      <c r="AT56" s="1"/>
      <c r="AU56" s="27">
        <f t="shared" si="15"/>
        <v>0.15400000000000003</v>
      </c>
      <c r="AV56" s="27">
        <f t="shared" si="16"/>
        <v>0</v>
      </c>
      <c r="AW56" s="35">
        <f t="shared" si="17"/>
        <v>0</v>
      </c>
    </row>
    <row r="57" spans="1:120" ht="17.5" customHeight="1" x14ac:dyDescent="0.2">
      <c r="C57" s="14" t="s">
        <v>262</v>
      </c>
      <c r="D57">
        <f t="shared" si="18"/>
        <v>1.8440506329113768</v>
      </c>
      <c r="E57" t="e">
        <f t="shared" si="20"/>
        <v>#DIV/0!</v>
      </c>
      <c r="F57">
        <v>7.6</v>
      </c>
      <c r="H57">
        <v>14000</v>
      </c>
      <c r="I57">
        <v>100</v>
      </c>
      <c r="J57">
        <f t="shared" si="5"/>
        <v>1512.4</v>
      </c>
      <c r="K57">
        <v>150</v>
      </c>
      <c r="L57">
        <f t="shared" si="6"/>
        <v>2388</v>
      </c>
      <c r="M57">
        <v>50</v>
      </c>
      <c r="N57">
        <v>30</v>
      </c>
      <c r="O57">
        <v>910</v>
      </c>
      <c r="P57">
        <f t="shared" si="7"/>
        <v>382.80800000000005</v>
      </c>
      <c r="Q57">
        <v>100</v>
      </c>
      <c r="S57">
        <f t="shared" si="8"/>
        <v>19623.208000000002</v>
      </c>
      <c r="T57">
        <f t="shared" si="19"/>
        <v>18237.599999999999</v>
      </c>
      <c r="U57" s="14">
        <v>19900</v>
      </c>
      <c r="V57" s="46">
        <f t="shared" si="9"/>
        <v>276.79199999999764</v>
      </c>
      <c r="Z57">
        <f t="shared" si="0"/>
        <v>0</v>
      </c>
      <c r="AA57" s="130"/>
      <c r="AB57" s="86">
        <f>SUM(AC57:AC74)</f>
        <v>-992.42079999999987</v>
      </c>
      <c r="AC57" s="8">
        <f t="shared" si="10"/>
        <v>0</v>
      </c>
      <c r="AD57" s="135">
        <v>0</v>
      </c>
      <c r="AE57" s="15">
        <f t="shared" si="1"/>
        <v>0</v>
      </c>
      <c r="AF57" s="43">
        <f t="shared" si="2"/>
        <v>0</v>
      </c>
      <c r="AQ57" s="14"/>
      <c r="AR57" s="15"/>
      <c r="AS57" s="14"/>
      <c r="AT57" s="1"/>
      <c r="AU57" s="27">
        <f t="shared" si="15"/>
        <v>0.15400000000000003</v>
      </c>
      <c r="AV57" s="27">
        <f t="shared" si="16"/>
        <v>0</v>
      </c>
      <c r="AW57" s="35">
        <f t="shared" si="17"/>
        <v>0</v>
      </c>
    </row>
    <row r="58" spans="1:120" ht="17.5" customHeight="1" x14ac:dyDescent="0.2">
      <c r="C58" s="14" t="s">
        <v>218</v>
      </c>
      <c r="F58">
        <v>7.6</v>
      </c>
      <c r="J58">
        <f t="shared" si="5"/>
        <v>0</v>
      </c>
      <c r="K58">
        <v>150</v>
      </c>
      <c r="L58">
        <f t="shared" si="6"/>
        <v>0</v>
      </c>
      <c r="P58">
        <f t="shared" si="7"/>
        <v>3</v>
      </c>
      <c r="S58">
        <f t="shared" si="8"/>
        <v>153</v>
      </c>
      <c r="V58" s="46">
        <f t="shared" si="9"/>
        <v>-153</v>
      </c>
      <c r="Z58">
        <f t="shared" si="0"/>
        <v>0</v>
      </c>
      <c r="AA58" s="130">
        <v>0</v>
      </c>
      <c r="AC58" s="8">
        <f t="shared" si="10"/>
        <v>0</v>
      </c>
      <c r="AD58" s="135">
        <v>0</v>
      </c>
      <c r="AE58" s="15">
        <f t="shared" si="1"/>
        <v>0</v>
      </c>
      <c r="AF58" s="43">
        <f t="shared" si="2"/>
        <v>0</v>
      </c>
      <c r="AQ58" s="14"/>
      <c r="AR58" s="15"/>
      <c r="AS58" s="14"/>
      <c r="AT58" s="1"/>
      <c r="AU58" s="27">
        <f t="shared" si="15"/>
        <v>0.15400000000000003</v>
      </c>
      <c r="AV58" s="27">
        <f t="shared" si="16"/>
        <v>0</v>
      </c>
      <c r="AW58" s="35">
        <f t="shared" si="17"/>
        <v>0</v>
      </c>
    </row>
    <row r="59" spans="1:120" ht="17.5" customHeight="1" x14ac:dyDescent="0.2">
      <c r="C59" s="46" t="s">
        <v>232</v>
      </c>
      <c r="F59">
        <v>7.6</v>
      </c>
      <c r="H59">
        <v>15000</v>
      </c>
      <c r="I59">
        <v>100</v>
      </c>
      <c r="J59">
        <f t="shared" si="5"/>
        <v>1646.0079999999998</v>
      </c>
      <c r="K59">
        <v>150</v>
      </c>
      <c r="L59">
        <f t="shared" si="6"/>
        <v>2598.96</v>
      </c>
      <c r="M59">
        <v>50</v>
      </c>
      <c r="N59">
        <v>30</v>
      </c>
      <c r="O59">
        <v>910</v>
      </c>
      <c r="P59">
        <f t="shared" si="7"/>
        <v>409.69936000000001</v>
      </c>
      <c r="Q59">
        <v>100</v>
      </c>
      <c r="S59">
        <f t="shared" si="8"/>
        <v>20994.667359999999</v>
      </c>
      <c r="U59" s="14">
        <v>21658</v>
      </c>
      <c r="V59" s="46">
        <f t="shared" si="9"/>
        <v>663.33264000000054</v>
      </c>
      <c r="Z59">
        <f t="shared" si="0"/>
        <v>0</v>
      </c>
      <c r="AA59" s="130">
        <v>0</v>
      </c>
      <c r="AB59" s="11">
        <v>0</v>
      </c>
      <c r="AC59" s="8">
        <f t="shared" si="10"/>
        <v>0</v>
      </c>
      <c r="AD59" s="135">
        <v>0</v>
      </c>
      <c r="AE59" s="15">
        <f t="shared" si="1"/>
        <v>0</v>
      </c>
      <c r="AF59" s="43">
        <f t="shared" si="2"/>
        <v>0</v>
      </c>
      <c r="AQ59" s="14"/>
      <c r="AR59" s="15"/>
      <c r="AS59" s="14"/>
      <c r="AT59" s="1"/>
      <c r="AU59" s="27">
        <f t="shared" si="15"/>
        <v>0.15400000000000003</v>
      </c>
      <c r="AV59" s="27">
        <f t="shared" si="16"/>
        <v>0</v>
      </c>
      <c r="AW59" s="35">
        <f t="shared" si="17"/>
        <v>0</v>
      </c>
    </row>
    <row r="60" spans="1:120" ht="17.5" customHeight="1" x14ac:dyDescent="0.2">
      <c r="A60">
        <v>44</v>
      </c>
      <c r="C60" s="121" t="s">
        <v>261</v>
      </c>
      <c r="D60">
        <f t="shared" ref="D60:D64" si="24">V60/((H60+I60+O60)/100)</f>
        <v>15.228123213718623</v>
      </c>
      <c r="E60" t="e">
        <f>AC60/AD60/(S60/100)</f>
        <v>#DIV/0!</v>
      </c>
      <c r="F60">
        <v>7.6</v>
      </c>
      <c r="H60">
        <v>8437</v>
      </c>
      <c r="I60">
        <v>100</v>
      </c>
      <c r="J60">
        <f t="shared" si="5"/>
        <v>1083.76</v>
      </c>
      <c r="K60">
        <v>150</v>
      </c>
      <c r="L60">
        <f t="shared" si="6"/>
        <v>1711.2</v>
      </c>
      <c r="M60">
        <v>50</v>
      </c>
      <c r="N60">
        <v>30</v>
      </c>
      <c r="O60">
        <v>910</v>
      </c>
      <c r="P60">
        <f t="shared" si="7"/>
        <v>249.43920000000003</v>
      </c>
      <c r="Q60">
        <v>100</v>
      </c>
      <c r="S60">
        <f t="shared" si="8"/>
        <v>12821.399200000002</v>
      </c>
      <c r="T60">
        <f t="shared" ref="T60:T65" si="25">U60-J60-K60</f>
        <v>13026.24</v>
      </c>
      <c r="U60">
        <v>14260</v>
      </c>
      <c r="V60" s="46">
        <f t="shared" si="9"/>
        <v>1438.6007999999983</v>
      </c>
      <c r="X60"/>
      <c r="Z60">
        <f t="shared" si="0"/>
        <v>0</v>
      </c>
      <c r="AA60" s="130">
        <v>190</v>
      </c>
      <c r="AC60" s="8">
        <f t="shared" si="10"/>
        <v>-190</v>
      </c>
      <c r="AD60" s="135">
        <v>0</v>
      </c>
      <c r="AE60" s="15">
        <f t="shared" si="1"/>
        <v>0</v>
      </c>
      <c r="AF60" s="43">
        <f t="shared" si="2"/>
        <v>-190</v>
      </c>
      <c r="AO60">
        <v>7</v>
      </c>
      <c r="AP60">
        <v>7</v>
      </c>
      <c r="AQ60" s="14"/>
      <c r="AR60" s="15"/>
      <c r="AS60" s="14">
        <v>0</v>
      </c>
      <c r="AT60" s="71">
        <v>6</v>
      </c>
      <c r="AU60" s="27">
        <f t="shared" si="15"/>
        <v>0.15400000000000003</v>
      </c>
      <c r="AV60" s="27">
        <f t="shared" si="16"/>
        <v>0.92400000000000015</v>
      </c>
      <c r="AW60" s="35">
        <f t="shared" si="17"/>
        <v>0</v>
      </c>
      <c r="AX60">
        <v>0</v>
      </c>
      <c r="AZ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DP60" t="s">
        <v>115</v>
      </c>
    </row>
    <row r="61" spans="1:120" ht="17.5" customHeight="1" x14ac:dyDescent="0.2">
      <c r="C61" t="s">
        <v>116</v>
      </c>
      <c r="D61">
        <f t="shared" si="24"/>
        <v>37.08631325880512</v>
      </c>
      <c r="E61" t="e">
        <f>AC61/AD61/(S61/100)</f>
        <v>#DIV/0!</v>
      </c>
      <c r="F61">
        <v>7.6</v>
      </c>
      <c r="H61">
        <v>7359</v>
      </c>
      <c r="I61">
        <v>50</v>
      </c>
      <c r="J61">
        <f t="shared" si="5"/>
        <v>1130.8800000000001</v>
      </c>
      <c r="K61">
        <v>150</v>
      </c>
      <c r="L61">
        <f t="shared" si="6"/>
        <v>1785.6</v>
      </c>
      <c r="M61">
        <v>50</v>
      </c>
      <c r="N61">
        <v>30</v>
      </c>
      <c r="O61">
        <v>910</v>
      </c>
      <c r="P61">
        <f t="shared" si="7"/>
        <v>229.30960000000005</v>
      </c>
      <c r="Q61">
        <v>100</v>
      </c>
      <c r="S61">
        <f t="shared" si="8"/>
        <v>11794.789600000002</v>
      </c>
      <c r="T61">
        <f t="shared" si="25"/>
        <v>13599.119999999999</v>
      </c>
      <c r="U61">
        <v>14880</v>
      </c>
      <c r="V61" s="46">
        <f t="shared" si="9"/>
        <v>3085.2103999999981</v>
      </c>
      <c r="X61"/>
      <c r="Z61">
        <f t="shared" si="0"/>
        <v>0</v>
      </c>
      <c r="AA61" s="130">
        <v>0</v>
      </c>
      <c r="AC61" s="8">
        <f t="shared" si="10"/>
        <v>0</v>
      </c>
      <c r="AD61" s="81">
        <v>0</v>
      </c>
      <c r="AE61" s="15">
        <f t="shared" si="1"/>
        <v>0</v>
      </c>
      <c r="AF61" s="43">
        <f t="shared" si="2"/>
        <v>0</v>
      </c>
      <c r="AO61">
        <v>3</v>
      </c>
      <c r="AP61">
        <v>3</v>
      </c>
      <c r="AQ61" s="14"/>
      <c r="AR61" s="15"/>
      <c r="AS61" s="14">
        <v>0</v>
      </c>
      <c r="AT61" s="71">
        <v>6</v>
      </c>
      <c r="AU61" s="27">
        <f t="shared" si="15"/>
        <v>0.15400000000000003</v>
      </c>
      <c r="AV61" s="27">
        <f t="shared" si="16"/>
        <v>0.92400000000000015</v>
      </c>
      <c r="AW61" s="35">
        <f t="shared" si="17"/>
        <v>0</v>
      </c>
      <c r="DP61" t="s">
        <v>115</v>
      </c>
    </row>
    <row r="62" spans="1:120" ht="17.5" customHeight="1" x14ac:dyDescent="0.2">
      <c r="A62" s="14">
        <v>5</v>
      </c>
      <c r="B62" s="14"/>
      <c r="C62" s="94"/>
      <c r="D62" s="14">
        <f t="shared" si="24"/>
        <v>20.039393612928031</v>
      </c>
      <c r="E62" s="14" t="e">
        <f>AC62/AD62/(S62/100)</f>
        <v>#DIV/0!</v>
      </c>
      <c r="F62" s="14">
        <v>7.6</v>
      </c>
      <c r="G62" s="14"/>
      <c r="H62" s="14">
        <v>12050</v>
      </c>
      <c r="I62" s="14">
        <v>35</v>
      </c>
      <c r="J62">
        <f t="shared" si="5"/>
        <v>1538.24</v>
      </c>
      <c r="K62">
        <v>150</v>
      </c>
      <c r="L62">
        <f t="shared" si="6"/>
        <v>2428.7999999999997</v>
      </c>
      <c r="M62" s="14">
        <v>50</v>
      </c>
      <c r="N62" s="14">
        <v>30</v>
      </c>
      <c r="O62" s="14">
        <v>910</v>
      </c>
      <c r="P62">
        <f t="shared" si="7"/>
        <v>343.8408</v>
      </c>
      <c r="Q62" s="14">
        <v>100</v>
      </c>
      <c r="R62" s="14"/>
      <c r="S62">
        <f t="shared" si="8"/>
        <v>17635.880800000003</v>
      </c>
      <c r="T62" s="14">
        <f t="shared" si="25"/>
        <v>18551.759999999998</v>
      </c>
      <c r="U62" s="14">
        <v>20240</v>
      </c>
      <c r="V62" s="46">
        <f t="shared" si="9"/>
        <v>2604.1191999999974</v>
      </c>
      <c r="X62"/>
      <c r="Z62">
        <f t="shared" si="0"/>
        <v>0</v>
      </c>
      <c r="AA62" s="130">
        <v>0</v>
      </c>
      <c r="AC62" s="8">
        <f t="shared" si="10"/>
        <v>0</v>
      </c>
      <c r="AD62" s="135">
        <v>0</v>
      </c>
      <c r="AE62" s="15">
        <f t="shared" si="1"/>
        <v>0</v>
      </c>
      <c r="AF62" s="43">
        <f t="shared" si="2"/>
        <v>0</v>
      </c>
      <c r="AO62" s="14"/>
      <c r="AP62" s="14"/>
      <c r="AQ62" s="14"/>
      <c r="AR62" s="15"/>
      <c r="AS62" s="14"/>
      <c r="AT62" s="71">
        <v>6</v>
      </c>
      <c r="AU62" s="27">
        <f t="shared" si="15"/>
        <v>0.15400000000000003</v>
      </c>
      <c r="AV62" s="27">
        <f t="shared" si="16"/>
        <v>0.92400000000000015</v>
      </c>
      <c r="AW62" s="35">
        <f t="shared" si="17"/>
        <v>0</v>
      </c>
      <c r="AZ62">
        <v>0</v>
      </c>
      <c r="CP62" t="s">
        <v>70</v>
      </c>
      <c r="CY62" t="s">
        <v>70</v>
      </c>
      <c r="DE62" t="s">
        <v>70</v>
      </c>
      <c r="DL62" t="s">
        <v>70</v>
      </c>
      <c r="DP62" t="s">
        <v>115</v>
      </c>
    </row>
    <row r="63" spans="1:120" ht="17.5" customHeight="1" x14ac:dyDescent="0.2">
      <c r="J63">
        <f t="shared" si="5"/>
        <v>0</v>
      </c>
      <c r="K63">
        <v>150</v>
      </c>
      <c r="L63">
        <f t="shared" si="6"/>
        <v>0</v>
      </c>
      <c r="P63">
        <f t="shared" si="7"/>
        <v>3</v>
      </c>
      <c r="S63">
        <f t="shared" si="8"/>
        <v>153</v>
      </c>
      <c r="U63"/>
      <c r="V63" s="46">
        <f t="shared" si="9"/>
        <v>-153</v>
      </c>
      <c r="X63"/>
      <c r="Z63">
        <f t="shared" si="0"/>
        <v>0</v>
      </c>
      <c r="AA63" s="130">
        <v>0</v>
      </c>
      <c r="AC63" s="8">
        <f t="shared" si="10"/>
        <v>0</v>
      </c>
      <c r="AD63" s="135">
        <v>0</v>
      </c>
      <c r="AE63" s="15">
        <f t="shared" si="1"/>
        <v>0</v>
      </c>
      <c r="AF63" s="43">
        <f t="shared" si="2"/>
        <v>0</v>
      </c>
      <c r="AO63">
        <v>12</v>
      </c>
      <c r="AP63">
        <v>12</v>
      </c>
      <c r="AQ63" s="14"/>
      <c r="AR63" s="15"/>
      <c r="AS63" s="14">
        <v>0</v>
      </c>
      <c r="AT63" s="71">
        <v>6</v>
      </c>
      <c r="AU63" s="27">
        <f t="shared" si="15"/>
        <v>0.15400000000000003</v>
      </c>
      <c r="AV63" s="27">
        <f t="shared" si="16"/>
        <v>0.92400000000000015</v>
      </c>
      <c r="AW63" s="35">
        <f t="shared" si="17"/>
        <v>0</v>
      </c>
      <c r="AX63">
        <v>0</v>
      </c>
      <c r="AZ63">
        <v>0</v>
      </c>
      <c r="DP63" t="s">
        <v>115</v>
      </c>
    </row>
    <row r="64" spans="1:120" ht="17.5" customHeight="1" x14ac:dyDescent="0.2">
      <c r="C64" t="s">
        <v>25</v>
      </c>
      <c r="D64">
        <f t="shared" si="24"/>
        <v>31.804244372990357</v>
      </c>
      <c r="E64">
        <f>AC64/AD64/(S64/100)</f>
        <v>-4.8120797927655712</v>
      </c>
      <c r="F64">
        <v>7.6</v>
      </c>
      <c r="H64">
        <v>4016</v>
      </c>
      <c r="I64">
        <v>50</v>
      </c>
      <c r="J64">
        <f t="shared" si="5"/>
        <v>664.24</v>
      </c>
      <c r="K64">
        <v>150</v>
      </c>
      <c r="L64">
        <f t="shared" si="6"/>
        <v>1048.8</v>
      </c>
      <c r="M64">
        <v>50</v>
      </c>
      <c r="N64">
        <v>30</v>
      </c>
      <c r="O64">
        <v>910</v>
      </c>
      <c r="P64">
        <f t="shared" si="7"/>
        <v>138.38079999999999</v>
      </c>
      <c r="Q64">
        <v>100</v>
      </c>
      <c r="S64">
        <f t="shared" si="8"/>
        <v>7157.4207999999999</v>
      </c>
      <c r="T64">
        <f t="shared" si="25"/>
        <v>7925.76</v>
      </c>
      <c r="U64">
        <v>8740</v>
      </c>
      <c r="V64" s="46">
        <f t="shared" si="9"/>
        <v>1582.5792000000001</v>
      </c>
      <c r="X64"/>
      <c r="Y64">
        <v>0</v>
      </c>
      <c r="Z64">
        <f t="shared" si="0"/>
        <v>6343.1808000000001</v>
      </c>
      <c r="AA64" s="130">
        <v>1927</v>
      </c>
      <c r="AC64" s="8">
        <f t="shared" si="10"/>
        <v>-344.42079999999987</v>
      </c>
      <c r="AD64" s="81">
        <v>1</v>
      </c>
      <c r="AE64" s="15">
        <f t="shared" si="1"/>
        <v>1582.5792000000001</v>
      </c>
      <c r="AF64" s="43">
        <f t="shared" si="2"/>
        <v>5998.76</v>
      </c>
      <c r="AQ64" s="14"/>
      <c r="AR64" s="15"/>
      <c r="AT64" s="1"/>
      <c r="AU64" s="27">
        <f t="shared" si="15"/>
        <v>0.15400000000000003</v>
      </c>
      <c r="AV64" s="27">
        <f t="shared" si="16"/>
        <v>0</v>
      </c>
      <c r="AW64" s="35">
        <f t="shared" si="17"/>
        <v>0</v>
      </c>
      <c r="DP64" t="s">
        <v>115</v>
      </c>
    </row>
    <row r="65" spans="1:120" ht="17.5" customHeight="1" x14ac:dyDescent="0.2">
      <c r="C65" s="23" t="s">
        <v>231</v>
      </c>
      <c r="E65" t="e">
        <f>AC65/AD65/(S65/100)</f>
        <v>#DIV/0!</v>
      </c>
      <c r="F65">
        <v>7.6</v>
      </c>
      <c r="H65">
        <v>5340</v>
      </c>
      <c r="I65">
        <v>100</v>
      </c>
      <c r="J65">
        <f t="shared" si="5"/>
        <v>893.76</v>
      </c>
      <c r="K65">
        <v>150</v>
      </c>
      <c r="L65">
        <f t="shared" si="6"/>
        <v>1411.2</v>
      </c>
      <c r="M65">
        <v>50</v>
      </c>
      <c r="N65">
        <v>30</v>
      </c>
      <c r="O65">
        <v>910</v>
      </c>
      <c r="P65">
        <f t="shared" si="7"/>
        <v>177.69919999999999</v>
      </c>
      <c r="Q65">
        <v>100</v>
      </c>
      <c r="S65">
        <f t="shared" si="8"/>
        <v>9162.6591999999982</v>
      </c>
      <c r="T65">
        <f t="shared" si="25"/>
        <v>10716.24</v>
      </c>
      <c r="U65" s="14">
        <v>11760</v>
      </c>
      <c r="V65" s="46">
        <f t="shared" si="9"/>
        <v>2597.3408000000018</v>
      </c>
      <c r="Z65">
        <f t="shared" si="0"/>
        <v>0</v>
      </c>
      <c r="AA65" s="130">
        <v>456</v>
      </c>
      <c r="AC65" s="8">
        <f t="shared" si="10"/>
        <v>-456</v>
      </c>
      <c r="AD65" s="81">
        <v>0</v>
      </c>
      <c r="AE65" s="15">
        <f t="shared" si="1"/>
        <v>0</v>
      </c>
      <c r="AF65" s="43">
        <f t="shared" si="2"/>
        <v>-456</v>
      </c>
      <c r="AQ65" s="14"/>
      <c r="AR65" s="15"/>
      <c r="AT65" s="1"/>
      <c r="AU65" s="27">
        <f t="shared" si="15"/>
        <v>0.15400000000000003</v>
      </c>
      <c r="AV65" s="27">
        <f t="shared" si="16"/>
        <v>0</v>
      </c>
      <c r="AW65" s="35">
        <f t="shared" si="17"/>
        <v>0</v>
      </c>
    </row>
    <row r="66" spans="1:120" ht="17.5" customHeight="1" x14ac:dyDescent="0.2">
      <c r="A66">
        <v>35</v>
      </c>
      <c r="C66" t="s">
        <v>119</v>
      </c>
      <c r="D66">
        <f>V66/((H66+I66+O66)/100)</f>
        <v>21.448667703473305</v>
      </c>
      <c r="E66" t="e">
        <f>AC66/AD66/(S66/100)</f>
        <v>#DIV/0!</v>
      </c>
      <c r="F66">
        <v>7.6</v>
      </c>
      <c r="H66">
        <v>8700</v>
      </c>
      <c r="I66">
        <v>35</v>
      </c>
      <c r="J66">
        <f t="shared" si="5"/>
        <v>1162.8</v>
      </c>
      <c r="K66">
        <v>150</v>
      </c>
      <c r="L66">
        <f t="shared" si="6"/>
        <v>1836</v>
      </c>
      <c r="M66">
        <v>50</v>
      </c>
      <c r="N66">
        <v>30</v>
      </c>
      <c r="O66">
        <v>910</v>
      </c>
      <c r="P66">
        <f t="shared" si="7"/>
        <v>257.476</v>
      </c>
      <c r="Q66">
        <v>100</v>
      </c>
      <c r="S66">
        <f t="shared" si="8"/>
        <v>13231.276</v>
      </c>
      <c r="T66">
        <f>U66-J66-K66</f>
        <v>13987.2</v>
      </c>
      <c r="U66">
        <v>15300</v>
      </c>
      <c r="V66" s="46">
        <f t="shared" si="9"/>
        <v>2068.7240000000002</v>
      </c>
      <c r="X66"/>
      <c r="Z66">
        <f t="shared" si="0"/>
        <v>0</v>
      </c>
      <c r="AA66" s="130">
        <v>0</v>
      </c>
      <c r="AC66" s="8">
        <f t="shared" si="10"/>
        <v>0</v>
      </c>
      <c r="AD66" s="135">
        <v>0</v>
      </c>
      <c r="AE66" s="15">
        <f t="shared" si="1"/>
        <v>0</v>
      </c>
      <c r="AF66" s="43">
        <f t="shared" si="2"/>
        <v>0</v>
      </c>
      <c r="AO66" s="112"/>
      <c r="AP66" s="112"/>
      <c r="AQ66" s="112"/>
      <c r="AR66" s="113"/>
      <c r="AS66" s="114"/>
      <c r="AT66" s="1">
        <v>6</v>
      </c>
      <c r="AU66" s="27">
        <f t="shared" si="15"/>
        <v>0.15400000000000003</v>
      </c>
      <c r="AV66" s="27">
        <f t="shared" si="16"/>
        <v>0.92400000000000015</v>
      </c>
      <c r="AW66" s="35">
        <f t="shared" si="17"/>
        <v>0</v>
      </c>
      <c r="AZ66">
        <v>0</v>
      </c>
      <c r="CP66">
        <v>32</v>
      </c>
      <c r="DP66" t="s">
        <v>120</v>
      </c>
    </row>
    <row r="67" spans="1:120" ht="17.5" customHeight="1" x14ac:dyDescent="0.2">
      <c r="C67" t="s">
        <v>192</v>
      </c>
      <c r="D67" t="e">
        <f t="shared" ref="D67:D71" si="26">V67/((H67+I67+O67)/100)</f>
        <v>#DIV/0!</v>
      </c>
      <c r="E67" t="e">
        <f t="shared" ref="E67:E70" si="27">AC67/AD67/(S67/100)</f>
        <v>#DIV/0!</v>
      </c>
      <c r="J67">
        <f t="shared" si="5"/>
        <v>0</v>
      </c>
      <c r="K67">
        <v>150</v>
      </c>
      <c r="L67">
        <f t="shared" si="6"/>
        <v>1670.76</v>
      </c>
      <c r="P67">
        <f t="shared" si="7"/>
        <v>36.415199999999999</v>
      </c>
      <c r="S67">
        <f t="shared" si="8"/>
        <v>1857.1751999999999</v>
      </c>
      <c r="U67" s="14">
        <v>13923</v>
      </c>
      <c r="V67" s="46">
        <f t="shared" si="9"/>
        <v>12065.8248</v>
      </c>
      <c r="Z67">
        <f t="shared" ref="Z67:Z130" si="28">(S67-J67-K67)*AD67</f>
        <v>0</v>
      </c>
      <c r="AA67" s="130">
        <v>2</v>
      </c>
      <c r="AC67" s="8">
        <f t="shared" si="10"/>
        <v>-2</v>
      </c>
      <c r="AD67" s="135">
        <v>0</v>
      </c>
      <c r="AE67" s="15">
        <f t="shared" ref="AE67:AE136" si="29">V67*AD67</f>
        <v>0</v>
      </c>
      <c r="AF67" s="43">
        <f t="shared" ref="AF67:AF136" si="30">(U67-J67-K67)*AD67-AA67</f>
        <v>-2</v>
      </c>
      <c r="AO67" s="109">
        <v>3</v>
      </c>
      <c r="AP67" s="109">
        <v>1</v>
      </c>
      <c r="AQ67" s="122">
        <f t="shared" ref="AQ67:AQ71" si="31">AO67-AP67</f>
        <v>2</v>
      </c>
      <c r="AR67" s="110">
        <f t="shared" ref="AR67" si="32">AQ67-AS67</f>
        <v>2</v>
      </c>
      <c r="AS67" s="111">
        <v>0</v>
      </c>
      <c r="AT67" s="1">
        <v>6</v>
      </c>
      <c r="AU67" s="27">
        <f t="shared" si="15"/>
        <v>0.15400000000000003</v>
      </c>
      <c r="AV67" s="27">
        <f t="shared" si="16"/>
        <v>0.92400000000000015</v>
      </c>
      <c r="AW67" s="35">
        <f t="shared" si="17"/>
        <v>1.8480000000000003</v>
      </c>
      <c r="AX67">
        <v>6.804000000000002</v>
      </c>
    </row>
    <row r="68" spans="1:120" ht="17.5" customHeight="1" x14ac:dyDescent="0.2">
      <c r="D68" t="e">
        <f t="shared" si="26"/>
        <v>#DIV/0!</v>
      </c>
      <c r="E68" t="e">
        <f t="shared" si="27"/>
        <v>#DIV/0!</v>
      </c>
      <c r="J68">
        <f t="shared" si="5"/>
        <v>0</v>
      </c>
      <c r="K68">
        <v>150</v>
      </c>
      <c r="L68">
        <f t="shared" si="6"/>
        <v>0</v>
      </c>
      <c r="P68">
        <f t="shared" si="7"/>
        <v>3</v>
      </c>
      <c r="S68">
        <f t="shared" si="8"/>
        <v>153</v>
      </c>
      <c r="V68" s="46">
        <f t="shared" si="9"/>
        <v>-153</v>
      </c>
      <c r="Z68">
        <f t="shared" si="28"/>
        <v>0</v>
      </c>
      <c r="AA68" s="130"/>
      <c r="AC68" s="8">
        <f t="shared" si="10"/>
        <v>0</v>
      </c>
      <c r="AD68" s="135"/>
      <c r="AE68" s="15">
        <f t="shared" si="29"/>
        <v>0</v>
      </c>
      <c r="AF68" s="43">
        <f t="shared" si="30"/>
        <v>0</v>
      </c>
      <c r="AQ68" s="14">
        <f t="shared" si="31"/>
        <v>0</v>
      </c>
      <c r="AT68" s="1"/>
      <c r="AU68" s="27">
        <f t="shared" si="15"/>
        <v>0.15400000000000003</v>
      </c>
      <c r="AV68" s="27">
        <f t="shared" si="16"/>
        <v>0</v>
      </c>
      <c r="AW68" s="35">
        <f t="shared" si="17"/>
        <v>0</v>
      </c>
    </row>
    <row r="69" spans="1:120" ht="17.5" customHeight="1" x14ac:dyDescent="0.2">
      <c r="D69" t="e">
        <f t="shared" si="26"/>
        <v>#DIV/0!</v>
      </c>
      <c r="E69" t="e">
        <f t="shared" si="27"/>
        <v>#DIV/0!</v>
      </c>
      <c r="J69">
        <f t="shared" si="5"/>
        <v>0</v>
      </c>
      <c r="K69">
        <v>150</v>
      </c>
      <c r="L69">
        <f t="shared" si="6"/>
        <v>0</v>
      </c>
      <c r="P69">
        <f t="shared" si="7"/>
        <v>3</v>
      </c>
      <c r="S69">
        <f t="shared" si="8"/>
        <v>153</v>
      </c>
      <c r="V69" s="46">
        <f t="shared" si="9"/>
        <v>-153</v>
      </c>
      <c r="Z69">
        <f t="shared" si="28"/>
        <v>0</v>
      </c>
      <c r="AA69" s="130"/>
      <c r="AC69" s="8">
        <f t="shared" si="10"/>
        <v>0</v>
      </c>
      <c r="AD69" s="135"/>
      <c r="AE69" s="15">
        <f t="shared" si="29"/>
        <v>0</v>
      </c>
      <c r="AF69" s="43">
        <f t="shared" si="30"/>
        <v>0</v>
      </c>
      <c r="AQ69" s="14">
        <f t="shared" si="31"/>
        <v>0</v>
      </c>
      <c r="AT69" s="1"/>
      <c r="AU69" s="27">
        <f t="shared" si="15"/>
        <v>0.15400000000000003</v>
      </c>
      <c r="AV69" s="27">
        <f t="shared" si="16"/>
        <v>0</v>
      </c>
      <c r="AW69" s="35">
        <f t="shared" si="17"/>
        <v>0</v>
      </c>
    </row>
    <row r="70" spans="1:120" ht="17.5" customHeight="1" x14ac:dyDescent="0.2">
      <c r="C70" t="s">
        <v>239</v>
      </c>
      <c r="D70">
        <f t="shared" si="26"/>
        <v>42.235545454545459</v>
      </c>
      <c r="E70" t="e">
        <f t="shared" si="27"/>
        <v>#DIV/0!</v>
      </c>
      <c r="F70">
        <v>15.5</v>
      </c>
      <c r="H70">
        <v>3200</v>
      </c>
      <c r="I70">
        <v>50</v>
      </c>
      <c r="J70">
        <f t="shared" si="5"/>
        <v>1268.365</v>
      </c>
      <c r="K70">
        <v>150</v>
      </c>
      <c r="L70">
        <f t="shared" si="6"/>
        <v>981.95999999999992</v>
      </c>
      <c r="M70">
        <v>50</v>
      </c>
      <c r="N70">
        <v>30</v>
      </c>
      <c r="O70">
        <v>600</v>
      </c>
      <c r="P70">
        <f t="shared" si="7"/>
        <v>126.6065</v>
      </c>
      <c r="Q70">
        <v>100</v>
      </c>
      <c r="S70">
        <f t="shared" si="8"/>
        <v>6556.9314999999997</v>
      </c>
      <c r="U70">
        <v>8183</v>
      </c>
      <c r="V70" s="46">
        <f t="shared" si="9"/>
        <v>1626.0685000000003</v>
      </c>
      <c r="X70"/>
      <c r="Y70">
        <v>0</v>
      </c>
      <c r="Z70">
        <f t="shared" si="28"/>
        <v>0</v>
      </c>
      <c r="AA70" s="130">
        <v>0</v>
      </c>
      <c r="AC70" s="8">
        <f t="shared" si="10"/>
        <v>0</v>
      </c>
      <c r="AD70" s="135">
        <v>0</v>
      </c>
      <c r="AE70" s="15">
        <f t="shared" si="29"/>
        <v>0</v>
      </c>
      <c r="AF70" s="43">
        <f t="shared" si="30"/>
        <v>0</v>
      </c>
      <c r="AO70">
        <v>3</v>
      </c>
      <c r="AP70">
        <v>3</v>
      </c>
      <c r="AQ70" s="14">
        <f t="shared" si="31"/>
        <v>0</v>
      </c>
      <c r="AR70">
        <v>0</v>
      </c>
      <c r="AS70">
        <v>0</v>
      </c>
      <c r="AT70" s="1">
        <v>6</v>
      </c>
      <c r="AU70" s="27">
        <f t="shared" si="15"/>
        <v>0.15400000000000003</v>
      </c>
      <c r="AV70" s="27">
        <f t="shared" si="16"/>
        <v>0.92400000000000015</v>
      </c>
      <c r="AW70" s="35">
        <f t="shared" si="17"/>
        <v>0</v>
      </c>
      <c r="AZ70">
        <v>1</v>
      </c>
      <c r="DP70" t="s">
        <v>122</v>
      </c>
    </row>
    <row r="71" spans="1:120" ht="17.5" customHeight="1" x14ac:dyDescent="0.2">
      <c r="C71" t="s">
        <v>123</v>
      </c>
      <c r="D71">
        <f t="shared" si="26"/>
        <v>23.756471337579615</v>
      </c>
      <c r="E71" t="e">
        <f>AC71/AD71/(S71/100)</f>
        <v>#DIV/0!</v>
      </c>
      <c r="F71">
        <v>7.6</v>
      </c>
      <c r="H71">
        <v>11600</v>
      </c>
      <c r="I71">
        <v>50</v>
      </c>
      <c r="J71">
        <f t="shared" si="5"/>
        <v>1532.16</v>
      </c>
      <c r="K71">
        <v>150</v>
      </c>
      <c r="L71">
        <f t="shared" si="6"/>
        <v>2419.1999999999998</v>
      </c>
      <c r="M71">
        <v>50</v>
      </c>
      <c r="N71">
        <v>30</v>
      </c>
      <c r="O71">
        <v>910</v>
      </c>
      <c r="P71">
        <f t="shared" si="7"/>
        <v>334.8272</v>
      </c>
      <c r="Q71">
        <v>100</v>
      </c>
      <c r="S71">
        <f t="shared" si="8"/>
        <v>17176.1872</v>
      </c>
      <c r="T71">
        <f>U71-J71-K71</f>
        <v>18477.84</v>
      </c>
      <c r="U71">
        <v>20160</v>
      </c>
      <c r="V71" s="46">
        <f t="shared" si="9"/>
        <v>2983.8127999999997</v>
      </c>
      <c r="X71"/>
      <c r="Z71">
        <f t="shared" si="28"/>
        <v>0</v>
      </c>
      <c r="AA71" s="130">
        <v>0</v>
      </c>
      <c r="AC71" s="8">
        <f t="shared" si="10"/>
        <v>0</v>
      </c>
      <c r="AD71" s="135">
        <v>0</v>
      </c>
      <c r="AE71" s="15">
        <f t="shared" si="29"/>
        <v>0</v>
      </c>
      <c r="AF71" s="43">
        <f t="shared" si="30"/>
        <v>0</v>
      </c>
      <c r="AO71" s="2">
        <v>0</v>
      </c>
      <c r="AP71" s="2">
        <v>0</v>
      </c>
      <c r="AQ71" s="112">
        <f t="shared" si="31"/>
        <v>0</v>
      </c>
      <c r="AR71" s="2">
        <v>0</v>
      </c>
      <c r="AS71" s="2">
        <v>0</v>
      </c>
      <c r="AT71" s="1">
        <v>6</v>
      </c>
      <c r="AU71" s="27">
        <f t="shared" si="15"/>
        <v>0.15400000000000003</v>
      </c>
      <c r="AV71" s="27">
        <f t="shared" si="16"/>
        <v>0.92400000000000015</v>
      </c>
      <c r="AW71" s="35">
        <f t="shared" si="17"/>
        <v>0</v>
      </c>
      <c r="AZ71">
        <v>0</v>
      </c>
      <c r="DP71" t="s">
        <v>122</v>
      </c>
    </row>
    <row r="72" spans="1:120" ht="16.25" customHeight="1" x14ac:dyDescent="0.2">
      <c r="A72">
        <v>4</v>
      </c>
      <c r="C72" t="s">
        <v>124</v>
      </c>
      <c r="D72">
        <f>V72/((H72+I72+O72)/100)</f>
        <v>41.530715287517523</v>
      </c>
      <c r="E72" t="e">
        <f>AC72/AD72/(S72/100)</f>
        <v>#DIV/0!</v>
      </c>
      <c r="F72">
        <v>7.6</v>
      </c>
      <c r="H72">
        <v>13300</v>
      </c>
      <c r="I72">
        <v>50</v>
      </c>
      <c r="J72">
        <f t="shared" si="5"/>
        <v>1976</v>
      </c>
      <c r="K72">
        <v>150</v>
      </c>
      <c r="L72">
        <f t="shared" si="6"/>
        <v>3120</v>
      </c>
      <c r="M72">
        <v>50</v>
      </c>
      <c r="N72">
        <v>30</v>
      </c>
      <c r="O72">
        <v>910</v>
      </c>
      <c r="P72">
        <f t="shared" si="7"/>
        <v>391.72</v>
      </c>
      <c r="Q72">
        <v>100</v>
      </c>
      <c r="S72">
        <f t="shared" si="8"/>
        <v>20077.72</v>
      </c>
      <c r="T72">
        <f>U72-J72-K72</f>
        <v>23874</v>
      </c>
      <c r="U72">
        <v>26000</v>
      </c>
      <c r="V72" s="46">
        <f t="shared" si="9"/>
        <v>5922.2799999999988</v>
      </c>
      <c r="X72"/>
      <c r="Z72">
        <f t="shared" si="28"/>
        <v>0</v>
      </c>
      <c r="AA72" s="130"/>
      <c r="AC72" s="8">
        <f t="shared" si="10"/>
        <v>0</v>
      </c>
      <c r="AD72" s="135">
        <v>0</v>
      </c>
      <c r="AE72" s="15">
        <f t="shared" si="29"/>
        <v>0</v>
      </c>
      <c r="AF72" s="43">
        <f t="shared" si="30"/>
        <v>0</v>
      </c>
      <c r="AT72" s="1"/>
      <c r="AU72" s="27">
        <f t="shared" si="15"/>
        <v>0.15400000000000003</v>
      </c>
      <c r="AV72" s="27">
        <f t="shared" si="16"/>
        <v>0</v>
      </c>
      <c r="AW72" s="35">
        <f t="shared" si="17"/>
        <v>0</v>
      </c>
      <c r="AZ72">
        <v>0</v>
      </c>
      <c r="CP72" t="s">
        <v>67</v>
      </c>
      <c r="CS72">
        <v>1.45</v>
      </c>
      <c r="CU72" t="s">
        <v>68</v>
      </c>
      <c r="CX72" t="s">
        <v>69</v>
      </c>
      <c r="CY72" t="s">
        <v>67</v>
      </c>
      <c r="DB72">
        <v>1.8</v>
      </c>
      <c r="DE72" t="s">
        <v>67</v>
      </c>
      <c r="DH72">
        <v>1.45</v>
      </c>
      <c r="DL72" t="s">
        <v>67</v>
      </c>
      <c r="DO72">
        <v>1.85</v>
      </c>
      <c r="DP72" t="s">
        <v>122</v>
      </c>
    </row>
    <row r="73" spans="1:120" ht="17.5" customHeight="1" x14ac:dyDescent="0.2">
      <c r="C73" t="s">
        <v>216</v>
      </c>
      <c r="D73">
        <f t="shared" ref="D73:D87" si="33">V73/((H73+I73+O73)/100)</f>
        <v>30.185451638689038</v>
      </c>
      <c r="E73" t="e">
        <f t="shared" ref="E73:E87" si="34">AC73/AD73/(S73/100)</f>
        <v>#DIV/0!</v>
      </c>
      <c r="F73">
        <v>15.5</v>
      </c>
      <c r="H73">
        <v>3233</v>
      </c>
      <c r="I73">
        <v>100</v>
      </c>
      <c r="J73">
        <f t="shared" si="5"/>
        <v>1140.8</v>
      </c>
      <c r="K73">
        <v>150</v>
      </c>
      <c r="L73">
        <f t="shared" si="6"/>
        <v>883.19999999999993</v>
      </c>
      <c r="M73">
        <v>50</v>
      </c>
      <c r="N73">
        <v>30</v>
      </c>
      <c r="O73">
        <v>420</v>
      </c>
      <c r="P73">
        <f t="shared" si="7"/>
        <v>120.14</v>
      </c>
      <c r="Q73">
        <v>100</v>
      </c>
      <c r="S73">
        <f t="shared" si="8"/>
        <v>6227.14</v>
      </c>
      <c r="T73">
        <f t="shared" ref="T73:T97" si="35">U73-J73-K73</f>
        <v>6069.2</v>
      </c>
      <c r="U73" s="14">
        <v>7360</v>
      </c>
      <c r="V73" s="46">
        <f t="shared" si="9"/>
        <v>1132.8599999999997</v>
      </c>
      <c r="Z73">
        <f t="shared" si="28"/>
        <v>0</v>
      </c>
      <c r="AA73" s="130"/>
      <c r="AC73" s="8">
        <f t="shared" si="10"/>
        <v>0</v>
      </c>
      <c r="AD73" s="135">
        <v>0</v>
      </c>
      <c r="AE73" s="15">
        <f t="shared" si="29"/>
        <v>0</v>
      </c>
      <c r="AF73" s="43">
        <f t="shared" si="30"/>
        <v>0</v>
      </c>
      <c r="AT73" s="1"/>
      <c r="AU73" s="27">
        <f t="shared" si="15"/>
        <v>0.15400000000000003</v>
      </c>
      <c r="AV73" s="27">
        <f t="shared" si="16"/>
        <v>0</v>
      </c>
      <c r="AW73" s="35">
        <f t="shared" si="17"/>
        <v>0</v>
      </c>
    </row>
    <row r="74" spans="1:120" ht="19.25" customHeight="1" thickBot="1" x14ac:dyDescent="0.25">
      <c r="C74" t="s">
        <v>197</v>
      </c>
      <c r="D74">
        <f t="shared" si="33"/>
        <v>29.391217481789795</v>
      </c>
      <c r="E74" t="e">
        <f t="shared" si="34"/>
        <v>#DIV/0!</v>
      </c>
      <c r="F74">
        <v>7.6</v>
      </c>
      <c r="H74">
        <v>8600</v>
      </c>
      <c r="I74">
        <v>100</v>
      </c>
      <c r="J74">
        <f t="shared" si="5"/>
        <v>1231.2</v>
      </c>
      <c r="K74">
        <v>150</v>
      </c>
      <c r="L74">
        <f t="shared" si="6"/>
        <v>1944</v>
      </c>
      <c r="M74">
        <v>50</v>
      </c>
      <c r="N74">
        <v>30</v>
      </c>
      <c r="O74">
        <v>910</v>
      </c>
      <c r="P74">
        <f t="shared" si="7"/>
        <v>260.30400000000003</v>
      </c>
      <c r="Q74">
        <v>100</v>
      </c>
      <c r="S74">
        <f t="shared" si="8"/>
        <v>13375.504000000001</v>
      </c>
      <c r="T74">
        <f t="shared" si="35"/>
        <v>14818.8</v>
      </c>
      <c r="U74" s="14">
        <v>16200</v>
      </c>
      <c r="V74" s="46">
        <f t="shared" si="9"/>
        <v>2824.4959999999992</v>
      </c>
      <c r="Z74">
        <f t="shared" si="28"/>
        <v>0</v>
      </c>
      <c r="AA74" s="130">
        <v>0</v>
      </c>
      <c r="AC74" s="8">
        <f t="shared" si="10"/>
        <v>0</v>
      </c>
      <c r="AD74" s="135">
        <v>0</v>
      </c>
      <c r="AE74" s="15">
        <f t="shared" si="29"/>
        <v>0</v>
      </c>
      <c r="AF74" s="43">
        <f t="shared" si="30"/>
        <v>0</v>
      </c>
      <c r="AT74" s="1"/>
      <c r="AU74" s="27">
        <f t="shared" si="15"/>
        <v>0.15400000000000003</v>
      </c>
      <c r="AV74" s="27">
        <f t="shared" si="16"/>
        <v>0</v>
      </c>
      <c r="AW74" s="35">
        <f t="shared" si="17"/>
        <v>0</v>
      </c>
    </row>
    <row r="75" spans="1:120" ht="17.5" customHeight="1" thickBot="1" x14ac:dyDescent="0.25">
      <c r="C75" t="s">
        <v>209</v>
      </c>
      <c r="D75">
        <f t="shared" si="33"/>
        <v>29.845194805194804</v>
      </c>
      <c r="E75" t="e">
        <f t="shared" si="34"/>
        <v>#DIV/0!</v>
      </c>
      <c r="F75">
        <v>15.5</v>
      </c>
      <c r="H75">
        <v>3100</v>
      </c>
      <c r="I75">
        <v>100</v>
      </c>
      <c r="J75">
        <f t="shared" ref="J75:J138" si="36">U75*(F75+G75)/100</f>
        <v>1165.5999999999999</v>
      </c>
      <c r="K75">
        <v>150</v>
      </c>
      <c r="L75">
        <f t="shared" ref="L75:L138" si="37">U75*0.12</f>
        <v>902.4</v>
      </c>
      <c r="M75">
        <v>50</v>
      </c>
      <c r="N75">
        <v>30</v>
      </c>
      <c r="O75">
        <v>650</v>
      </c>
      <c r="P75">
        <f t="shared" ref="P75:P138" si="38">(H75+I75+J75+K75+L75+M75+N75+O75)*0.02</f>
        <v>122.96000000000001</v>
      </c>
      <c r="Q75">
        <v>100</v>
      </c>
      <c r="S75">
        <f t="shared" ref="S75:S138" si="39">H75+I75+J75+K75+L75+M75+N75+O75+P75+Q75+R75</f>
        <v>6370.96</v>
      </c>
      <c r="T75">
        <f t="shared" si="35"/>
        <v>6204.4</v>
      </c>
      <c r="U75" s="14">
        <v>7520</v>
      </c>
      <c r="V75" s="46">
        <f t="shared" ref="V75:V139" si="40">U75-S75</f>
        <v>1149.04</v>
      </c>
      <c r="Y75">
        <v>0</v>
      </c>
      <c r="Z75">
        <f t="shared" si="28"/>
        <v>0</v>
      </c>
      <c r="AA75" s="130">
        <v>578</v>
      </c>
      <c r="AB75" s="83">
        <f>SUM(AC75:AC87)</f>
        <v>-2716.620640000001</v>
      </c>
      <c r="AC75" s="8">
        <f t="shared" ref="AC75:AC138" si="41">AF75-Z75-(J75+K75+L75)*Y75</f>
        <v>-578</v>
      </c>
      <c r="AD75" s="81">
        <v>0</v>
      </c>
      <c r="AE75" s="15">
        <f t="shared" si="29"/>
        <v>0</v>
      </c>
      <c r="AF75" s="43">
        <f t="shared" si="30"/>
        <v>-578</v>
      </c>
      <c r="AT75" s="1"/>
      <c r="AU75" s="27">
        <f t="shared" si="15"/>
        <v>0.15400000000000003</v>
      </c>
      <c r="AV75" s="27">
        <f t="shared" si="16"/>
        <v>0</v>
      </c>
      <c r="AW75" s="35">
        <f t="shared" si="17"/>
        <v>0</v>
      </c>
    </row>
    <row r="76" spans="1:120" ht="17.5" customHeight="1" x14ac:dyDescent="0.2">
      <c r="A76">
        <v>22</v>
      </c>
      <c r="C76" s="46" t="s">
        <v>125</v>
      </c>
      <c r="D76">
        <f t="shared" si="33"/>
        <v>45.116278481012642</v>
      </c>
      <c r="E76" t="e">
        <f t="shared" si="34"/>
        <v>#DIV/0!</v>
      </c>
      <c r="F76">
        <v>7.6</v>
      </c>
      <c r="H76">
        <v>10050</v>
      </c>
      <c r="I76">
        <v>100</v>
      </c>
      <c r="J76">
        <f t="shared" si="36"/>
        <v>1577.38</v>
      </c>
      <c r="K76">
        <v>150</v>
      </c>
      <c r="L76">
        <f t="shared" si="37"/>
        <v>2490.6</v>
      </c>
      <c r="M76">
        <v>50</v>
      </c>
      <c r="N76">
        <v>30</v>
      </c>
      <c r="O76">
        <v>910</v>
      </c>
      <c r="P76">
        <f t="shared" si="38"/>
        <v>307.15960000000001</v>
      </c>
      <c r="Q76">
        <v>100</v>
      </c>
      <c r="S76">
        <f t="shared" si="39"/>
        <v>15765.139600000002</v>
      </c>
      <c r="T76">
        <f t="shared" si="35"/>
        <v>19027.62</v>
      </c>
      <c r="U76">
        <v>20755</v>
      </c>
      <c r="V76" s="46">
        <f t="shared" si="40"/>
        <v>4989.8603999999978</v>
      </c>
      <c r="X76"/>
      <c r="Z76">
        <f t="shared" si="28"/>
        <v>0</v>
      </c>
      <c r="AA76" s="126">
        <v>3823</v>
      </c>
      <c r="AB76" s="84"/>
      <c r="AC76" s="8">
        <f t="shared" si="41"/>
        <v>-3823</v>
      </c>
      <c r="AD76" s="81">
        <v>0</v>
      </c>
      <c r="AE76" s="15">
        <f t="shared" si="29"/>
        <v>0</v>
      </c>
      <c r="AF76" s="43">
        <f t="shared" si="30"/>
        <v>-3823</v>
      </c>
      <c r="AO76" s="105">
        <v>36</v>
      </c>
      <c r="AP76" s="106">
        <v>14</v>
      </c>
      <c r="AQ76" s="106">
        <f>AO76-AP76</f>
        <v>22</v>
      </c>
      <c r="AR76" s="107">
        <f>AQ76-AS76</f>
        <v>22</v>
      </c>
      <c r="AS76" s="108">
        <v>0</v>
      </c>
      <c r="AT76" s="1">
        <v>6</v>
      </c>
      <c r="AU76" s="27">
        <f t="shared" si="15"/>
        <v>0.15400000000000003</v>
      </c>
      <c r="AV76" s="27">
        <f t="shared" si="16"/>
        <v>0.92400000000000015</v>
      </c>
      <c r="AW76" s="35">
        <f t="shared" si="17"/>
        <v>20.328000000000003</v>
      </c>
      <c r="AX76">
        <v>0</v>
      </c>
      <c r="AZ76">
        <v>2</v>
      </c>
      <c r="CP76" t="s">
        <v>85</v>
      </c>
      <c r="DG76" t="s">
        <v>86</v>
      </c>
      <c r="DP76" t="s">
        <v>126</v>
      </c>
    </row>
    <row r="77" spans="1:120" ht="17.5" customHeight="1" x14ac:dyDescent="0.2">
      <c r="A77">
        <v>2</v>
      </c>
      <c r="C77" s="46" t="s">
        <v>127</v>
      </c>
      <c r="D77">
        <f t="shared" si="33"/>
        <v>30.582017555705615</v>
      </c>
      <c r="E77" t="e">
        <f t="shared" si="34"/>
        <v>#DIV/0!</v>
      </c>
      <c r="F77">
        <v>7.6</v>
      </c>
      <c r="H77">
        <v>13800</v>
      </c>
      <c r="I77">
        <v>100</v>
      </c>
      <c r="J77">
        <f t="shared" si="36"/>
        <v>1896.96</v>
      </c>
      <c r="K77">
        <v>150</v>
      </c>
      <c r="L77">
        <f t="shared" si="37"/>
        <v>2995.2</v>
      </c>
      <c r="M77">
        <v>50</v>
      </c>
      <c r="N77">
        <v>30</v>
      </c>
      <c r="O77">
        <v>910</v>
      </c>
      <c r="P77">
        <f t="shared" si="38"/>
        <v>398.64319999999998</v>
      </c>
      <c r="Q77">
        <v>100</v>
      </c>
      <c r="S77">
        <f t="shared" si="39"/>
        <v>20430.803199999998</v>
      </c>
      <c r="T77">
        <f t="shared" si="35"/>
        <v>22913.040000000001</v>
      </c>
      <c r="U77">
        <v>24960</v>
      </c>
      <c r="V77" s="46">
        <f t="shared" si="40"/>
        <v>4529.1968000000015</v>
      </c>
      <c r="X77"/>
      <c r="Z77">
        <f t="shared" si="28"/>
        <v>0</v>
      </c>
      <c r="AA77" s="130">
        <v>1</v>
      </c>
      <c r="AB77" s="84"/>
      <c r="AC77" s="8">
        <f t="shared" si="41"/>
        <v>-1</v>
      </c>
      <c r="AD77" s="135">
        <v>0</v>
      </c>
      <c r="AE77" s="15">
        <f t="shared" si="29"/>
        <v>0</v>
      </c>
      <c r="AF77" s="43">
        <f t="shared" si="30"/>
        <v>-1</v>
      </c>
      <c r="AO77" s="56">
        <v>8</v>
      </c>
      <c r="AP77" s="57">
        <v>7</v>
      </c>
      <c r="AQ77" s="57">
        <f>AO77-AP77</f>
        <v>1</v>
      </c>
      <c r="AR77" s="58">
        <f>AQ77-AS77</f>
        <v>1</v>
      </c>
      <c r="AS77" s="59">
        <v>0</v>
      </c>
      <c r="AT77" s="1">
        <v>6</v>
      </c>
      <c r="AU77" s="27">
        <f t="shared" si="15"/>
        <v>0.15400000000000003</v>
      </c>
      <c r="AV77" s="27">
        <f t="shared" si="16"/>
        <v>0.92400000000000015</v>
      </c>
      <c r="AW77" s="35">
        <f t="shared" si="17"/>
        <v>0.92400000000000015</v>
      </c>
    </row>
    <row r="78" spans="1:120" ht="17.5" customHeight="1" x14ac:dyDescent="0.2">
      <c r="C78" s="46" t="s">
        <v>30</v>
      </c>
      <c r="D78">
        <f t="shared" si="33"/>
        <v>40.166025949062956</v>
      </c>
      <c r="E78" t="e">
        <f t="shared" si="34"/>
        <v>#DIV/0!</v>
      </c>
      <c r="F78">
        <v>7.6</v>
      </c>
      <c r="H78">
        <v>15638</v>
      </c>
      <c r="I78">
        <v>100</v>
      </c>
      <c r="J78">
        <f t="shared" si="36"/>
        <v>2280</v>
      </c>
      <c r="K78">
        <v>150</v>
      </c>
      <c r="L78">
        <f t="shared" si="37"/>
        <v>3600</v>
      </c>
      <c r="M78">
        <v>50</v>
      </c>
      <c r="N78">
        <v>30</v>
      </c>
      <c r="O78">
        <v>910</v>
      </c>
      <c r="P78">
        <f t="shared" si="38"/>
        <v>455.16</v>
      </c>
      <c r="Q78">
        <v>100</v>
      </c>
      <c r="S78">
        <f t="shared" si="39"/>
        <v>23313.16</v>
      </c>
      <c r="T78">
        <f t="shared" si="35"/>
        <v>27570</v>
      </c>
      <c r="U78">
        <v>30000</v>
      </c>
      <c r="V78" s="46">
        <f t="shared" si="40"/>
        <v>6686.84</v>
      </c>
      <c r="X78"/>
      <c r="Z78">
        <f t="shared" si="28"/>
        <v>0</v>
      </c>
      <c r="AA78" s="130"/>
      <c r="AB78" s="84"/>
      <c r="AC78" s="8">
        <f t="shared" si="41"/>
        <v>0</v>
      </c>
      <c r="AD78" s="135">
        <v>0</v>
      </c>
      <c r="AE78" s="15">
        <f t="shared" si="29"/>
        <v>0</v>
      </c>
      <c r="AF78" s="43">
        <f t="shared" si="30"/>
        <v>0</v>
      </c>
      <c r="AT78" s="1"/>
      <c r="AU78" s="27">
        <f t="shared" si="15"/>
        <v>0.15400000000000003</v>
      </c>
      <c r="AV78" s="27">
        <f t="shared" si="16"/>
        <v>0</v>
      </c>
      <c r="AW78" s="35">
        <f t="shared" si="17"/>
        <v>0</v>
      </c>
      <c r="DP78" t="s">
        <v>126</v>
      </c>
    </row>
    <row r="79" spans="1:120" ht="17.5" customHeight="1" x14ac:dyDescent="0.2">
      <c r="C79" s="46" t="s">
        <v>173</v>
      </c>
      <c r="D79">
        <f t="shared" si="33"/>
        <v>42.832929419113057</v>
      </c>
      <c r="E79" t="e">
        <f t="shared" si="34"/>
        <v>#DIV/0!</v>
      </c>
      <c r="F79">
        <v>7.6</v>
      </c>
      <c r="H79">
        <v>15000</v>
      </c>
      <c r="I79">
        <v>100</v>
      </c>
      <c r="J79">
        <f t="shared" si="36"/>
        <v>2234.4</v>
      </c>
      <c r="K79">
        <v>150</v>
      </c>
      <c r="L79">
        <f t="shared" si="37"/>
        <v>3528</v>
      </c>
      <c r="M79">
        <v>50</v>
      </c>
      <c r="N79">
        <v>30</v>
      </c>
      <c r="O79">
        <v>910</v>
      </c>
      <c r="P79">
        <f t="shared" si="38"/>
        <v>440.04800000000006</v>
      </c>
      <c r="Q79">
        <v>100</v>
      </c>
      <c r="S79">
        <f t="shared" si="39"/>
        <v>22542.448</v>
      </c>
      <c r="T79">
        <f t="shared" si="35"/>
        <v>27015.599999999999</v>
      </c>
      <c r="U79">
        <v>29400</v>
      </c>
      <c r="V79" s="46">
        <f t="shared" si="40"/>
        <v>6857.5519999999997</v>
      </c>
      <c r="X79"/>
      <c r="Z79">
        <f t="shared" si="28"/>
        <v>0</v>
      </c>
      <c r="AA79" s="130"/>
      <c r="AB79" s="84"/>
      <c r="AC79" s="8">
        <f t="shared" si="41"/>
        <v>0</v>
      </c>
      <c r="AD79" s="81">
        <v>0</v>
      </c>
      <c r="AE79" s="15">
        <f t="shared" si="29"/>
        <v>0</v>
      </c>
      <c r="AF79" s="43">
        <f t="shared" si="30"/>
        <v>0</v>
      </c>
      <c r="AT79" s="1"/>
      <c r="AU79" s="27">
        <f t="shared" si="15"/>
        <v>0.15400000000000003</v>
      </c>
      <c r="AV79" s="27">
        <f t="shared" si="16"/>
        <v>0</v>
      </c>
      <c r="AW79" s="35">
        <f t="shared" si="17"/>
        <v>0</v>
      </c>
      <c r="DP79" t="s">
        <v>126</v>
      </c>
    </row>
    <row r="80" spans="1:120" ht="17.5" customHeight="1" x14ac:dyDescent="0.2">
      <c r="C80" s="46" t="s">
        <v>121</v>
      </c>
      <c r="D80">
        <f t="shared" si="33"/>
        <v>12.762871129707111</v>
      </c>
      <c r="E80" t="e">
        <f t="shared" si="34"/>
        <v>#DIV/0!</v>
      </c>
      <c r="F80" s="49">
        <v>7.6</v>
      </c>
      <c r="H80">
        <v>8550</v>
      </c>
      <c r="I80">
        <v>100</v>
      </c>
      <c r="J80">
        <f t="shared" si="36"/>
        <v>1073.9559999999999</v>
      </c>
      <c r="K80">
        <v>150</v>
      </c>
      <c r="L80">
        <f t="shared" si="37"/>
        <v>1695.72</v>
      </c>
      <c r="M80">
        <v>50</v>
      </c>
      <c r="N80">
        <v>30</v>
      </c>
      <c r="O80">
        <v>910</v>
      </c>
      <c r="P80">
        <f t="shared" si="38"/>
        <v>251.19352000000001</v>
      </c>
      <c r="Q80">
        <v>100</v>
      </c>
      <c r="S80">
        <f t="shared" si="39"/>
        <v>12910.86952</v>
      </c>
      <c r="T80">
        <f t="shared" si="35"/>
        <v>12907.044</v>
      </c>
      <c r="U80">
        <v>14131</v>
      </c>
      <c r="V80" s="46">
        <f t="shared" si="40"/>
        <v>1220.1304799999998</v>
      </c>
      <c r="X80"/>
      <c r="Z80">
        <f t="shared" si="28"/>
        <v>0</v>
      </c>
      <c r="AA80" s="130">
        <v>0</v>
      </c>
      <c r="AB80" s="84"/>
      <c r="AC80" s="8">
        <f t="shared" si="41"/>
        <v>0</v>
      </c>
      <c r="AD80" s="135">
        <v>0</v>
      </c>
      <c r="AE80" s="15">
        <f t="shared" si="29"/>
        <v>0</v>
      </c>
      <c r="AF80" s="43">
        <f t="shared" si="30"/>
        <v>0</v>
      </c>
      <c r="AT80" s="1"/>
      <c r="AU80" s="27">
        <f t="shared" si="15"/>
        <v>0.15400000000000003</v>
      </c>
      <c r="AV80" s="27">
        <f t="shared" si="16"/>
        <v>0</v>
      </c>
      <c r="AW80" s="35">
        <f t="shared" si="17"/>
        <v>0</v>
      </c>
    </row>
    <row r="81" spans="1:120" ht="17.5" customHeight="1" x14ac:dyDescent="0.2">
      <c r="C81" s="46" t="s">
        <v>18</v>
      </c>
      <c r="D81">
        <f t="shared" si="33"/>
        <v>9.6832717635066192</v>
      </c>
      <c r="E81" t="e">
        <f t="shared" si="34"/>
        <v>#DIV/0!</v>
      </c>
      <c r="F81" s="49">
        <v>7.6</v>
      </c>
      <c r="H81">
        <v>8800</v>
      </c>
      <c r="I81">
        <v>100</v>
      </c>
      <c r="J81">
        <f t="shared" si="36"/>
        <v>1072.5119999999999</v>
      </c>
      <c r="K81">
        <v>150</v>
      </c>
      <c r="L81">
        <f t="shared" si="37"/>
        <v>1693.4399999999998</v>
      </c>
      <c r="M81">
        <v>50</v>
      </c>
      <c r="N81">
        <v>30</v>
      </c>
      <c r="O81">
        <v>910</v>
      </c>
      <c r="P81">
        <f t="shared" si="38"/>
        <v>256.11904000000004</v>
      </c>
      <c r="Q81">
        <v>100</v>
      </c>
      <c r="S81">
        <f t="shared" si="39"/>
        <v>13162.071040000001</v>
      </c>
      <c r="T81">
        <f t="shared" si="35"/>
        <v>12889.487999999999</v>
      </c>
      <c r="U81">
        <v>14112</v>
      </c>
      <c r="V81" s="46">
        <f t="shared" si="40"/>
        <v>949.92895999999928</v>
      </c>
      <c r="X81"/>
      <c r="Z81">
        <f t="shared" si="28"/>
        <v>0</v>
      </c>
      <c r="AA81" s="130">
        <v>0</v>
      </c>
      <c r="AB81" s="84"/>
      <c r="AC81" s="8">
        <f t="shared" si="41"/>
        <v>0</v>
      </c>
      <c r="AD81" s="135">
        <v>0</v>
      </c>
      <c r="AE81" s="15">
        <f t="shared" si="29"/>
        <v>0</v>
      </c>
      <c r="AF81" s="43">
        <f t="shared" si="30"/>
        <v>0</v>
      </c>
      <c r="AO81" s="56">
        <v>2</v>
      </c>
      <c r="AP81" s="57">
        <v>2</v>
      </c>
      <c r="AQ81" s="57">
        <f>AO81-AP81</f>
        <v>0</v>
      </c>
      <c r="AR81" s="58">
        <f>AQ81-AS81</f>
        <v>0</v>
      </c>
      <c r="AS81" s="59">
        <v>0</v>
      </c>
      <c r="AT81" s="61">
        <v>6</v>
      </c>
      <c r="AU81" s="27">
        <f t="shared" si="15"/>
        <v>0.15400000000000003</v>
      </c>
      <c r="AV81" s="27">
        <f t="shared" si="16"/>
        <v>0.92400000000000015</v>
      </c>
      <c r="AW81" s="35">
        <f t="shared" si="17"/>
        <v>0</v>
      </c>
    </row>
    <row r="82" spans="1:120" ht="17.5" customHeight="1" x14ac:dyDescent="0.2">
      <c r="A82">
        <v>25</v>
      </c>
      <c r="C82" s="46" t="s">
        <v>128</v>
      </c>
      <c r="D82">
        <f t="shared" si="33"/>
        <v>31.397635872501361</v>
      </c>
      <c r="E82" t="e">
        <f t="shared" si="34"/>
        <v>#DIV/0!</v>
      </c>
      <c r="F82" s="49">
        <v>7.6</v>
      </c>
      <c r="H82">
        <v>17500</v>
      </c>
      <c r="I82">
        <v>100</v>
      </c>
      <c r="J82">
        <f t="shared" si="36"/>
        <v>2377.2800000000002</v>
      </c>
      <c r="K82">
        <v>150</v>
      </c>
      <c r="L82">
        <f t="shared" si="37"/>
        <v>3753.6</v>
      </c>
      <c r="M82">
        <v>50</v>
      </c>
      <c r="N82">
        <v>30</v>
      </c>
      <c r="O82">
        <v>910</v>
      </c>
      <c r="P82">
        <f t="shared" si="38"/>
        <v>497.41759999999994</v>
      </c>
      <c r="Q82">
        <v>100</v>
      </c>
      <c r="S82">
        <f t="shared" si="39"/>
        <v>25468.297599999998</v>
      </c>
      <c r="T82">
        <f t="shared" si="35"/>
        <v>28752.720000000001</v>
      </c>
      <c r="U82">
        <v>31280</v>
      </c>
      <c r="V82" s="46">
        <f t="shared" si="40"/>
        <v>5811.7024000000019</v>
      </c>
      <c r="X82"/>
      <c r="Z82">
        <f t="shared" si="28"/>
        <v>0</v>
      </c>
      <c r="AA82" s="130"/>
      <c r="AB82" s="84"/>
      <c r="AC82" s="8">
        <f t="shared" si="41"/>
        <v>0</v>
      </c>
      <c r="AD82" s="135">
        <v>0</v>
      </c>
      <c r="AE82" s="15">
        <f t="shared" si="29"/>
        <v>0</v>
      </c>
      <c r="AF82" s="43">
        <f t="shared" si="30"/>
        <v>0</v>
      </c>
      <c r="AT82" s="1"/>
      <c r="AU82" s="27">
        <f t="shared" si="15"/>
        <v>0.15400000000000003</v>
      </c>
      <c r="AV82" s="27">
        <f t="shared" si="16"/>
        <v>0</v>
      </c>
      <c r="AW82" s="35">
        <f t="shared" si="17"/>
        <v>0</v>
      </c>
    </row>
    <row r="83" spans="1:120" ht="17.5" customHeight="1" x14ac:dyDescent="0.2">
      <c r="A83">
        <v>28</v>
      </c>
      <c r="C83" s="46" t="s">
        <v>130</v>
      </c>
      <c r="D83">
        <f t="shared" si="33"/>
        <v>7.2302846846846807</v>
      </c>
      <c r="E83">
        <f t="shared" si="34"/>
        <v>5.5155947375730454</v>
      </c>
      <c r="F83" s="49">
        <v>7.6</v>
      </c>
      <c r="H83">
        <v>22300</v>
      </c>
      <c r="I83">
        <v>100</v>
      </c>
      <c r="J83">
        <f t="shared" si="36"/>
        <v>2450.3919999999998</v>
      </c>
      <c r="K83">
        <v>150</v>
      </c>
      <c r="L83">
        <f t="shared" si="37"/>
        <v>3869.04</v>
      </c>
      <c r="M83">
        <v>50</v>
      </c>
      <c r="N83">
        <v>30</v>
      </c>
      <c r="O83">
        <v>910</v>
      </c>
      <c r="P83">
        <f t="shared" si="38"/>
        <v>597.18864000000008</v>
      </c>
      <c r="Q83">
        <v>100</v>
      </c>
      <c r="S83">
        <f t="shared" si="39"/>
        <v>30556.620640000001</v>
      </c>
      <c r="T83">
        <f t="shared" si="35"/>
        <v>29641.608</v>
      </c>
      <c r="U83">
        <v>32242</v>
      </c>
      <c r="V83" s="46">
        <f t="shared" si="40"/>
        <v>1685.379359999999</v>
      </c>
      <c r="X83"/>
      <c r="Z83">
        <f t="shared" si="28"/>
        <v>27956.228640000001</v>
      </c>
      <c r="AA83" s="130"/>
      <c r="AB83" s="84"/>
      <c r="AC83" s="8">
        <f t="shared" si="41"/>
        <v>1685.379359999999</v>
      </c>
      <c r="AD83" s="81">
        <v>1</v>
      </c>
      <c r="AE83" s="15">
        <f t="shared" si="29"/>
        <v>1685.379359999999</v>
      </c>
      <c r="AF83" s="43">
        <f t="shared" si="30"/>
        <v>29641.608</v>
      </c>
      <c r="AT83" s="1"/>
      <c r="AU83" s="27">
        <f t="shared" si="15"/>
        <v>0.15400000000000003</v>
      </c>
      <c r="AV83" s="27">
        <f t="shared" si="16"/>
        <v>0</v>
      </c>
      <c r="AW83" s="35">
        <f t="shared" si="17"/>
        <v>0</v>
      </c>
    </row>
    <row r="84" spans="1:120" ht="17.5" customHeight="1" x14ac:dyDescent="0.2">
      <c r="C84" s="46" t="s">
        <v>133</v>
      </c>
      <c r="D84">
        <f t="shared" si="33"/>
        <v>41.60331950207469</v>
      </c>
      <c r="E84" t="e">
        <f t="shared" si="34"/>
        <v>#DIV/0!</v>
      </c>
      <c r="F84" s="49">
        <v>7.6</v>
      </c>
      <c r="H84">
        <v>25500</v>
      </c>
      <c r="I84">
        <v>100</v>
      </c>
      <c r="J84">
        <f t="shared" si="36"/>
        <v>3648</v>
      </c>
      <c r="K84">
        <v>150</v>
      </c>
      <c r="L84">
        <f t="shared" si="37"/>
        <v>5760</v>
      </c>
      <c r="M84">
        <v>50</v>
      </c>
      <c r="N84">
        <v>30</v>
      </c>
      <c r="O84">
        <v>910</v>
      </c>
      <c r="P84">
        <f t="shared" si="38"/>
        <v>722.96</v>
      </c>
      <c r="Q84">
        <v>100</v>
      </c>
      <c r="S84">
        <f t="shared" si="39"/>
        <v>36970.959999999999</v>
      </c>
      <c r="T84">
        <f t="shared" si="35"/>
        <v>44202</v>
      </c>
      <c r="U84">
        <v>48000</v>
      </c>
      <c r="V84" s="46">
        <f t="shared" si="40"/>
        <v>11029.04</v>
      </c>
      <c r="X84"/>
      <c r="Z84">
        <f t="shared" si="28"/>
        <v>0</v>
      </c>
      <c r="AA84" s="130"/>
      <c r="AB84" s="84"/>
      <c r="AC84" s="8">
        <f t="shared" si="41"/>
        <v>0</v>
      </c>
      <c r="AD84" s="135">
        <v>0</v>
      </c>
      <c r="AE84" s="15">
        <f t="shared" si="29"/>
        <v>0</v>
      </c>
      <c r="AF84" s="43">
        <f t="shared" si="30"/>
        <v>0</v>
      </c>
      <c r="AT84" s="1"/>
      <c r="AU84" s="27">
        <f t="shared" si="15"/>
        <v>0.15400000000000003</v>
      </c>
      <c r="AV84" s="27">
        <f t="shared" si="16"/>
        <v>0</v>
      </c>
      <c r="AW84" s="35">
        <f t="shared" si="17"/>
        <v>0</v>
      </c>
    </row>
    <row r="85" spans="1:120" ht="17.5" customHeight="1" x14ac:dyDescent="0.2">
      <c r="A85">
        <v>29</v>
      </c>
      <c r="C85" s="46" t="s">
        <v>131</v>
      </c>
      <c r="D85">
        <f t="shared" si="33"/>
        <v>11.396875231395786</v>
      </c>
      <c r="E85" t="e">
        <f t="shared" si="34"/>
        <v>#DIV/0!</v>
      </c>
      <c r="F85" s="49">
        <v>7.6</v>
      </c>
      <c r="H85" s="22">
        <v>26000</v>
      </c>
      <c r="I85">
        <v>100</v>
      </c>
      <c r="J85">
        <f t="shared" si="36"/>
        <v>2941.2</v>
      </c>
      <c r="K85">
        <v>150</v>
      </c>
      <c r="L85">
        <f t="shared" si="37"/>
        <v>4644</v>
      </c>
      <c r="M85">
        <v>50</v>
      </c>
      <c r="N85">
        <v>30</v>
      </c>
      <c r="O85">
        <v>910</v>
      </c>
      <c r="P85">
        <f t="shared" si="38"/>
        <v>696.50399999999991</v>
      </c>
      <c r="Q85">
        <v>100</v>
      </c>
      <c r="S85">
        <f t="shared" si="39"/>
        <v>35621.703999999998</v>
      </c>
      <c r="T85">
        <f t="shared" si="35"/>
        <v>35608.800000000003</v>
      </c>
      <c r="U85">
        <v>38700</v>
      </c>
      <c r="V85" s="46">
        <f t="shared" si="40"/>
        <v>3078.2960000000021</v>
      </c>
      <c r="X85"/>
      <c r="Z85">
        <f t="shared" si="28"/>
        <v>0</v>
      </c>
      <c r="AA85" s="130"/>
      <c r="AB85" s="84"/>
      <c r="AC85" s="8">
        <f t="shared" si="41"/>
        <v>0</v>
      </c>
      <c r="AD85" s="135">
        <v>0</v>
      </c>
      <c r="AE85" s="15">
        <f t="shared" si="29"/>
        <v>0</v>
      </c>
      <c r="AF85" s="43">
        <f t="shared" si="30"/>
        <v>0</v>
      </c>
      <c r="AT85" s="1"/>
      <c r="AU85" s="27">
        <f t="shared" si="15"/>
        <v>0.15400000000000003</v>
      </c>
      <c r="AV85" s="27">
        <f t="shared" si="16"/>
        <v>0</v>
      </c>
      <c r="AW85" s="35">
        <f t="shared" si="17"/>
        <v>0</v>
      </c>
      <c r="AZ85">
        <v>0</v>
      </c>
      <c r="CP85" t="s">
        <v>66</v>
      </c>
      <c r="CS85">
        <v>7.0000000000000007E-2</v>
      </c>
      <c r="CY85" t="s">
        <v>66</v>
      </c>
      <c r="DB85">
        <v>7.0000000000000007E-2</v>
      </c>
      <c r="DE85" t="s">
        <v>66</v>
      </c>
      <c r="DH85">
        <v>7.0000000000000007E-2</v>
      </c>
      <c r="DL85" t="s">
        <v>66</v>
      </c>
      <c r="DO85">
        <v>7.0000000000000007E-2</v>
      </c>
      <c r="DP85" t="s">
        <v>126</v>
      </c>
    </row>
    <row r="86" spans="1:120" ht="17.5" customHeight="1" x14ac:dyDescent="0.2">
      <c r="A86">
        <v>31</v>
      </c>
      <c r="C86" s="46" t="s">
        <v>134</v>
      </c>
      <c r="D86">
        <f t="shared" si="33"/>
        <v>11.564793438639116</v>
      </c>
      <c r="E86" t="e">
        <f t="shared" si="34"/>
        <v>#DIV/0!</v>
      </c>
      <c r="F86" s="49">
        <v>7.6</v>
      </c>
      <c r="H86">
        <v>25326</v>
      </c>
      <c r="I86">
        <v>100</v>
      </c>
      <c r="J86">
        <f t="shared" si="36"/>
        <v>2872.8</v>
      </c>
      <c r="K86">
        <v>150</v>
      </c>
      <c r="L86">
        <f t="shared" si="37"/>
        <v>4536</v>
      </c>
      <c r="M86">
        <v>50</v>
      </c>
      <c r="N86">
        <v>30</v>
      </c>
      <c r="O86">
        <v>910</v>
      </c>
      <c r="P86">
        <f t="shared" si="38"/>
        <v>679.49600000000009</v>
      </c>
      <c r="Q86">
        <v>100</v>
      </c>
      <c r="S86">
        <f t="shared" si="39"/>
        <v>34754.296000000002</v>
      </c>
      <c r="T86">
        <f t="shared" si="35"/>
        <v>34777.199999999997</v>
      </c>
      <c r="U86">
        <v>37800</v>
      </c>
      <c r="V86" s="46">
        <f t="shared" si="40"/>
        <v>3045.7039999999979</v>
      </c>
      <c r="X86"/>
      <c r="Z86">
        <f t="shared" si="28"/>
        <v>0</v>
      </c>
      <c r="AA86" s="130"/>
      <c r="AB86" s="84"/>
      <c r="AC86" s="8">
        <f t="shared" si="41"/>
        <v>0</v>
      </c>
      <c r="AD86" s="135">
        <v>0</v>
      </c>
      <c r="AE86" s="15">
        <f t="shared" si="29"/>
        <v>0</v>
      </c>
      <c r="AF86" s="43">
        <f t="shared" si="30"/>
        <v>0</v>
      </c>
      <c r="AT86" s="1"/>
      <c r="AU86" s="27">
        <f t="shared" ref="AU86:AU149" si="42">0.07*2.2</f>
        <v>0.15400000000000003</v>
      </c>
      <c r="AV86" s="27">
        <f t="shared" ref="AV86:AV149" si="43">AT86*AU86</f>
        <v>0</v>
      </c>
      <c r="AW86" s="35">
        <f t="shared" ref="AW86:AW149" si="44">AQ86*AV86</f>
        <v>0</v>
      </c>
    </row>
    <row r="87" spans="1:120" ht="17.5" customHeight="1" thickBot="1" x14ac:dyDescent="0.25">
      <c r="A87">
        <v>29</v>
      </c>
      <c r="C87" s="46" t="s">
        <v>135</v>
      </c>
      <c r="D87">
        <f t="shared" si="33"/>
        <v>26.484760522496366</v>
      </c>
      <c r="E87" t="e">
        <f t="shared" si="34"/>
        <v>#DIV/0!</v>
      </c>
      <c r="F87" s="49">
        <v>7.6</v>
      </c>
      <c r="H87">
        <v>61000</v>
      </c>
      <c r="I87">
        <v>100</v>
      </c>
      <c r="J87">
        <f t="shared" si="36"/>
        <v>7600</v>
      </c>
      <c r="K87">
        <v>150</v>
      </c>
      <c r="L87">
        <f t="shared" si="37"/>
        <v>12000</v>
      </c>
      <c r="M87">
        <v>50</v>
      </c>
      <c r="N87">
        <v>30</v>
      </c>
      <c r="O87">
        <v>910</v>
      </c>
      <c r="P87">
        <f t="shared" si="38"/>
        <v>1636.8</v>
      </c>
      <c r="Q87">
        <v>100</v>
      </c>
      <c r="S87">
        <f t="shared" si="39"/>
        <v>83576.800000000003</v>
      </c>
      <c r="T87">
        <f t="shared" si="35"/>
        <v>92250</v>
      </c>
      <c r="U87">
        <v>100000</v>
      </c>
      <c r="V87" s="46">
        <f t="shared" si="40"/>
        <v>16423.199999999997</v>
      </c>
      <c r="X87"/>
      <c r="Z87">
        <f t="shared" si="28"/>
        <v>0</v>
      </c>
      <c r="AA87" s="130"/>
      <c r="AB87" s="85"/>
      <c r="AC87" s="8">
        <f t="shared" si="41"/>
        <v>0</v>
      </c>
      <c r="AD87" s="135"/>
      <c r="AE87" s="15">
        <f t="shared" si="29"/>
        <v>0</v>
      </c>
      <c r="AF87" s="43">
        <f t="shared" si="30"/>
        <v>0</v>
      </c>
      <c r="AT87" s="1"/>
      <c r="AU87" s="27">
        <f t="shared" si="42"/>
        <v>0.15400000000000003</v>
      </c>
      <c r="AV87" s="27">
        <f t="shared" si="43"/>
        <v>0</v>
      </c>
      <c r="AW87" s="35">
        <f t="shared" si="44"/>
        <v>0</v>
      </c>
    </row>
    <row r="88" spans="1:120" ht="17.5" customHeight="1" x14ac:dyDescent="0.2">
      <c r="J88">
        <f t="shared" si="36"/>
        <v>0</v>
      </c>
      <c r="K88">
        <v>150</v>
      </c>
      <c r="L88">
        <f t="shared" si="37"/>
        <v>0</v>
      </c>
      <c r="P88">
        <f t="shared" si="38"/>
        <v>3</v>
      </c>
      <c r="S88">
        <f t="shared" si="39"/>
        <v>153</v>
      </c>
      <c r="U88"/>
      <c r="V88" s="46">
        <f t="shared" si="40"/>
        <v>-153</v>
      </c>
      <c r="X88"/>
      <c r="Z88">
        <f t="shared" si="28"/>
        <v>0</v>
      </c>
      <c r="AA88" s="130"/>
      <c r="AB88" s="11">
        <f>SUM(AC88:AC97)</f>
        <v>0</v>
      </c>
      <c r="AC88" s="8">
        <f t="shared" si="41"/>
        <v>0</v>
      </c>
      <c r="AD88" s="135"/>
      <c r="AE88" s="15">
        <f t="shared" si="29"/>
        <v>0</v>
      </c>
      <c r="AF88" s="43">
        <f t="shared" si="30"/>
        <v>0</v>
      </c>
      <c r="AT88" s="1"/>
      <c r="AU88" s="27">
        <f t="shared" si="42"/>
        <v>0.15400000000000003</v>
      </c>
      <c r="AV88" s="27">
        <f t="shared" si="43"/>
        <v>0</v>
      </c>
      <c r="AW88" s="35">
        <f t="shared" si="44"/>
        <v>0</v>
      </c>
    </row>
    <row r="89" spans="1:120" ht="17.5" customHeight="1" x14ac:dyDescent="0.2">
      <c r="J89">
        <f t="shared" si="36"/>
        <v>0</v>
      </c>
      <c r="K89">
        <v>150</v>
      </c>
      <c r="L89">
        <f t="shared" si="37"/>
        <v>0</v>
      </c>
      <c r="P89">
        <f t="shared" si="38"/>
        <v>3</v>
      </c>
      <c r="S89">
        <f t="shared" si="39"/>
        <v>153</v>
      </c>
      <c r="U89"/>
      <c r="V89" s="46">
        <f t="shared" si="40"/>
        <v>-153</v>
      </c>
      <c r="X89"/>
      <c r="Z89">
        <f t="shared" si="28"/>
        <v>0</v>
      </c>
      <c r="AA89" s="130"/>
      <c r="AB89" s="11">
        <f>SUM(AC90:AC93)</f>
        <v>0</v>
      </c>
      <c r="AC89" s="8">
        <f t="shared" si="41"/>
        <v>0</v>
      </c>
      <c r="AD89" s="135"/>
      <c r="AE89" s="15">
        <f t="shared" si="29"/>
        <v>0</v>
      </c>
      <c r="AF89" s="43">
        <f t="shared" si="30"/>
        <v>0</v>
      </c>
      <c r="AT89" s="1"/>
      <c r="AU89" s="27">
        <f t="shared" si="42"/>
        <v>0.15400000000000003</v>
      </c>
      <c r="AV89" s="27">
        <f t="shared" si="43"/>
        <v>0</v>
      </c>
      <c r="AW89" s="35">
        <f t="shared" si="44"/>
        <v>0</v>
      </c>
    </row>
    <row r="90" spans="1:120" ht="17.5" customHeight="1" x14ac:dyDescent="0.2">
      <c r="C90" s="46" t="s">
        <v>94</v>
      </c>
      <c r="D90">
        <f>V90/((H90+I90+O90)/100)</f>
        <v>37.702084588504626</v>
      </c>
      <c r="E90" t="e">
        <f>AC90/AD90/(S90/100)</f>
        <v>#DIV/0!</v>
      </c>
      <c r="F90">
        <v>7.6</v>
      </c>
      <c r="H90">
        <v>15638</v>
      </c>
      <c r="I90">
        <v>50</v>
      </c>
      <c r="J90">
        <f t="shared" si="36"/>
        <v>2234.4</v>
      </c>
      <c r="K90">
        <v>150</v>
      </c>
      <c r="L90">
        <f t="shared" si="37"/>
        <v>3528</v>
      </c>
      <c r="M90">
        <v>50</v>
      </c>
      <c r="N90">
        <v>30</v>
      </c>
      <c r="O90">
        <v>910</v>
      </c>
      <c r="P90">
        <f t="shared" si="38"/>
        <v>451.80800000000005</v>
      </c>
      <c r="Q90">
        <v>100</v>
      </c>
      <c r="S90">
        <f t="shared" si="39"/>
        <v>23142.208000000002</v>
      </c>
      <c r="T90">
        <f t="shared" si="35"/>
        <v>27015.599999999999</v>
      </c>
      <c r="U90">
        <v>29400</v>
      </c>
      <c r="V90" s="46">
        <f t="shared" si="40"/>
        <v>6257.7919999999976</v>
      </c>
      <c r="X90"/>
      <c r="Z90">
        <f t="shared" si="28"/>
        <v>0</v>
      </c>
      <c r="AA90" s="130"/>
      <c r="AC90" s="8">
        <f t="shared" si="41"/>
        <v>0</v>
      </c>
      <c r="AD90" s="135">
        <v>0</v>
      </c>
      <c r="AE90" s="15">
        <f t="shared" si="29"/>
        <v>0</v>
      </c>
      <c r="AF90" s="43">
        <f t="shared" si="30"/>
        <v>0</v>
      </c>
      <c r="AT90" s="1">
        <v>6</v>
      </c>
      <c r="AU90" s="27">
        <f t="shared" si="42"/>
        <v>0.15400000000000003</v>
      </c>
      <c r="AV90" s="27">
        <f t="shared" si="43"/>
        <v>0.92400000000000015</v>
      </c>
      <c r="AW90" s="35">
        <f t="shared" si="44"/>
        <v>0</v>
      </c>
      <c r="AZ90">
        <v>0</v>
      </c>
      <c r="DP90" t="s">
        <v>126</v>
      </c>
    </row>
    <row r="91" spans="1:120" ht="17.5" customHeight="1" x14ac:dyDescent="0.2">
      <c r="C91" s="46" t="s">
        <v>184</v>
      </c>
      <c r="D91">
        <f>V91/((H91+I91+O91)/100)</f>
        <v>34.318353909465017</v>
      </c>
      <c r="E91" t="e">
        <f>AC91/AD91/(S91/100)</f>
        <v>#DIV/0!</v>
      </c>
      <c r="F91">
        <v>7.6</v>
      </c>
      <c r="H91">
        <v>16000</v>
      </c>
      <c r="I91">
        <v>100</v>
      </c>
      <c r="J91">
        <f t="shared" si="36"/>
        <v>2234.4</v>
      </c>
      <c r="K91">
        <v>150</v>
      </c>
      <c r="L91">
        <f t="shared" si="37"/>
        <v>3528</v>
      </c>
      <c r="M91">
        <v>50</v>
      </c>
      <c r="N91">
        <v>30</v>
      </c>
      <c r="O91">
        <v>910</v>
      </c>
      <c r="P91">
        <f t="shared" si="38"/>
        <v>460.04800000000006</v>
      </c>
      <c r="Q91">
        <v>100</v>
      </c>
      <c r="S91">
        <f t="shared" si="39"/>
        <v>23562.448</v>
      </c>
      <c r="T91">
        <f t="shared" si="35"/>
        <v>27015.599999999999</v>
      </c>
      <c r="U91">
        <v>29400</v>
      </c>
      <c r="V91" s="46">
        <f t="shared" si="40"/>
        <v>5837.5519999999997</v>
      </c>
      <c r="X91"/>
      <c r="Z91">
        <f t="shared" si="28"/>
        <v>0</v>
      </c>
      <c r="AA91" s="130"/>
      <c r="AC91" s="8">
        <f t="shared" si="41"/>
        <v>0</v>
      </c>
      <c r="AD91" s="135">
        <v>0</v>
      </c>
      <c r="AE91" s="15">
        <f t="shared" si="29"/>
        <v>0</v>
      </c>
      <c r="AF91" s="43">
        <f t="shared" si="30"/>
        <v>0</v>
      </c>
      <c r="AT91" s="1">
        <v>6</v>
      </c>
      <c r="AU91" s="27">
        <f t="shared" si="42"/>
        <v>0.15400000000000003</v>
      </c>
      <c r="AV91" s="27">
        <f t="shared" si="43"/>
        <v>0.92400000000000015</v>
      </c>
      <c r="AW91" s="35">
        <f t="shared" si="44"/>
        <v>0</v>
      </c>
      <c r="AX91">
        <v>0</v>
      </c>
      <c r="AZ91">
        <v>0</v>
      </c>
      <c r="CP91" t="s">
        <v>88</v>
      </c>
      <c r="DP91" t="s">
        <v>126</v>
      </c>
    </row>
    <row r="92" spans="1:120" ht="17.5" customHeight="1" x14ac:dyDescent="0.2">
      <c r="C92" s="46" t="s">
        <v>123</v>
      </c>
      <c r="D92">
        <f>V92/((H92+I92+O92)/100)</f>
        <v>51.253541066892467</v>
      </c>
      <c r="E92" t="e">
        <f>AC92/AD92/(S92/100)</f>
        <v>#DIV/0!</v>
      </c>
      <c r="F92">
        <v>7.6</v>
      </c>
      <c r="H92">
        <v>10800</v>
      </c>
      <c r="I92">
        <v>100</v>
      </c>
      <c r="J92">
        <f t="shared" si="36"/>
        <v>1751.04</v>
      </c>
      <c r="K92">
        <v>150</v>
      </c>
      <c r="L92">
        <f t="shared" si="37"/>
        <v>2764.7999999999997</v>
      </c>
      <c r="M92">
        <v>50</v>
      </c>
      <c r="N92">
        <v>30</v>
      </c>
      <c r="O92">
        <v>910</v>
      </c>
      <c r="P92">
        <f t="shared" si="38"/>
        <v>331.11680000000001</v>
      </c>
      <c r="Q92">
        <v>100</v>
      </c>
      <c r="S92">
        <f t="shared" si="39"/>
        <v>16986.9568</v>
      </c>
      <c r="T92">
        <f t="shared" si="35"/>
        <v>21138.959999999999</v>
      </c>
      <c r="U92">
        <v>23040</v>
      </c>
      <c r="V92" s="46">
        <f t="shared" si="40"/>
        <v>6053.0432000000001</v>
      </c>
      <c r="X92"/>
      <c r="Z92">
        <f t="shared" si="28"/>
        <v>0</v>
      </c>
      <c r="AA92" s="130">
        <v>0</v>
      </c>
      <c r="AC92" s="8">
        <f t="shared" si="41"/>
        <v>0</v>
      </c>
      <c r="AD92" s="135">
        <v>0</v>
      </c>
      <c r="AE92" s="15">
        <f t="shared" si="29"/>
        <v>0</v>
      </c>
      <c r="AF92" s="43">
        <f t="shared" si="30"/>
        <v>0</v>
      </c>
      <c r="AT92" s="1">
        <v>6</v>
      </c>
      <c r="AU92" s="27">
        <f t="shared" si="42"/>
        <v>0.15400000000000003</v>
      </c>
      <c r="AV92" s="27">
        <f t="shared" si="43"/>
        <v>0.92400000000000015</v>
      </c>
      <c r="AW92" s="35">
        <f t="shared" si="44"/>
        <v>0</v>
      </c>
      <c r="AX92">
        <v>0</v>
      </c>
      <c r="AZ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DP92" t="s">
        <v>126</v>
      </c>
    </row>
    <row r="93" spans="1:120" ht="17.5" customHeight="1" x14ac:dyDescent="0.2">
      <c r="C93" s="46" t="s">
        <v>124</v>
      </c>
      <c r="D93">
        <f>V93/((H93+I93+O93)/100)</f>
        <v>33.391211343686713</v>
      </c>
      <c r="E93" t="e">
        <f>AC93/AD93/(S93/100)</f>
        <v>#DIV/0!</v>
      </c>
      <c r="F93">
        <v>7.6</v>
      </c>
      <c r="H93">
        <v>13800</v>
      </c>
      <c r="I93">
        <v>100</v>
      </c>
      <c r="J93">
        <f t="shared" si="36"/>
        <v>1936.48</v>
      </c>
      <c r="K93">
        <v>150</v>
      </c>
      <c r="L93">
        <f t="shared" si="37"/>
        <v>3057.6</v>
      </c>
      <c r="M93">
        <v>50</v>
      </c>
      <c r="N93">
        <v>30</v>
      </c>
      <c r="O93">
        <v>910</v>
      </c>
      <c r="P93">
        <f t="shared" si="38"/>
        <v>400.68159999999995</v>
      </c>
      <c r="Q93">
        <v>100</v>
      </c>
      <c r="S93">
        <f t="shared" si="39"/>
        <v>20534.761599999998</v>
      </c>
      <c r="T93">
        <f t="shared" si="35"/>
        <v>23393.52</v>
      </c>
      <c r="U93">
        <v>25480</v>
      </c>
      <c r="V93" s="46">
        <f t="shared" si="40"/>
        <v>4945.238400000002</v>
      </c>
      <c r="X93"/>
      <c r="Z93">
        <f t="shared" si="28"/>
        <v>0</v>
      </c>
      <c r="AA93" s="130"/>
      <c r="AC93" s="8">
        <f t="shared" si="41"/>
        <v>0</v>
      </c>
      <c r="AD93" s="135">
        <v>0</v>
      </c>
      <c r="AE93" s="15">
        <f t="shared" si="29"/>
        <v>0</v>
      </c>
      <c r="AF93" s="43">
        <f t="shared" si="30"/>
        <v>0</v>
      </c>
      <c r="AT93" s="1">
        <v>6</v>
      </c>
      <c r="AU93" s="27">
        <f t="shared" si="42"/>
        <v>0.15400000000000003</v>
      </c>
      <c r="AV93" s="27">
        <f t="shared" si="43"/>
        <v>0.92400000000000015</v>
      </c>
      <c r="AW93" s="35">
        <f t="shared" si="44"/>
        <v>0</v>
      </c>
      <c r="AX93">
        <v>0</v>
      </c>
      <c r="AZ93">
        <v>0</v>
      </c>
      <c r="CR93" t="s">
        <v>71</v>
      </c>
      <c r="CX93" t="s">
        <v>87</v>
      </c>
      <c r="DP93" t="s">
        <v>126</v>
      </c>
    </row>
    <row r="94" spans="1:120" ht="17.5" customHeight="1" x14ac:dyDescent="0.2">
      <c r="J94">
        <f t="shared" si="36"/>
        <v>0</v>
      </c>
      <c r="K94">
        <v>150</v>
      </c>
      <c r="L94">
        <f t="shared" si="37"/>
        <v>0</v>
      </c>
      <c r="P94">
        <f t="shared" si="38"/>
        <v>3</v>
      </c>
      <c r="S94">
        <f t="shared" si="39"/>
        <v>153</v>
      </c>
      <c r="U94"/>
      <c r="V94" s="46">
        <f t="shared" si="40"/>
        <v>-153</v>
      </c>
      <c r="X94"/>
      <c r="Z94">
        <f t="shared" si="28"/>
        <v>0</v>
      </c>
      <c r="AA94" s="130"/>
      <c r="AC94" s="8">
        <f t="shared" si="41"/>
        <v>0</v>
      </c>
      <c r="AD94" s="135"/>
      <c r="AE94" s="15">
        <f t="shared" si="29"/>
        <v>0</v>
      </c>
      <c r="AF94" s="43">
        <f t="shared" si="30"/>
        <v>0</v>
      </c>
      <c r="AT94" s="1">
        <v>6</v>
      </c>
      <c r="AU94" s="27">
        <f t="shared" si="42"/>
        <v>0.15400000000000003</v>
      </c>
      <c r="AV94" s="27">
        <f t="shared" si="43"/>
        <v>0.92400000000000015</v>
      </c>
      <c r="AW94" s="35">
        <f t="shared" si="44"/>
        <v>0</v>
      </c>
      <c r="AX94">
        <v>0</v>
      </c>
      <c r="AZ94">
        <v>0</v>
      </c>
      <c r="DP94" t="s">
        <v>126</v>
      </c>
    </row>
    <row r="95" spans="1:120" ht="17.5" customHeight="1" x14ac:dyDescent="0.2">
      <c r="A95">
        <v>30</v>
      </c>
      <c r="C95" t="s">
        <v>129</v>
      </c>
      <c r="D95">
        <f>V95/((H95+I95+O95)/100)</f>
        <v>26.315532664678784</v>
      </c>
      <c r="E95" t="e">
        <f t="shared" ref="E95:E97" si="45">AC95/AD95/(S95/100)</f>
        <v>#DIV/0!</v>
      </c>
      <c r="F95">
        <v>7.6</v>
      </c>
      <c r="H95">
        <v>17500</v>
      </c>
      <c r="I95">
        <v>35</v>
      </c>
      <c r="J95">
        <f t="shared" si="36"/>
        <v>2280</v>
      </c>
      <c r="K95">
        <v>150</v>
      </c>
      <c r="L95">
        <f t="shared" si="37"/>
        <v>3600</v>
      </c>
      <c r="M95">
        <v>50</v>
      </c>
      <c r="N95">
        <v>30</v>
      </c>
      <c r="O95">
        <v>910</v>
      </c>
      <c r="P95">
        <f t="shared" si="38"/>
        <v>491.1</v>
      </c>
      <c r="Q95">
        <v>100</v>
      </c>
      <c r="S95">
        <f t="shared" si="39"/>
        <v>25146.1</v>
      </c>
      <c r="T95">
        <f t="shared" si="35"/>
        <v>27570</v>
      </c>
      <c r="U95">
        <v>30000</v>
      </c>
      <c r="V95" s="46">
        <f t="shared" si="40"/>
        <v>4853.9000000000015</v>
      </c>
      <c r="X95"/>
      <c r="Z95">
        <f t="shared" si="28"/>
        <v>0</v>
      </c>
      <c r="AA95" s="130"/>
      <c r="AC95" s="8">
        <f t="shared" si="41"/>
        <v>0</v>
      </c>
      <c r="AD95" s="135">
        <v>0</v>
      </c>
      <c r="AE95" s="15">
        <f t="shared" si="29"/>
        <v>0</v>
      </c>
      <c r="AF95" s="43">
        <f t="shared" si="30"/>
        <v>0</v>
      </c>
      <c r="AT95" s="1">
        <v>6</v>
      </c>
      <c r="AU95" s="27">
        <f t="shared" si="42"/>
        <v>0.15400000000000003</v>
      </c>
      <c r="AV95" s="27">
        <f t="shared" si="43"/>
        <v>0.92400000000000015</v>
      </c>
      <c r="AW95" s="35">
        <f t="shared" si="44"/>
        <v>0</v>
      </c>
      <c r="AX95">
        <v>0</v>
      </c>
      <c r="AZ95">
        <v>0</v>
      </c>
      <c r="DP95" t="s">
        <v>126</v>
      </c>
    </row>
    <row r="96" spans="1:120" ht="17.5" customHeight="1" x14ac:dyDescent="0.2">
      <c r="A96">
        <v>26</v>
      </c>
      <c r="C96" s="14" t="s">
        <v>132</v>
      </c>
      <c r="D96">
        <f>V96/((H96+I96+O96)/100)</f>
        <v>33.913031060335598</v>
      </c>
      <c r="E96" t="e">
        <f t="shared" si="45"/>
        <v>#DIV/0!</v>
      </c>
      <c r="F96">
        <v>7.6</v>
      </c>
      <c r="H96">
        <v>27000</v>
      </c>
      <c r="I96">
        <v>100</v>
      </c>
      <c r="J96">
        <f t="shared" si="36"/>
        <v>3648</v>
      </c>
      <c r="K96">
        <v>150</v>
      </c>
      <c r="L96">
        <f t="shared" si="37"/>
        <v>5760</v>
      </c>
      <c r="M96">
        <v>50</v>
      </c>
      <c r="N96">
        <v>30</v>
      </c>
      <c r="O96">
        <v>910</v>
      </c>
      <c r="P96">
        <f t="shared" si="38"/>
        <v>752.96</v>
      </c>
      <c r="Q96">
        <v>100</v>
      </c>
      <c r="S96">
        <f t="shared" si="39"/>
        <v>38500.959999999999</v>
      </c>
      <c r="T96">
        <f t="shared" si="35"/>
        <v>44202</v>
      </c>
      <c r="U96">
        <v>48000</v>
      </c>
      <c r="V96" s="46">
        <f t="shared" si="40"/>
        <v>9499.0400000000009</v>
      </c>
      <c r="Z96">
        <f t="shared" si="28"/>
        <v>0</v>
      </c>
      <c r="AA96" s="130"/>
      <c r="AC96" s="8">
        <f t="shared" si="41"/>
        <v>0</v>
      </c>
      <c r="AD96" s="135"/>
      <c r="AE96" s="15">
        <f t="shared" si="29"/>
        <v>0</v>
      </c>
      <c r="AF96" s="43">
        <f t="shared" si="30"/>
        <v>0</v>
      </c>
      <c r="AT96" s="1"/>
      <c r="AU96" s="27">
        <f t="shared" si="42"/>
        <v>0.15400000000000003</v>
      </c>
      <c r="AV96" s="27">
        <f t="shared" si="43"/>
        <v>0</v>
      </c>
      <c r="AW96" s="35">
        <f t="shared" si="44"/>
        <v>0</v>
      </c>
    </row>
    <row r="97" spans="1:120" ht="17.5" customHeight="1" thickBot="1" x14ac:dyDescent="0.25">
      <c r="A97">
        <v>27</v>
      </c>
      <c r="C97" t="s">
        <v>133</v>
      </c>
      <c r="D97">
        <f>V97/((H97+I97+O97)/100)</f>
        <v>41.60331950207469</v>
      </c>
      <c r="E97" t="e">
        <f t="shared" si="45"/>
        <v>#DIV/0!</v>
      </c>
      <c r="F97">
        <v>7.6</v>
      </c>
      <c r="H97">
        <v>25500</v>
      </c>
      <c r="I97">
        <v>100</v>
      </c>
      <c r="J97">
        <f t="shared" si="36"/>
        <v>3648</v>
      </c>
      <c r="K97">
        <v>150</v>
      </c>
      <c r="L97">
        <f t="shared" si="37"/>
        <v>5760</v>
      </c>
      <c r="M97">
        <v>50</v>
      </c>
      <c r="N97">
        <v>30</v>
      </c>
      <c r="O97">
        <v>910</v>
      </c>
      <c r="P97">
        <f t="shared" si="38"/>
        <v>722.96</v>
      </c>
      <c r="Q97">
        <v>100</v>
      </c>
      <c r="S97">
        <f t="shared" si="39"/>
        <v>36970.959999999999</v>
      </c>
      <c r="T97">
        <f t="shared" si="35"/>
        <v>44202</v>
      </c>
      <c r="U97">
        <v>48000</v>
      </c>
      <c r="V97" s="46">
        <f t="shared" si="40"/>
        <v>11029.04</v>
      </c>
      <c r="Z97">
        <f t="shared" si="28"/>
        <v>0</v>
      </c>
      <c r="AA97" s="130"/>
      <c r="AC97" s="8">
        <f t="shared" si="41"/>
        <v>0</v>
      </c>
      <c r="AD97" s="135"/>
      <c r="AE97" s="15">
        <f t="shared" si="29"/>
        <v>0</v>
      </c>
      <c r="AF97" s="43">
        <f t="shared" si="30"/>
        <v>0</v>
      </c>
      <c r="AT97" s="1"/>
      <c r="AU97" s="27">
        <f t="shared" si="42"/>
        <v>0.15400000000000003</v>
      </c>
      <c r="AV97" s="27">
        <f t="shared" si="43"/>
        <v>0</v>
      </c>
      <c r="AW97" s="35">
        <f t="shared" si="44"/>
        <v>0</v>
      </c>
    </row>
    <row r="98" spans="1:120" ht="17.5" customHeight="1" thickBot="1" x14ac:dyDescent="0.25">
      <c r="J98">
        <f t="shared" si="36"/>
        <v>0</v>
      </c>
      <c r="K98">
        <v>150</v>
      </c>
      <c r="L98">
        <f t="shared" si="37"/>
        <v>0</v>
      </c>
      <c r="P98">
        <f t="shared" si="38"/>
        <v>3</v>
      </c>
      <c r="S98">
        <f t="shared" si="39"/>
        <v>153</v>
      </c>
      <c r="V98" s="46">
        <f t="shared" si="40"/>
        <v>-153</v>
      </c>
      <c r="Z98">
        <f t="shared" si="28"/>
        <v>0</v>
      </c>
      <c r="AA98" s="130"/>
      <c r="AB98" s="83">
        <f>SUM(AC99:AC102)</f>
        <v>-868</v>
      </c>
      <c r="AC98" s="8">
        <f t="shared" si="41"/>
        <v>0</v>
      </c>
      <c r="AD98" s="135"/>
      <c r="AE98" s="15">
        <f t="shared" si="29"/>
        <v>0</v>
      </c>
      <c r="AF98" s="43">
        <f t="shared" si="30"/>
        <v>0</v>
      </c>
      <c r="AT98" s="1"/>
      <c r="AU98" s="27">
        <f t="shared" si="42"/>
        <v>0.15400000000000003</v>
      </c>
      <c r="AV98" s="27">
        <f t="shared" si="43"/>
        <v>0</v>
      </c>
      <c r="AW98" s="35">
        <f t="shared" si="44"/>
        <v>0</v>
      </c>
    </row>
    <row r="99" spans="1:120" ht="17.5" customHeight="1" x14ac:dyDescent="0.2">
      <c r="A99">
        <v>12</v>
      </c>
      <c r="C99" s="46" t="s">
        <v>136</v>
      </c>
      <c r="D99">
        <f t="shared" ref="D99:D108" si="46">V99/((H99+I99+O99)/100)</f>
        <v>20.447649704142002</v>
      </c>
      <c r="E99" t="e">
        <f>AC99/AD99/(S99/100)</f>
        <v>#DIV/0!</v>
      </c>
      <c r="F99">
        <v>7.6</v>
      </c>
      <c r="H99" s="22">
        <v>5800</v>
      </c>
      <c r="I99">
        <v>50</v>
      </c>
      <c r="J99">
        <f t="shared" si="36"/>
        <v>818.06399999999996</v>
      </c>
      <c r="K99">
        <v>150</v>
      </c>
      <c r="L99">
        <f t="shared" si="37"/>
        <v>1291.68</v>
      </c>
      <c r="M99">
        <v>50</v>
      </c>
      <c r="N99">
        <v>30</v>
      </c>
      <c r="O99">
        <v>910</v>
      </c>
      <c r="P99">
        <f t="shared" si="38"/>
        <v>181.99488000000002</v>
      </c>
      <c r="Q99">
        <v>100</v>
      </c>
      <c r="S99">
        <f t="shared" si="39"/>
        <v>9381.7388800000008</v>
      </c>
      <c r="T99">
        <f t="shared" ref="T99:T107" si="47">U99-J99-K99</f>
        <v>9795.9359999999997</v>
      </c>
      <c r="U99">
        <v>10764</v>
      </c>
      <c r="V99" s="46">
        <f t="shared" si="40"/>
        <v>1382.2611199999992</v>
      </c>
      <c r="X99"/>
      <c r="Z99">
        <f t="shared" si="28"/>
        <v>0</v>
      </c>
      <c r="AA99" s="126">
        <v>868</v>
      </c>
      <c r="AB99" s="84"/>
      <c r="AC99" s="8">
        <f t="shared" si="41"/>
        <v>-868</v>
      </c>
      <c r="AD99" s="135">
        <v>0</v>
      </c>
      <c r="AE99" s="15">
        <f t="shared" si="29"/>
        <v>0</v>
      </c>
      <c r="AF99" s="43">
        <f t="shared" si="30"/>
        <v>-868</v>
      </c>
      <c r="AO99" s="99">
        <v>3</v>
      </c>
      <c r="AP99" s="99">
        <v>3</v>
      </c>
      <c r="AQ99" s="100">
        <f t="shared" ref="AQ99" si="48">AO99-AP99</f>
        <v>0</v>
      </c>
      <c r="AR99" s="101">
        <f t="shared" ref="AR99" si="49">AQ99-AS99</f>
        <v>0</v>
      </c>
      <c r="AS99" s="99">
        <v>0</v>
      </c>
      <c r="AT99" s="1">
        <v>6</v>
      </c>
      <c r="AU99" s="27">
        <f t="shared" si="42"/>
        <v>0.15400000000000003</v>
      </c>
      <c r="AV99" s="27">
        <f t="shared" si="43"/>
        <v>0.92400000000000015</v>
      </c>
      <c r="AW99" s="35">
        <f t="shared" si="44"/>
        <v>0</v>
      </c>
      <c r="AX99">
        <v>0</v>
      </c>
      <c r="AZ99">
        <v>2</v>
      </c>
      <c r="CP99" t="s">
        <v>78</v>
      </c>
      <c r="CX99" t="s">
        <v>79</v>
      </c>
      <c r="DE99" t="s">
        <v>80</v>
      </c>
      <c r="DP99" t="s">
        <v>137</v>
      </c>
    </row>
    <row r="100" spans="1:120" ht="17.5" customHeight="1" x14ac:dyDescent="0.2">
      <c r="C100" s="46" t="s">
        <v>140</v>
      </c>
      <c r="D100">
        <f t="shared" si="46"/>
        <v>22.213941018766757</v>
      </c>
      <c r="E100" t="e">
        <f>AC100/AD100/(S100/100)</f>
        <v>#DIV/0!</v>
      </c>
      <c r="F100">
        <v>7.6</v>
      </c>
      <c r="H100" s="22">
        <v>6500</v>
      </c>
      <c r="I100">
        <v>50</v>
      </c>
      <c r="J100">
        <f t="shared" si="36"/>
        <v>912</v>
      </c>
      <c r="K100">
        <v>150</v>
      </c>
      <c r="L100">
        <f t="shared" si="37"/>
        <v>1440</v>
      </c>
      <c r="M100">
        <v>50</v>
      </c>
      <c r="N100">
        <v>30</v>
      </c>
      <c r="O100">
        <v>910</v>
      </c>
      <c r="P100">
        <f t="shared" si="38"/>
        <v>200.84</v>
      </c>
      <c r="Q100">
        <v>100</v>
      </c>
      <c r="S100">
        <f t="shared" si="39"/>
        <v>10342.84</v>
      </c>
      <c r="T100">
        <f t="shared" si="47"/>
        <v>10938</v>
      </c>
      <c r="U100">
        <v>12000</v>
      </c>
      <c r="V100" s="46">
        <f t="shared" si="40"/>
        <v>1657.1599999999999</v>
      </c>
      <c r="X100"/>
      <c r="Z100">
        <f t="shared" si="28"/>
        <v>0</v>
      </c>
      <c r="AA100" s="130"/>
      <c r="AB100" s="84"/>
      <c r="AC100" s="8">
        <f t="shared" si="41"/>
        <v>0</v>
      </c>
      <c r="AD100" s="135">
        <v>0</v>
      </c>
      <c r="AE100" s="15">
        <f t="shared" si="29"/>
        <v>0</v>
      </c>
      <c r="AF100" s="43">
        <f t="shared" si="30"/>
        <v>0</v>
      </c>
      <c r="AT100" s="1"/>
      <c r="AU100" s="27">
        <f t="shared" si="42"/>
        <v>0.15400000000000003</v>
      </c>
      <c r="AV100" s="27">
        <f t="shared" si="43"/>
        <v>0</v>
      </c>
      <c r="AW100" s="35">
        <f t="shared" si="44"/>
        <v>0</v>
      </c>
    </row>
    <row r="101" spans="1:120" ht="17.5" customHeight="1" x14ac:dyDescent="0.2">
      <c r="A101">
        <v>56</v>
      </c>
      <c r="C101" s="46" t="s">
        <v>14</v>
      </c>
      <c r="D101">
        <f t="shared" si="46"/>
        <v>61.972517049960359</v>
      </c>
      <c r="E101" t="e">
        <f>AC101/AD101/(S101/100)</f>
        <v>#DIV/0!</v>
      </c>
      <c r="F101">
        <v>7.6</v>
      </c>
      <c r="H101" s="22">
        <v>5345</v>
      </c>
      <c r="I101">
        <v>50</v>
      </c>
      <c r="J101">
        <f t="shared" si="36"/>
        <v>1013.84</v>
      </c>
      <c r="K101">
        <v>150</v>
      </c>
      <c r="L101">
        <f t="shared" si="37"/>
        <v>1600.8</v>
      </c>
      <c r="M101">
        <v>50</v>
      </c>
      <c r="N101">
        <v>30</v>
      </c>
      <c r="O101">
        <v>910</v>
      </c>
      <c r="P101">
        <f t="shared" si="38"/>
        <v>182.99279999999999</v>
      </c>
      <c r="Q101">
        <v>100</v>
      </c>
      <c r="S101">
        <f t="shared" si="39"/>
        <v>9432.6327999999994</v>
      </c>
      <c r="T101">
        <f t="shared" si="47"/>
        <v>12176.16</v>
      </c>
      <c r="U101">
        <v>13340</v>
      </c>
      <c r="V101" s="46">
        <f t="shared" si="40"/>
        <v>3907.3672000000006</v>
      </c>
      <c r="X101"/>
      <c r="Z101">
        <f t="shared" si="28"/>
        <v>0</v>
      </c>
      <c r="AA101" s="130">
        <v>0</v>
      </c>
      <c r="AB101" s="84"/>
      <c r="AC101" s="8">
        <f t="shared" si="41"/>
        <v>0</v>
      </c>
      <c r="AD101" s="81">
        <v>0</v>
      </c>
      <c r="AE101" s="15">
        <f t="shared" si="29"/>
        <v>0</v>
      </c>
      <c r="AF101" s="43">
        <f t="shared" si="30"/>
        <v>0</v>
      </c>
      <c r="AT101" s="1"/>
      <c r="AU101" s="27">
        <f t="shared" si="42"/>
        <v>0.15400000000000003</v>
      </c>
      <c r="AV101" s="27">
        <f t="shared" si="43"/>
        <v>0</v>
      </c>
      <c r="AW101" s="35">
        <f t="shared" si="44"/>
        <v>0</v>
      </c>
    </row>
    <row r="102" spans="1:120" ht="17.5" customHeight="1" thickBot="1" x14ac:dyDescent="0.25">
      <c r="A102">
        <v>53</v>
      </c>
      <c r="C102" s="46" t="s">
        <v>11</v>
      </c>
      <c r="D102">
        <f t="shared" si="46"/>
        <v>21.316365296803649</v>
      </c>
      <c r="E102" t="e">
        <f>AC102/AD102/(S102/100)</f>
        <v>#DIV/0!</v>
      </c>
      <c r="F102">
        <v>7.6</v>
      </c>
      <c r="H102" s="14">
        <v>7800</v>
      </c>
      <c r="I102">
        <v>50</v>
      </c>
      <c r="J102">
        <f t="shared" si="36"/>
        <v>1057.92</v>
      </c>
      <c r="K102">
        <v>150</v>
      </c>
      <c r="L102">
        <f t="shared" si="37"/>
        <v>1670.3999999999999</v>
      </c>
      <c r="M102">
        <v>50</v>
      </c>
      <c r="N102">
        <v>30</v>
      </c>
      <c r="O102">
        <v>910</v>
      </c>
      <c r="P102">
        <f t="shared" si="38"/>
        <v>234.3664</v>
      </c>
      <c r="Q102">
        <v>100</v>
      </c>
      <c r="S102">
        <f t="shared" si="39"/>
        <v>12052.686400000001</v>
      </c>
      <c r="T102">
        <f t="shared" si="47"/>
        <v>12712.08</v>
      </c>
      <c r="U102">
        <v>13920</v>
      </c>
      <c r="V102" s="46">
        <f t="shared" si="40"/>
        <v>1867.3135999999995</v>
      </c>
      <c r="X102"/>
      <c r="Z102">
        <f t="shared" si="28"/>
        <v>0</v>
      </c>
      <c r="AA102" s="130"/>
      <c r="AB102" s="85"/>
      <c r="AC102" s="8">
        <f t="shared" si="41"/>
        <v>0</v>
      </c>
      <c r="AD102" s="135">
        <v>0</v>
      </c>
      <c r="AE102" s="15">
        <f t="shared" si="29"/>
        <v>0</v>
      </c>
      <c r="AF102" s="43">
        <f t="shared" si="30"/>
        <v>0</v>
      </c>
      <c r="AT102" s="1"/>
      <c r="AU102" s="27">
        <f t="shared" si="42"/>
        <v>0.15400000000000003</v>
      </c>
      <c r="AV102" s="27">
        <f t="shared" si="43"/>
        <v>0</v>
      </c>
      <c r="AW102" s="35">
        <f t="shared" si="44"/>
        <v>0</v>
      </c>
    </row>
    <row r="103" spans="1:120" ht="17.5" customHeight="1" thickBot="1" x14ac:dyDescent="0.25">
      <c r="H103" s="14"/>
      <c r="J103">
        <f t="shared" si="36"/>
        <v>0</v>
      </c>
      <c r="K103">
        <v>150</v>
      </c>
      <c r="L103">
        <f t="shared" si="37"/>
        <v>0</v>
      </c>
      <c r="P103">
        <f t="shared" si="38"/>
        <v>3</v>
      </c>
      <c r="S103">
        <f t="shared" si="39"/>
        <v>153</v>
      </c>
      <c r="U103"/>
      <c r="V103" s="46">
        <f t="shared" si="40"/>
        <v>-153</v>
      </c>
      <c r="X103"/>
      <c r="Z103">
        <f t="shared" si="28"/>
        <v>0</v>
      </c>
      <c r="AA103" s="130"/>
      <c r="AC103" s="8">
        <f t="shared" si="41"/>
        <v>0</v>
      </c>
      <c r="AD103" s="135"/>
      <c r="AE103" s="15">
        <f t="shared" si="29"/>
        <v>0</v>
      </c>
      <c r="AF103" s="43">
        <f t="shared" si="30"/>
        <v>0</v>
      </c>
      <c r="AT103" s="1"/>
      <c r="AU103" s="27">
        <f t="shared" si="42"/>
        <v>0.15400000000000003</v>
      </c>
      <c r="AV103" s="27">
        <f t="shared" si="43"/>
        <v>0</v>
      </c>
      <c r="AW103" s="35">
        <f t="shared" si="44"/>
        <v>0</v>
      </c>
    </row>
    <row r="104" spans="1:120" ht="17.5" customHeight="1" thickBot="1" x14ac:dyDescent="0.25">
      <c r="H104" s="14"/>
      <c r="J104">
        <f t="shared" si="36"/>
        <v>0</v>
      </c>
      <c r="K104">
        <v>150</v>
      </c>
      <c r="L104">
        <f t="shared" si="37"/>
        <v>0</v>
      </c>
      <c r="P104">
        <f t="shared" si="38"/>
        <v>3</v>
      </c>
      <c r="S104">
        <f t="shared" si="39"/>
        <v>153</v>
      </c>
      <c r="U104"/>
      <c r="V104" s="46">
        <f t="shared" si="40"/>
        <v>-153</v>
      </c>
      <c r="X104"/>
      <c r="Z104">
        <f t="shared" si="28"/>
        <v>0</v>
      </c>
      <c r="AA104" s="130"/>
      <c r="AB104" s="83">
        <f>SUM(AC105:AC108)</f>
        <v>0</v>
      </c>
      <c r="AC104" s="8">
        <f t="shared" si="41"/>
        <v>0</v>
      </c>
      <c r="AD104" s="135"/>
      <c r="AE104" s="15">
        <f t="shared" si="29"/>
        <v>0</v>
      </c>
      <c r="AF104" s="43">
        <f t="shared" si="30"/>
        <v>0</v>
      </c>
      <c r="AT104" s="1"/>
      <c r="AU104" s="27">
        <f t="shared" si="42"/>
        <v>0.15400000000000003</v>
      </c>
      <c r="AV104" s="27">
        <f t="shared" si="43"/>
        <v>0</v>
      </c>
      <c r="AW104" s="35">
        <f t="shared" si="44"/>
        <v>0</v>
      </c>
    </row>
    <row r="105" spans="1:120" ht="17.5" customHeight="1" x14ac:dyDescent="0.2">
      <c r="A105">
        <v>47</v>
      </c>
      <c r="C105" t="s">
        <v>138</v>
      </c>
      <c r="D105">
        <f t="shared" si="46"/>
        <v>19.302929375149635</v>
      </c>
      <c r="E105" t="e">
        <f t="shared" ref="E105:E115" si="50">AC105/AD105/(S105/100)</f>
        <v>#DIV/0!</v>
      </c>
      <c r="F105">
        <v>7.6</v>
      </c>
      <c r="H105">
        <v>7394</v>
      </c>
      <c r="I105">
        <v>50</v>
      </c>
      <c r="J105">
        <f t="shared" si="36"/>
        <v>994.3839999999999</v>
      </c>
      <c r="K105">
        <v>150</v>
      </c>
      <c r="L105">
        <f t="shared" si="37"/>
        <v>1570.08</v>
      </c>
      <c r="M105">
        <v>50</v>
      </c>
      <c r="N105">
        <v>30</v>
      </c>
      <c r="O105">
        <v>910</v>
      </c>
      <c r="P105">
        <f t="shared" si="38"/>
        <v>222.96928</v>
      </c>
      <c r="Q105">
        <v>100</v>
      </c>
      <c r="S105">
        <f t="shared" si="39"/>
        <v>11471.433279999999</v>
      </c>
      <c r="T105">
        <f t="shared" si="47"/>
        <v>11939.616</v>
      </c>
      <c r="U105">
        <v>13084</v>
      </c>
      <c r="V105" s="46">
        <f t="shared" si="40"/>
        <v>1612.5667200000007</v>
      </c>
      <c r="X105"/>
      <c r="Z105">
        <f t="shared" si="28"/>
        <v>0</v>
      </c>
      <c r="AA105" s="130">
        <v>0</v>
      </c>
      <c r="AB105" s="84"/>
      <c r="AC105" s="8">
        <f t="shared" si="41"/>
        <v>0</v>
      </c>
      <c r="AD105" s="135">
        <v>0</v>
      </c>
      <c r="AE105" s="15">
        <f t="shared" si="29"/>
        <v>0</v>
      </c>
      <c r="AF105" s="43">
        <f t="shared" si="30"/>
        <v>0</v>
      </c>
      <c r="AT105" s="1">
        <v>6</v>
      </c>
      <c r="AU105" s="27">
        <f t="shared" si="42"/>
        <v>0.15400000000000003</v>
      </c>
      <c r="AV105" s="27">
        <f t="shared" si="43"/>
        <v>0.92400000000000015</v>
      </c>
      <c r="AW105" s="35">
        <f t="shared" si="44"/>
        <v>0</v>
      </c>
      <c r="AZ105">
        <v>0</v>
      </c>
      <c r="CP105" t="s">
        <v>90</v>
      </c>
      <c r="CQ105" t="s">
        <v>91</v>
      </c>
      <c r="CS105" t="s">
        <v>92</v>
      </c>
      <c r="DP105" t="s">
        <v>137</v>
      </c>
    </row>
    <row r="106" spans="1:120" ht="17.5" customHeight="1" x14ac:dyDescent="0.2">
      <c r="A106">
        <v>52</v>
      </c>
      <c r="C106" t="s">
        <v>10</v>
      </c>
      <c r="D106">
        <f t="shared" si="46"/>
        <v>17.323076923076936</v>
      </c>
      <c r="E106" t="e">
        <f t="shared" si="50"/>
        <v>#DIV/0!</v>
      </c>
      <c r="F106">
        <v>7.6</v>
      </c>
      <c r="H106">
        <v>5800</v>
      </c>
      <c r="I106">
        <v>50</v>
      </c>
      <c r="J106">
        <f t="shared" si="36"/>
        <v>798</v>
      </c>
      <c r="K106">
        <v>150</v>
      </c>
      <c r="L106">
        <f t="shared" si="37"/>
        <v>1260</v>
      </c>
      <c r="M106">
        <v>50</v>
      </c>
      <c r="N106">
        <v>30</v>
      </c>
      <c r="O106">
        <v>910</v>
      </c>
      <c r="P106">
        <f t="shared" si="38"/>
        <v>180.96</v>
      </c>
      <c r="Q106">
        <v>100</v>
      </c>
      <c r="S106">
        <f t="shared" si="39"/>
        <v>9328.9599999999991</v>
      </c>
      <c r="T106">
        <f t="shared" si="47"/>
        <v>9552</v>
      </c>
      <c r="U106">
        <v>10500</v>
      </c>
      <c r="V106" s="46">
        <f t="shared" si="40"/>
        <v>1171.0400000000009</v>
      </c>
      <c r="X106"/>
      <c r="Z106">
        <f t="shared" si="28"/>
        <v>0</v>
      </c>
      <c r="AA106" s="130">
        <v>0</v>
      </c>
      <c r="AB106" s="84"/>
      <c r="AC106" s="8">
        <f t="shared" si="41"/>
        <v>0</v>
      </c>
      <c r="AD106" s="135">
        <v>0</v>
      </c>
      <c r="AE106" s="15">
        <f t="shared" si="29"/>
        <v>0</v>
      </c>
      <c r="AF106" s="43">
        <f t="shared" si="30"/>
        <v>0</v>
      </c>
      <c r="AT106" s="1">
        <v>6</v>
      </c>
      <c r="AU106" s="27">
        <f t="shared" si="42"/>
        <v>0.15400000000000003</v>
      </c>
      <c r="AV106" s="27">
        <f t="shared" si="43"/>
        <v>0.92400000000000015</v>
      </c>
      <c r="AW106" s="35">
        <f t="shared" si="44"/>
        <v>0</v>
      </c>
      <c r="AZ106">
        <v>0</v>
      </c>
      <c r="DP106" t="s">
        <v>137</v>
      </c>
    </row>
    <row r="107" spans="1:120" ht="17.5" customHeight="1" x14ac:dyDescent="0.2">
      <c r="C107" t="s">
        <v>139</v>
      </c>
      <c r="D107">
        <f t="shared" si="46"/>
        <v>22.826585798816566</v>
      </c>
      <c r="E107" t="e">
        <f t="shared" si="50"/>
        <v>#DIV/0!</v>
      </c>
      <c r="F107">
        <v>7.6</v>
      </c>
      <c r="H107">
        <v>5800</v>
      </c>
      <c r="I107">
        <v>50</v>
      </c>
      <c r="J107">
        <f t="shared" si="36"/>
        <v>833.34</v>
      </c>
      <c r="K107">
        <v>150</v>
      </c>
      <c r="L107">
        <f t="shared" si="37"/>
        <v>1315.8</v>
      </c>
      <c r="M107">
        <v>50</v>
      </c>
      <c r="N107">
        <v>30</v>
      </c>
      <c r="O107">
        <v>910</v>
      </c>
      <c r="P107">
        <f t="shared" si="38"/>
        <v>182.78279999999998</v>
      </c>
      <c r="Q107">
        <v>100</v>
      </c>
      <c r="S107">
        <f t="shared" si="39"/>
        <v>9421.9228000000003</v>
      </c>
      <c r="T107">
        <f t="shared" si="47"/>
        <v>9981.66</v>
      </c>
      <c r="U107">
        <v>10965</v>
      </c>
      <c r="V107" s="46">
        <f t="shared" si="40"/>
        <v>1543.0771999999997</v>
      </c>
      <c r="X107"/>
      <c r="Z107">
        <f t="shared" si="28"/>
        <v>0</v>
      </c>
      <c r="AA107" s="130">
        <v>0</v>
      </c>
      <c r="AB107" s="84"/>
      <c r="AC107" s="8">
        <f t="shared" si="41"/>
        <v>0</v>
      </c>
      <c r="AD107" s="135">
        <v>0</v>
      </c>
      <c r="AE107" s="15">
        <f t="shared" si="29"/>
        <v>0</v>
      </c>
      <c r="AF107" s="43">
        <f t="shared" si="30"/>
        <v>0</v>
      </c>
      <c r="AT107" s="1"/>
      <c r="AU107" s="27">
        <f t="shared" si="42"/>
        <v>0.15400000000000003</v>
      </c>
      <c r="AV107" s="27">
        <f t="shared" si="43"/>
        <v>0</v>
      </c>
      <c r="AW107" s="35">
        <f t="shared" si="44"/>
        <v>0</v>
      </c>
      <c r="DP107" t="s">
        <v>137</v>
      </c>
    </row>
    <row r="108" spans="1:120" ht="17.5" customHeight="1" thickBot="1" x14ac:dyDescent="0.25">
      <c r="C108" t="s">
        <v>181</v>
      </c>
      <c r="D108" t="e">
        <f t="shared" si="46"/>
        <v>#DIV/0!</v>
      </c>
      <c r="E108" t="e">
        <f t="shared" si="50"/>
        <v>#DIV/0!</v>
      </c>
      <c r="F108">
        <v>7.6</v>
      </c>
      <c r="J108">
        <f t="shared" si="36"/>
        <v>0</v>
      </c>
      <c r="K108">
        <v>150</v>
      </c>
      <c r="L108">
        <f t="shared" si="37"/>
        <v>0</v>
      </c>
      <c r="P108">
        <f t="shared" si="38"/>
        <v>3</v>
      </c>
      <c r="S108">
        <f t="shared" si="39"/>
        <v>153</v>
      </c>
      <c r="U108"/>
      <c r="V108" s="46">
        <f t="shared" si="40"/>
        <v>-153</v>
      </c>
      <c r="X108"/>
      <c r="Z108">
        <f t="shared" si="28"/>
        <v>0</v>
      </c>
      <c r="AA108" s="130"/>
      <c r="AB108" s="84"/>
      <c r="AC108" s="8">
        <f t="shared" si="41"/>
        <v>0</v>
      </c>
      <c r="AD108" s="135">
        <v>0</v>
      </c>
      <c r="AE108" s="15">
        <f t="shared" si="29"/>
        <v>0</v>
      </c>
      <c r="AF108" s="43">
        <f t="shared" si="30"/>
        <v>0</v>
      </c>
      <c r="AT108" s="1">
        <v>6</v>
      </c>
      <c r="AU108" s="27">
        <f t="shared" si="42"/>
        <v>0.15400000000000003</v>
      </c>
      <c r="AV108" s="27">
        <f t="shared" si="43"/>
        <v>0.92400000000000015</v>
      </c>
      <c r="AW108" s="35">
        <f t="shared" si="44"/>
        <v>0</v>
      </c>
      <c r="AZ108">
        <v>0</v>
      </c>
      <c r="DP108" t="s">
        <v>141</v>
      </c>
    </row>
    <row r="109" spans="1:120" ht="17.5" customHeight="1" x14ac:dyDescent="0.2">
      <c r="C109" s="46" t="s">
        <v>187</v>
      </c>
      <c r="E109" t="e">
        <f t="shared" si="50"/>
        <v>#DIV/0!</v>
      </c>
      <c r="F109">
        <v>7.6</v>
      </c>
      <c r="H109">
        <v>9266</v>
      </c>
      <c r="I109">
        <v>50</v>
      </c>
      <c r="J109">
        <f t="shared" si="36"/>
        <v>1398.4</v>
      </c>
      <c r="K109">
        <v>150</v>
      </c>
      <c r="L109">
        <f t="shared" si="37"/>
        <v>2208</v>
      </c>
      <c r="M109">
        <v>50</v>
      </c>
      <c r="N109">
        <v>30</v>
      </c>
      <c r="O109">
        <v>1000</v>
      </c>
      <c r="P109">
        <f t="shared" si="38"/>
        <v>283.048</v>
      </c>
      <c r="Q109">
        <v>100</v>
      </c>
      <c r="S109">
        <f t="shared" si="39"/>
        <v>14535.448</v>
      </c>
      <c r="U109">
        <v>18400</v>
      </c>
      <c r="V109" s="46">
        <f t="shared" si="40"/>
        <v>3864.5519999999997</v>
      </c>
      <c r="X109"/>
      <c r="Z109">
        <f t="shared" si="28"/>
        <v>0</v>
      </c>
      <c r="AA109" s="130">
        <v>102</v>
      </c>
      <c r="AB109" s="93">
        <f>SUM(AC109:AC110)</f>
        <v>-244</v>
      </c>
      <c r="AC109" s="8">
        <f t="shared" si="41"/>
        <v>-102</v>
      </c>
      <c r="AD109" s="135">
        <v>0</v>
      </c>
      <c r="AE109" s="15">
        <f t="shared" si="29"/>
        <v>0</v>
      </c>
      <c r="AF109" s="43">
        <f t="shared" si="30"/>
        <v>-102</v>
      </c>
      <c r="AT109" s="1"/>
      <c r="AU109" s="27">
        <f t="shared" si="42"/>
        <v>0.15400000000000003</v>
      </c>
      <c r="AV109" s="27">
        <f t="shared" si="43"/>
        <v>0</v>
      </c>
      <c r="AW109" s="35">
        <f t="shared" si="44"/>
        <v>0</v>
      </c>
    </row>
    <row r="110" spans="1:120" ht="17.5" customHeight="1" thickBot="1" x14ac:dyDescent="0.25">
      <c r="C110" s="46" t="s">
        <v>188</v>
      </c>
      <c r="E110" t="e">
        <f t="shared" si="50"/>
        <v>#DIV/0!</v>
      </c>
      <c r="F110">
        <v>7.6</v>
      </c>
      <c r="H110">
        <v>9500</v>
      </c>
      <c r="I110">
        <v>100</v>
      </c>
      <c r="J110">
        <f t="shared" si="36"/>
        <v>1482</v>
      </c>
      <c r="K110">
        <v>150</v>
      </c>
      <c r="L110">
        <f t="shared" si="37"/>
        <v>2340</v>
      </c>
      <c r="M110">
        <v>50</v>
      </c>
      <c r="N110">
        <v>30</v>
      </c>
      <c r="O110">
        <v>1000</v>
      </c>
      <c r="P110">
        <f t="shared" si="38"/>
        <v>293.04000000000002</v>
      </c>
      <c r="Q110">
        <v>100</v>
      </c>
      <c r="S110">
        <f t="shared" si="39"/>
        <v>15045.04</v>
      </c>
      <c r="U110">
        <v>19500</v>
      </c>
      <c r="V110" s="46">
        <f t="shared" si="40"/>
        <v>4454.9599999999991</v>
      </c>
      <c r="X110"/>
      <c r="Z110">
        <f t="shared" si="28"/>
        <v>0</v>
      </c>
      <c r="AA110" s="130">
        <v>142</v>
      </c>
      <c r="AB110" s="85"/>
      <c r="AC110" s="8">
        <f t="shared" si="41"/>
        <v>-142</v>
      </c>
      <c r="AD110" s="135">
        <v>0</v>
      </c>
      <c r="AE110" s="15">
        <f t="shared" si="29"/>
        <v>0</v>
      </c>
      <c r="AF110" s="43">
        <f t="shared" si="30"/>
        <v>-142</v>
      </c>
      <c r="AT110" s="1"/>
      <c r="AU110" s="27">
        <f t="shared" si="42"/>
        <v>0.15400000000000003</v>
      </c>
      <c r="AV110" s="27">
        <f t="shared" si="43"/>
        <v>0</v>
      </c>
      <c r="AW110" s="35">
        <f t="shared" si="44"/>
        <v>0</v>
      </c>
    </row>
    <row r="111" spans="1:120" ht="17.5" customHeight="1" x14ac:dyDescent="0.2">
      <c r="A111">
        <v>43</v>
      </c>
      <c r="C111" s="115" t="s">
        <v>142</v>
      </c>
      <c r="D111" s="115">
        <f>V111/((H111+I111+O111)/100)</f>
        <v>45.301156799697388</v>
      </c>
      <c r="E111" s="115" t="e">
        <f t="shared" si="50"/>
        <v>#DIV/0!</v>
      </c>
      <c r="F111" s="115">
        <v>7.6</v>
      </c>
      <c r="G111" s="115"/>
      <c r="H111" s="115">
        <v>4342</v>
      </c>
      <c r="I111" s="115">
        <v>35</v>
      </c>
      <c r="J111">
        <f t="shared" si="36"/>
        <v>771.55200000000002</v>
      </c>
      <c r="K111">
        <v>150</v>
      </c>
      <c r="L111">
        <f t="shared" si="37"/>
        <v>1218.24</v>
      </c>
      <c r="M111" s="115">
        <v>50</v>
      </c>
      <c r="N111" s="115">
        <v>30</v>
      </c>
      <c r="O111" s="115">
        <v>910</v>
      </c>
      <c r="P111">
        <f t="shared" si="38"/>
        <v>150.13584</v>
      </c>
      <c r="Q111" s="115">
        <v>100</v>
      </c>
      <c r="R111" s="115"/>
      <c r="S111">
        <f t="shared" si="39"/>
        <v>7756.9278399999994</v>
      </c>
      <c r="T111" s="115">
        <f>U111-J111-K111</f>
        <v>9230.4480000000003</v>
      </c>
      <c r="U111" s="115">
        <v>10152</v>
      </c>
      <c r="V111" s="46">
        <f t="shared" si="40"/>
        <v>2395.0721600000006</v>
      </c>
      <c r="X111"/>
      <c r="Z111">
        <f t="shared" si="28"/>
        <v>0</v>
      </c>
      <c r="AA111" s="130">
        <v>825</v>
      </c>
      <c r="AB111" s="11">
        <f>SUM(AC111:AC125)</f>
        <v>-1794</v>
      </c>
      <c r="AC111" s="8">
        <f t="shared" si="41"/>
        <v>-825</v>
      </c>
      <c r="AD111" s="135">
        <v>0</v>
      </c>
      <c r="AE111" s="15">
        <f t="shared" si="29"/>
        <v>0</v>
      </c>
      <c r="AF111" s="43">
        <f t="shared" si="30"/>
        <v>-825</v>
      </c>
      <c r="AT111" s="1">
        <v>6</v>
      </c>
      <c r="AU111" s="27">
        <f t="shared" si="42"/>
        <v>0.15400000000000003</v>
      </c>
      <c r="AV111" s="27">
        <f t="shared" si="43"/>
        <v>0.92400000000000015</v>
      </c>
      <c r="AW111" s="35">
        <f t="shared" si="44"/>
        <v>0</v>
      </c>
      <c r="AX111">
        <v>0</v>
      </c>
      <c r="AZ111">
        <v>0</v>
      </c>
      <c r="DP111" t="s">
        <v>141</v>
      </c>
    </row>
    <row r="112" spans="1:120" ht="17.5" customHeight="1" x14ac:dyDescent="0.2">
      <c r="C112" t="s">
        <v>195</v>
      </c>
      <c r="D112" s="14">
        <f>V112/((H112+I112+O112)/100)</f>
        <v>43.02167563412759</v>
      </c>
      <c r="E112" s="14" t="e">
        <f t="shared" si="50"/>
        <v>#DIV/0!</v>
      </c>
      <c r="F112" s="14">
        <v>7.6</v>
      </c>
      <c r="G112" s="14"/>
      <c r="H112" s="14">
        <v>12000</v>
      </c>
      <c r="I112" s="14">
        <v>100</v>
      </c>
      <c r="J112">
        <f t="shared" si="36"/>
        <v>1824</v>
      </c>
      <c r="K112">
        <v>150</v>
      </c>
      <c r="L112">
        <f t="shared" si="37"/>
        <v>2880</v>
      </c>
      <c r="M112" s="14">
        <v>50</v>
      </c>
      <c r="N112" s="14">
        <v>30</v>
      </c>
      <c r="O112" s="14">
        <v>910</v>
      </c>
      <c r="P112">
        <f t="shared" si="38"/>
        <v>358.88</v>
      </c>
      <c r="Q112" s="14">
        <v>100</v>
      </c>
      <c r="R112" s="14"/>
      <c r="S112">
        <f t="shared" si="39"/>
        <v>18402.88</v>
      </c>
      <c r="T112" s="14">
        <f>U112-J112-K112</f>
        <v>22026</v>
      </c>
      <c r="U112" s="14">
        <v>24000</v>
      </c>
      <c r="V112" s="46">
        <f t="shared" si="40"/>
        <v>5597.119999999999</v>
      </c>
      <c r="Z112">
        <f t="shared" si="28"/>
        <v>0</v>
      </c>
      <c r="AA112" s="130">
        <v>0</v>
      </c>
      <c r="AC112" s="8">
        <f t="shared" si="41"/>
        <v>0</v>
      </c>
      <c r="AD112" s="135">
        <v>0</v>
      </c>
      <c r="AE112" s="15">
        <f t="shared" si="29"/>
        <v>0</v>
      </c>
      <c r="AF112" s="43">
        <f t="shared" si="30"/>
        <v>0</v>
      </c>
      <c r="AT112" s="1"/>
      <c r="AU112" s="27">
        <f t="shared" si="42"/>
        <v>0.15400000000000003</v>
      </c>
      <c r="AV112" s="27">
        <f t="shared" si="43"/>
        <v>0</v>
      </c>
      <c r="AW112" s="35">
        <f t="shared" si="44"/>
        <v>0</v>
      </c>
    </row>
    <row r="113" spans="1:120" ht="17.5" customHeight="1" x14ac:dyDescent="0.2">
      <c r="C113" t="s">
        <v>247</v>
      </c>
      <c r="D113" s="14"/>
      <c r="E113" s="14" t="e">
        <f t="shared" si="50"/>
        <v>#DIV/0!</v>
      </c>
      <c r="F113" s="14">
        <v>7.6</v>
      </c>
      <c r="G113" s="14"/>
      <c r="H113" s="14">
        <v>4400</v>
      </c>
      <c r="I113" s="14">
        <v>100</v>
      </c>
      <c r="J113">
        <f t="shared" si="36"/>
        <v>943.92</v>
      </c>
      <c r="K113">
        <v>150</v>
      </c>
      <c r="L113">
        <f t="shared" si="37"/>
        <v>1490.3999999999999</v>
      </c>
      <c r="M113" s="14">
        <v>50</v>
      </c>
      <c r="N113" s="14">
        <v>30</v>
      </c>
      <c r="O113" s="14">
        <v>910</v>
      </c>
      <c r="P113">
        <f t="shared" si="38"/>
        <v>161.4864</v>
      </c>
      <c r="Q113" s="14">
        <v>100</v>
      </c>
      <c r="R113" s="14"/>
      <c r="S113">
        <f t="shared" si="39"/>
        <v>8335.8063999999995</v>
      </c>
      <c r="T113" s="14"/>
      <c r="U113" s="14">
        <v>12420</v>
      </c>
      <c r="V113" s="46">
        <f t="shared" si="40"/>
        <v>4084.1936000000005</v>
      </c>
      <c r="Z113">
        <f t="shared" si="28"/>
        <v>0</v>
      </c>
      <c r="AA113" s="130"/>
      <c r="AC113" s="8">
        <f t="shared" si="41"/>
        <v>0</v>
      </c>
      <c r="AD113" s="135">
        <v>0</v>
      </c>
      <c r="AE113" s="15">
        <f t="shared" si="29"/>
        <v>0</v>
      </c>
      <c r="AF113" s="43">
        <f t="shared" si="30"/>
        <v>0</v>
      </c>
      <c r="AT113" s="1"/>
      <c r="AU113" s="27">
        <f t="shared" si="42"/>
        <v>0.15400000000000003</v>
      </c>
      <c r="AV113" s="27">
        <f t="shared" si="43"/>
        <v>0</v>
      </c>
      <c r="AW113" s="35">
        <f t="shared" si="44"/>
        <v>0</v>
      </c>
    </row>
    <row r="114" spans="1:120" ht="17.5" customHeight="1" x14ac:dyDescent="0.2">
      <c r="D114" s="14"/>
      <c r="E114" s="14"/>
      <c r="F114" s="14"/>
      <c r="G114" s="14"/>
      <c r="H114" s="14"/>
      <c r="I114" s="14"/>
      <c r="J114">
        <f t="shared" si="36"/>
        <v>0</v>
      </c>
      <c r="K114">
        <v>150</v>
      </c>
      <c r="L114">
        <f t="shared" si="37"/>
        <v>0</v>
      </c>
      <c r="M114" s="14"/>
      <c r="N114" s="14"/>
      <c r="O114" s="14"/>
      <c r="P114">
        <f t="shared" si="38"/>
        <v>3</v>
      </c>
      <c r="Q114" s="14"/>
      <c r="R114" s="14"/>
      <c r="S114">
        <f t="shared" si="39"/>
        <v>153</v>
      </c>
      <c r="T114" s="14"/>
      <c r="V114" s="46">
        <f t="shared" si="40"/>
        <v>-153</v>
      </c>
      <c r="Z114">
        <f t="shared" si="28"/>
        <v>0</v>
      </c>
      <c r="AA114" s="130"/>
      <c r="AC114" s="8">
        <f t="shared" si="41"/>
        <v>0</v>
      </c>
      <c r="AD114" s="135"/>
      <c r="AE114" s="15">
        <f t="shared" si="29"/>
        <v>0</v>
      </c>
      <c r="AF114" s="43">
        <f t="shared" si="30"/>
        <v>0</v>
      </c>
      <c r="AT114" s="1"/>
      <c r="AU114" s="27">
        <f t="shared" si="42"/>
        <v>0.15400000000000003</v>
      </c>
      <c r="AV114" s="27">
        <f t="shared" si="43"/>
        <v>0</v>
      </c>
      <c r="AW114" s="35">
        <f t="shared" si="44"/>
        <v>0</v>
      </c>
    </row>
    <row r="115" spans="1:120" ht="17.5" customHeight="1" x14ac:dyDescent="0.2">
      <c r="A115">
        <v>23</v>
      </c>
      <c r="C115" t="s">
        <v>143</v>
      </c>
      <c r="D115" s="14">
        <f>V115/((H115+I115+O115)/100)</f>
        <v>12.847635023041478</v>
      </c>
      <c r="E115" s="14" t="e">
        <f t="shared" si="50"/>
        <v>#DIV/0!</v>
      </c>
      <c r="F115" s="14">
        <v>7.6</v>
      </c>
      <c r="G115" s="14"/>
      <c r="H115" s="14">
        <v>5500</v>
      </c>
      <c r="I115" s="14">
        <v>100</v>
      </c>
      <c r="J115">
        <f t="shared" si="36"/>
        <v>741.98800000000006</v>
      </c>
      <c r="K115">
        <v>150</v>
      </c>
      <c r="L115">
        <f t="shared" si="37"/>
        <v>1171.56</v>
      </c>
      <c r="M115" s="14">
        <v>50</v>
      </c>
      <c r="N115" s="14">
        <v>30</v>
      </c>
      <c r="O115" s="14">
        <v>910</v>
      </c>
      <c r="P115">
        <f t="shared" si="38"/>
        <v>173.07096000000001</v>
      </c>
      <c r="Q115" s="14">
        <v>100</v>
      </c>
      <c r="R115" s="14"/>
      <c r="S115">
        <f t="shared" si="39"/>
        <v>8926.6189599999998</v>
      </c>
      <c r="T115" s="14">
        <f>U115-J115-K115</f>
        <v>8871.0120000000006</v>
      </c>
      <c r="U115" s="14">
        <v>9763</v>
      </c>
      <c r="V115" s="46">
        <f t="shared" si="40"/>
        <v>836.38104000000021</v>
      </c>
      <c r="X115"/>
      <c r="Z115">
        <f t="shared" si="28"/>
        <v>0</v>
      </c>
      <c r="AA115" s="130">
        <v>0</v>
      </c>
      <c r="AC115" s="8">
        <f t="shared" si="41"/>
        <v>0</v>
      </c>
      <c r="AD115" s="135">
        <v>0</v>
      </c>
      <c r="AE115" s="15">
        <f t="shared" si="29"/>
        <v>0</v>
      </c>
      <c r="AF115" s="43">
        <f t="shared" si="30"/>
        <v>0</v>
      </c>
      <c r="AT115" s="1">
        <v>6</v>
      </c>
      <c r="AU115" s="27">
        <f t="shared" si="42"/>
        <v>0.15400000000000003</v>
      </c>
      <c r="AV115" s="27">
        <f t="shared" si="43"/>
        <v>0.92400000000000015</v>
      </c>
      <c r="AW115" s="35">
        <f t="shared" si="44"/>
        <v>0</v>
      </c>
      <c r="AX115">
        <v>0</v>
      </c>
      <c r="AZ115">
        <v>0</v>
      </c>
      <c r="CP115" t="s">
        <v>54</v>
      </c>
      <c r="CQ115" t="s">
        <v>55</v>
      </c>
      <c r="CR115" t="s">
        <v>56</v>
      </c>
      <c r="CS115" t="s">
        <v>56</v>
      </c>
      <c r="CT115" t="s">
        <v>57</v>
      </c>
      <c r="CU115" t="s">
        <v>58</v>
      </c>
      <c r="DP115" t="s">
        <v>144</v>
      </c>
    </row>
    <row r="116" spans="1:120" ht="17.5" customHeight="1" x14ac:dyDescent="0.2">
      <c r="J116">
        <f t="shared" si="36"/>
        <v>0</v>
      </c>
      <c r="K116">
        <v>150</v>
      </c>
      <c r="L116">
        <f t="shared" si="37"/>
        <v>0</v>
      </c>
      <c r="P116">
        <f t="shared" si="38"/>
        <v>3</v>
      </c>
      <c r="S116">
        <f t="shared" si="39"/>
        <v>153</v>
      </c>
      <c r="V116" s="46">
        <f t="shared" si="40"/>
        <v>-153</v>
      </c>
      <c r="Z116">
        <f t="shared" si="28"/>
        <v>0</v>
      </c>
      <c r="AA116" s="130"/>
      <c r="AC116" s="8">
        <f t="shared" si="41"/>
        <v>0</v>
      </c>
      <c r="AD116" s="135"/>
      <c r="AE116" s="15">
        <f t="shared" si="29"/>
        <v>0</v>
      </c>
      <c r="AF116" s="43">
        <f t="shared" si="30"/>
        <v>0</v>
      </c>
      <c r="AT116" s="1"/>
      <c r="AU116" s="27">
        <f t="shared" si="42"/>
        <v>0.15400000000000003</v>
      </c>
      <c r="AV116" s="27">
        <f t="shared" si="43"/>
        <v>0</v>
      </c>
      <c r="AW116" s="35">
        <f t="shared" si="44"/>
        <v>0</v>
      </c>
    </row>
    <row r="117" spans="1:120" ht="17.5" customHeight="1" x14ac:dyDescent="0.2">
      <c r="A117">
        <v>21</v>
      </c>
      <c r="C117" t="s">
        <v>145</v>
      </c>
      <c r="D117">
        <f>V117/((H117+I117+O117)/100)</f>
        <v>16.20331252268603</v>
      </c>
      <c r="E117" t="e">
        <f>AC117/AD117/(S117/100)</f>
        <v>#DIV/0!</v>
      </c>
      <c r="F117">
        <v>10.6</v>
      </c>
      <c r="H117">
        <v>4500</v>
      </c>
      <c r="I117">
        <v>100</v>
      </c>
      <c r="J117">
        <f t="shared" si="36"/>
        <v>943.29399999999998</v>
      </c>
      <c r="K117">
        <v>150</v>
      </c>
      <c r="L117">
        <f t="shared" si="37"/>
        <v>1067.8799999999999</v>
      </c>
      <c r="M117">
        <v>50</v>
      </c>
      <c r="N117">
        <v>30</v>
      </c>
      <c r="O117">
        <v>910</v>
      </c>
      <c r="P117">
        <f t="shared" si="38"/>
        <v>155.02348000000001</v>
      </c>
      <c r="Q117">
        <v>100</v>
      </c>
      <c r="S117">
        <f t="shared" si="39"/>
        <v>8006.1974799999998</v>
      </c>
      <c r="T117">
        <f>U117-J117-K117</f>
        <v>7805.7060000000001</v>
      </c>
      <c r="U117">
        <v>8899</v>
      </c>
      <c r="V117" s="46">
        <f t="shared" si="40"/>
        <v>892.80252000000019</v>
      </c>
      <c r="X117"/>
      <c r="Z117">
        <f t="shared" si="28"/>
        <v>0</v>
      </c>
      <c r="AA117" s="130">
        <v>0</v>
      </c>
      <c r="AC117" s="8">
        <f t="shared" si="41"/>
        <v>0</v>
      </c>
      <c r="AD117" s="81">
        <v>0</v>
      </c>
      <c r="AE117" s="15">
        <f t="shared" si="29"/>
        <v>0</v>
      </c>
      <c r="AF117" s="43">
        <f t="shared" si="30"/>
        <v>0</v>
      </c>
      <c r="AT117" s="1">
        <v>6</v>
      </c>
      <c r="AU117" s="27">
        <f t="shared" si="42"/>
        <v>0.15400000000000003</v>
      </c>
      <c r="AV117" s="27">
        <f t="shared" si="43"/>
        <v>0.92400000000000015</v>
      </c>
      <c r="AW117" s="35">
        <f t="shared" si="44"/>
        <v>0</v>
      </c>
      <c r="AX117">
        <v>0</v>
      </c>
      <c r="AZ117">
        <v>0</v>
      </c>
      <c r="DP117" t="s">
        <v>6</v>
      </c>
    </row>
    <row r="118" spans="1:120" ht="17.5" customHeight="1" x14ac:dyDescent="0.2">
      <c r="C118" t="s">
        <v>260</v>
      </c>
      <c r="D118">
        <f>V118/((H118+I118+O118)/100)</f>
        <v>2.3396825396825371</v>
      </c>
      <c r="E118" t="e">
        <f t="shared" ref="E118:E140" si="51">AC118/AD118/(S118/100)</f>
        <v>#DIV/0!</v>
      </c>
      <c r="F118">
        <v>10.6</v>
      </c>
      <c r="H118" s="22">
        <v>16000</v>
      </c>
      <c r="I118" s="14">
        <v>100</v>
      </c>
      <c r="J118">
        <f t="shared" si="36"/>
        <v>2491</v>
      </c>
      <c r="K118">
        <v>150</v>
      </c>
      <c r="L118">
        <f t="shared" si="37"/>
        <v>2820</v>
      </c>
      <c r="M118">
        <v>50</v>
      </c>
      <c r="N118">
        <v>30</v>
      </c>
      <c r="O118">
        <v>910</v>
      </c>
      <c r="P118">
        <f t="shared" si="38"/>
        <v>451.02</v>
      </c>
      <c r="Q118" s="14">
        <v>100</v>
      </c>
      <c r="S118">
        <f t="shared" si="39"/>
        <v>23102.02</v>
      </c>
      <c r="U118" s="14">
        <v>23500</v>
      </c>
      <c r="V118" s="46">
        <f t="shared" si="40"/>
        <v>397.97999999999956</v>
      </c>
      <c r="Z118">
        <f t="shared" si="28"/>
        <v>0</v>
      </c>
      <c r="AA118" s="130"/>
      <c r="AC118" s="8">
        <f t="shared" si="41"/>
        <v>0</v>
      </c>
      <c r="AD118" s="135">
        <v>0</v>
      </c>
      <c r="AE118" s="15">
        <f t="shared" si="29"/>
        <v>0</v>
      </c>
      <c r="AF118" s="43">
        <f t="shared" si="30"/>
        <v>0</v>
      </c>
      <c r="AT118" s="1"/>
      <c r="AU118" s="27">
        <f t="shared" si="42"/>
        <v>0.15400000000000003</v>
      </c>
      <c r="AV118" s="27">
        <f t="shared" si="43"/>
        <v>0</v>
      </c>
      <c r="AW118" s="35">
        <f t="shared" si="44"/>
        <v>0</v>
      </c>
    </row>
    <row r="119" spans="1:120" ht="17.5" customHeight="1" x14ac:dyDescent="0.2">
      <c r="A119">
        <v>55</v>
      </c>
      <c r="C119" t="s">
        <v>13</v>
      </c>
      <c r="D119">
        <f t="shared" ref="D119:D137" si="52">V119/((H119+I119+O119)/100)</f>
        <v>50.359667924528296</v>
      </c>
      <c r="E119" t="e">
        <f t="shared" si="51"/>
        <v>#DIV/0!</v>
      </c>
      <c r="F119">
        <v>7.6</v>
      </c>
      <c r="H119">
        <v>8050</v>
      </c>
      <c r="I119">
        <v>50</v>
      </c>
      <c r="J119">
        <f t="shared" si="36"/>
        <v>1335.7760000000001</v>
      </c>
      <c r="K119">
        <v>150</v>
      </c>
      <c r="L119">
        <f t="shared" si="37"/>
        <v>2109.12</v>
      </c>
      <c r="M119">
        <v>50</v>
      </c>
      <c r="N119">
        <v>30</v>
      </c>
      <c r="O119">
        <v>910</v>
      </c>
      <c r="P119">
        <f t="shared" si="38"/>
        <v>253.69792000000001</v>
      </c>
      <c r="Q119">
        <v>100</v>
      </c>
      <c r="S119">
        <f t="shared" si="39"/>
        <v>13038.593920000001</v>
      </c>
      <c r="T119">
        <f t="shared" ref="T119:T164" si="53">U119-J119-K119</f>
        <v>16090.224</v>
      </c>
      <c r="U119">
        <v>17576</v>
      </c>
      <c r="V119" s="46">
        <f t="shared" si="40"/>
        <v>4537.4060799999988</v>
      </c>
      <c r="X119"/>
      <c r="Z119">
        <f t="shared" si="28"/>
        <v>0</v>
      </c>
      <c r="AA119" s="130">
        <v>969</v>
      </c>
      <c r="AC119" s="8">
        <f t="shared" si="41"/>
        <v>-969</v>
      </c>
      <c r="AD119" s="140">
        <v>0</v>
      </c>
      <c r="AE119" s="15">
        <f t="shared" si="29"/>
        <v>0</v>
      </c>
      <c r="AF119" s="43">
        <f t="shared" si="30"/>
        <v>-969</v>
      </c>
      <c r="AT119" s="1">
        <v>6</v>
      </c>
      <c r="AU119" s="27">
        <f t="shared" si="42"/>
        <v>0.15400000000000003</v>
      </c>
      <c r="AV119" s="27">
        <f t="shared" si="43"/>
        <v>0.92400000000000015</v>
      </c>
      <c r="AW119" s="35">
        <f t="shared" si="44"/>
        <v>0</v>
      </c>
      <c r="AZ119">
        <v>0</v>
      </c>
      <c r="DP119" t="s">
        <v>146</v>
      </c>
    </row>
    <row r="120" spans="1:120" ht="15" customHeight="1" x14ac:dyDescent="0.2">
      <c r="C120" t="s">
        <v>24</v>
      </c>
      <c r="D120">
        <f t="shared" si="52"/>
        <v>20.62359891598916</v>
      </c>
      <c r="E120" t="e">
        <f t="shared" si="51"/>
        <v>#DIV/0!</v>
      </c>
      <c r="F120">
        <v>7.6</v>
      </c>
      <c r="H120">
        <v>13800</v>
      </c>
      <c r="I120">
        <v>50</v>
      </c>
      <c r="J120">
        <f t="shared" si="36"/>
        <v>1751.04</v>
      </c>
      <c r="K120">
        <v>150</v>
      </c>
      <c r="L120">
        <f t="shared" si="37"/>
        <v>2764.7999999999997</v>
      </c>
      <c r="M120">
        <v>50</v>
      </c>
      <c r="N120">
        <v>30</v>
      </c>
      <c r="O120">
        <v>910</v>
      </c>
      <c r="P120">
        <f t="shared" si="38"/>
        <v>390.11680000000001</v>
      </c>
      <c r="Q120">
        <v>100</v>
      </c>
      <c r="S120">
        <f t="shared" si="39"/>
        <v>19995.9568</v>
      </c>
      <c r="T120">
        <f t="shared" si="53"/>
        <v>21138.959999999999</v>
      </c>
      <c r="U120">
        <v>23040</v>
      </c>
      <c r="V120" s="46">
        <f t="shared" si="40"/>
        <v>3044.0432000000001</v>
      </c>
      <c r="X120"/>
      <c r="Z120">
        <f t="shared" si="28"/>
        <v>0</v>
      </c>
      <c r="AA120" s="130"/>
      <c r="AC120" s="8">
        <f t="shared" si="41"/>
        <v>0</v>
      </c>
      <c r="AD120" s="140">
        <v>0</v>
      </c>
      <c r="AE120" s="15">
        <f t="shared" si="29"/>
        <v>0</v>
      </c>
      <c r="AF120" s="43">
        <f t="shared" si="30"/>
        <v>0</v>
      </c>
      <c r="AT120" s="1"/>
      <c r="AU120" s="27">
        <f t="shared" si="42"/>
        <v>0.15400000000000003</v>
      </c>
      <c r="AV120" s="27">
        <f t="shared" si="43"/>
        <v>0</v>
      </c>
      <c r="AW120" s="35">
        <f t="shared" si="44"/>
        <v>0</v>
      </c>
      <c r="DP120" t="s">
        <v>146</v>
      </c>
    </row>
    <row r="121" spans="1:120" ht="18.5" customHeight="1" x14ac:dyDescent="0.2">
      <c r="A121">
        <v>32</v>
      </c>
      <c r="C121" t="s">
        <v>147</v>
      </c>
      <c r="D121">
        <f t="shared" si="52"/>
        <v>9.7165273870783313</v>
      </c>
      <c r="E121" t="e">
        <f t="shared" si="51"/>
        <v>#DIV/0!</v>
      </c>
      <c r="F121">
        <v>7.6</v>
      </c>
      <c r="H121">
        <v>7800</v>
      </c>
      <c r="I121">
        <v>35</v>
      </c>
      <c r="J121">
        <f t="shared" si="36"/>
        <v>959.80399999999997</v>
      </c>
      <c r="K121">
        <v>150</v>
      </c>
      <c r="L121">
        <f t="shared" si="37"/>
        <v>1515.48</v>
      </c>
      <c r="M121">
        <v>50</v>
      </c>
      <c r="N121">
        <v>30</v>
      </c>
      <c r="O121">
        <v>910</v>
      </c>
      <c r="P121">
        <f t="shared" si="38"/>
        <v>229.00567999999998</v>
      </c>
      <c r="Q121">
        <v>100</v>
      </c>
      <c r="S121">
        <f t="shared" si="39"/>
        <v>11779.28968</v>
      </c>
      <c r="T121">
        <f t="shared" si="53"/>
        <v>11519.196</v>
      </c>
      <c r="U121">
        <v>12629</v>
      </c>
      <c r="V121" s="46">
        <f t="shared" si="40"/>
        <v>849.71032000000014</v>
      </c>
      <c r="X121"/>
      <c r="Z121">
        <f t="shared" si="28"/>
        <v>0</v>
      </c>
      <c r="AA121" s="130">
        <v>0</v>
      </c>
      <c r="AC121" s="8">
        <f t="shared" si="41"/>
        <v>0</v>
      </c>
      <c r="AD121" s="82">
        <v>0</v>
      </c>
      <c r="AE121" s="15">
        <f t="shared" si="29"/>
        <v>0</v>
      </c>
      <c r="AF121" s="43">
        <f t="shared" si="30"/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 s="1">
        <v>6</v>
      </c>
      <c r="AU121" s="27">
        <f t="shared" si="42"/>
        <v>0.15400000000000003</v>
      </c>
      <c r="AV121" s="27">
        <f t="shared" si="43"/>
        <v>0.92400000000000015</v>
      </c>
      <c r="AW121" s="35">
        <f t="shared" si="44"/>
        <v>0</v>
      </c>
      <c r="AX121">
        <v>0</v>
      </c>
      <c r="AZ121">
        <v>0</v>
      </c>
      <c r="CU121" t="s">
        <v>89</v>
      </c>
      <c r="CX121" t="s">
        <v>82</v>
      </c>
      <c r="DP121" t="s">
        <v>146</v>
      </c>
    </row>
    <row r="122" spans="1:120" ht="15" customHeight="1" x14ac:dyDescent="0.2">
      <c r="C122" t="s">
        <v>27</v>
      </c>
      <c r="D122">
        <f t="shared" si="52"/>
        <v>27.326369550173002</v>
      </c>
      <c r="E122" t="e">
        <f t="shared" si="51"/>
        <v>#DIV/0!</v>
      </c>
      <c r="F122">
        <v>7.6</v>
      </c>
      <c r="H122">
        <v>10600</v>
      </c>
      <c r="I122">
        <v>50</v>
      </c>
      <c r="J122">
        <f t="shared" si="36"/>
        <v>1451.904</v>
      </c>
      <c r="K122">
        <v>150</v>
      </c>
      <c r="L122">
        <f t="shared" si="37"/>
        <v>2292.48</v>
      </c>
      <c r="M122">
        <v>50</v>
      </c>
      <c r="N122">
        <v>30</v>
      </c>
      <c r="O122">
        <v>910</v>
      </c>
      <c r="P122">
        <f t="shared" si="38"/>
        <v>310.68768</v>
      </c>
      <c r="Q122">
        <v>100</v>
      </c>
      <c r="S122">
        <f t="shared" si="39"/>
        <v>15945.071680000001</v>
      </c>
      <c r="T122">
        <f t="shared" si="53"/>
        <v>17502.096000000001</v>
      </c>
      <c r="U122">
        <v>19104</v>
      </c>
      <c r="V122" s="46">
        <f t="shared" si="40"/>
        <v>3158.9283199999991</v>
      </c>
      <c r="X122"/>
      <c r="Z122">
        <f t="shared" si="28"/>
        <v>0</v>
      </c>
      <c r="AA122" s="130"/>
      <c r="AC122" s="8">
        <f t="shared" si="41"/>
        <v>0</v>
      </c>
      <c r="AD122" s="140">
        <v>0</v>
      </c>
      <c r="AE122" s="15">
        <f t="shared" si="29"/>
        <v>0</v>
      </c>
      <c r="AF122" s="43">
        <f t="shared" si="30"/>
        <v>0</v>
      </c>
      <c r="AT122" s="1"/>
      <c r="AU122" s="27">
        <f t="shared" si="42"/>
        <v>0.15400000000000003</v>
      </c>
      <c r="AV122" s="27">
        <f t="shared" si="43"/>
        <v>0</v>
      </c>
      <c r="AW122" s="35">
        <f t="shared" si="44"/>
        <v>0</v>
      </c>
      <c r="DP122" t="s">
        <v>146</v>
      </c>
    </row>
    <row r="123" spans="1:120" x14ac:dyDescent="0.2">
      <c r="C123" t="s">
        <v>26</v>
      </c>
      <c r="D123">
        <f t="shared" si="52"/>
        <v>15.164015047021966</v>
      </c>
      <c r="E123" t="e">
        <f t="shared" si="51"/>
        <v>#DIV/0!</v>
      </c>
      <c r="F123">
        <v>7.6</v>
      </c>
      <c r="H123">
        <v>11800</v>
      </c>
      <c r="I123">
        <v>50</v>
      </c>
      <c r="J123">
        <f t="shared" si="36"/>
        <v>1451.904</v>
      </c>
      <c r="K123">
        <v>150</v>
      </c>
      <c r="L123">
        <f t="shared" si="37"/>
        <v>2292.48</v>
      </c>
      <c r="M123">
        <v>50</v>
      </c>
      <c r="N123">
        <v>30</v>
      </c>
      <c r="O123">
        <v>910</v>
      </c>
      <c r="P123">
        <f t="shared" si="38"/>
        <v>334.68767999999994</v>
      </c>
      <c r="Q123">
        <v>100</v>
      </c>
      <c r="S123">
        <f t="shared" si="39"/>
        <v>17169.071679999997</v>
      </c>
      <c r="T123">
        <f t="shared" si="53"/>
        <v>17502.096000000001</v>
      </c>
      <c r="U123">
        <v>19104</v>
      </c>
      <c r="V123" s="46">
        <f t="shared" si="40"/>
        <v>1934.9283200000027</v>
      </c>
      <c r="X123"/>
      <c r="Z123">
        <f t="shared" si="28"/>
        <v>0</v>
      </c>
      <c r="AA123" s="130"/>
      <c r="AC123" s="8">
        <f t="shared" si="41"/>
        <v>0</v>
      </c>
      <c r="AD123" s="140">
        <v>0</v>
      </c>
      <c r="AE123" s="15">
        <f t="shared" si="29"/>
        <v>0</v>
      </c>
      <c r="AF123" s="43">
        <f t="shared" si="30"/>
        <v>0</v>
      </c>
      <c r="AT123" s="1"/>
      <c r="AU123" s="27">
        <f t="shared" si="42"/>
        <v>0.15400000000000003</v>
      </c>
      <c r="AV123" s="27">
        <f t="shared" si="43"/>
        <v>0</v>
      </c>
      <c r="AW123" s="35">
        <f t="shared" si="44"/>
        <v>0</v>
      </c>
      <c r="DP123" t="s">
        <v>146</v>
      </c>
    </row>
    <row r="124" spans="1:120" x14ac:dyDescent="0.2">
      <c r="C124" t="s">
        <v>28</v>
      </c>
      <c r="D124">
        <f t="shared" si="52"/>
        <v>11.403779448621554</v>
      </c>
      <c r="E124" t="e">
        <f t="shared" si="51"/>
        <v>#DIV/0!</v>
      </c>
      <c r="F124">
        <v>7.6</v>
      </c>
      <c r="H124">
        <v>15000</v>
      </c>
      <c r="I124">
        <v>50</v>
      </c>
      <c r="J124">
        <f t="shared" si="36"/>
        <v>1751.04</v>
      </c>
      <c r="K124">
        <v>150</v>
      </c>
      <c r="L124">
        <f t="shared" si="37"/>
        <v>2764.7999999999997</v>
      </c>
      <c r="M124">
        <v>50</v>
      </c>
      <c r="N124">
        <v>30</v>
      </c>
      <c r="O124">
        <v>910</v>
      </c>
      <c r="P124">
        <f t="shared" si="38"/>
        <v>414.11680000000001</v>
      </c>
      <c r="Q124">
        <v>100</v>
      </c>
      <c r="S124">
        <f t="shared" si="39"/>
        <v>21219.9568</v>
      </c>
      <c r="T124">
        <f t="shared" si="53"/>
        <v>21138.959999999999</v>
      </c>
      <c r="U124">
        <v>23040</v>
      </c>
      <c r="V124" s="46">
        <f t="shared" si="40"/>
        <v>1820.0432000000001</v>
      </c>
      <c r="X124"/>
      <c r="Z124">
        <f t="shared" si="28"/>
        <v>0</v>
      </c>
      <c r="AA124" s="130"/>
      <c r="AC124" s="8">
        <f t="shared" si="41"/>
        <v>0</v>
      </c>
      <c r="AD124" s="140">
        <v>0</v>
      </c>
      <c r="AE124" s="15">
        <f t="shared" si="29"/>
        <v>0</v>
      </c>
      <c r="AF124" s="43">
        <f t="shared" si="30"/>
        <v>0</v>
      </c>
      <c r="AT124" s="1"/>
      <c r="AU124" s="27">
        <f t="shared" si="42"/>
        <v>0.15400000000000003</v>
      </c>
      <c r="AV124" s="27">
        <f t="shared" si="43"/>
        <v>0</v>
      </c>
      <c r="AW124" s="35">
        <f t="shared" si="44"/>
        <v>0</v>
      </c>
      <c r="DP124" t="s">
        <v>146</v>
      </c>
    </row>
    <row r="125" spans="1:120" ht="16" thickBot="1" x14ac:dyDescent="0.25">
      <c r="C125" t="s">
        <v>148</v>
      </c>
      <c r="D125">
        <f t="shared" si="52"/>
        <v>40.578332613390941</v>
      </c>
      <c r="E125" t="e">
        <f t="shared" si="51"/>
        <v>#DIV/0!</v>
      </c>
      <c r="F125">
        <v>7.6</v>
      </c>
      <c r="H125">
        <v>8300</v>
      </c>
      <c r="I125">
        <v>50</v>
      </c>
      <c r="J125">
        <f t="shared" si="36"/>
        <v>1285.92</v>
      </c>
      <c r="K125">
        <v>150</v>
      </c>
      <c r="L125">
        <f t="shared" si="37"/>
        <v>2030.3999999999999</v>
      </c>
      <c r="M125">
        <v>50</v>
      </c>
      <c r="N125">
        <v>30</v>
      </c>
      <c r="O125">
        <v>910</v>
      </c>
      <c r="P125">
        <f t="shared" si="38"/>
        <v>256.12639999999999</v>
      </c>
      <c r="Q125">
        <v>100</v>
      </c>
      <c r="S125">
        <f t="shared" si="39"/>
        <v>13162.446399999999</v>
      </c>
      <c r="T125">
        <f t="shared" si="53"/>
        <v>15484.08</v>
      </c>
      <c r="U125">
        <v>16920</v>
      </c>
      <c r="V125" s="46">
        <f t="shared" si="40"/>
        <v>3757.5536000000011</v>
      </c>
      <c r="X125"/>
      <c r="Y125">
        <v>0</v>
      </c>
      <c r="Z125">
        <f t="shared" si="28"/>
        <v>0</v>
      </c>
      <c r="AA125" s="130"/>
      <c r="AC125" s="8">
        <f t="shared" si="41"/>
        <v>0</v>
      </c>
      <c r="AD125" s="140">
        <v>0</v>
      </c>
      <c r="AE125" s="15">
        <f t="shared" si="29"/>
        <v>0</v>
      </c>
      <c r="AF125" s="43">
        <f t="shared" si="30"/>
        <v>0</v>
      </c>
      <c r="AT125" s="1"/>
      <c r="AU125" s="27">
        <f t="shared" si="42"/>
        <v>0.15400000000000003</v>
      </c>
      <c r="AV125" s="27">
        <f t="shared" si="43"/>
        <v>0</v>
      </c>
      <c r="AW125" s="35">
        <f t="shared" si="44"/>
        <v>0</v>
      </c>
      <c r="DP125" t="s">
        <v>146</v>
      </c>
    </row>
    <row r="126" spans="1:120" ht="12.5" customHeight="1" x14ac:dyDescent="0.2">
      <c r="A126">
        <v>1</v>
      </c>
      <c r="C126" s="87" t="s">
        <v>97</v>
      </c>
      <c r="D126" s="88">
        <f t="shared" si="52"/>
        <v>63.784796700058926</v>
      </c>
      <c r="E126" s="88" t="e">
        <f t="shared" si="51"/>
        <v>#DIV/0!</v>
      </c>
      <c r="F126" s="88">
        <v>7.6</v>
      </c>
      <c r="G126" s="88"/>
      <c r="H126" s="88">
        <v>7525</v>
      </c>
      <c r="I126" s="88">
        <v>50</v>
      </c>
      <c r="J126">
        <f t="shared" si="36"/>
        <v>1368</v>
      </c>
      <c r="K126">
        <v>150</v>
      </c>
      <c r="L126">
        <f t="shared" si="37"/>
        <v>2160</v>
      </c>
      <c r="M126" s="88">
        <v>50</v>
      </c>
      <c r="N126" s="88">
        <v>30</v>
      </c>
      <c r="O126" s="88">
        <v>910</v>
      </c>
      <c r="P126">
        <f t="shared" si="38"/>
        <v>244.86</v>
      </c>
      <c r="Q126" s="88">
        <v>100</v>
      </c>
      <c r="R126" s="88"/>
      <c r="S126">
        <f t="shared" si="39"/>
        <v>12587.86</v>
      </c>
      <c r="T126" s="88">
        <f t="shared" si="53"/>
        <v>16482</v>
      </c>
      <c r="U126" s="88">
        <v>18000</v>
      </c>
      <c r="V126" s="46">
        <f t="shared" si="40"/>
        <v>5412.1399999999994</v>
      </c>
      <c r="W126" s="88"/>
      <c r="X126" s="88"/>
      <c r="Y126" s="88"/>
      <c r="Z126">
        <f t="shared" si="28"/>
        <v>0</v>
      </c>
      <c r="AA126" s="131"/>
      <c r="AB126" s="93">
        <f>SUM(AC126:AC132)</f>
        <v>35153.676560000065</v>
      </c>
      <c r="AC126" s="8">
        <f t="shared" si="41"/>
        <v>0</v>
      </c>
      <c r="AD126" s="80">
        <v>0</v>
      </c>
      <c r="AE126" s="15">
        <f t="shared" si="29"/>
        <v>0</v>
      </c>
      <c r="AF126" s="43">
        <f t="shared" si="30"/>
        <v>0</v>
      </c>
      <c r="AT126" s="1"/>
      <c r="AU126" s="27">
        <f t="shared" si="42"/>
        <v>0.15400000000000003</v>
      </c>
      <c r="AV126" s="27">
        <f t="shared" si="43"/>
        <v>0</v>
      </c>
      <c r="AW126" s="35">
        <f t="shared" si="44"/>
        <v>0</v>
      </c>
      <c r="DP126" t="s">
        <v>146</v>
      </c>
    </row>
    <row r="127" spans="1:120" ht="12.5" customHeight="1" x14ac:dyDescent="0.2">
      <c r="C127" s="89" t="s">
        <v>17</v>
      </c>
      <c r="D127">
        <f t="shared" si="52"/>
        <v>59.16109306325243</v>
      </c>
      <c r="E127">
        <f t="shared" si="51"/>
        <v>40.447603245319499</v>
      </c>
      <c r="F127">
        <v>7.6</v>
      </c>
      <c r="H127">
        <v>9506</v>
      </c>
      <c r="I127">
        <v>50</v>
      </c>
      <c r="J127">
        <f t="shared" si="36"/>
        <v>1634</v>
      </c>
      <c r="K127">
        <v>150</v>
      </c>
      <c r="L127">
        <f t="shared" si="37"/>
        <v>2580</v>
      </c>
      <c r="M127">
        <v>50</v>
      </c>
      <c r="N127">
        <v>30</v>
      </c>
      <c r="O127">
        <v>910</v>
      </c>
      <c r="P127">
        <f t="shared" si="38"/>
        <v>298.2</v>
      </c>
      <c r="Q127">
        <v>100</v>
      </c>
      <c r="S127">
        <f t="shared" si="39"/>
        <v>15308.2</v>
      </c>
      <c r="T127">
        <f t="shared" si="53"/>
        <v>19716</v>
      </c>
      <c r="U127">
        <v>21500</v>
      </c>
      <c r="V127" s="46">
        <f t="shared" si="40"/>
        <v>6191.7999999999993</v>
      </c>
      <c r="X127"/>
      <c r="Z127">
        <f t="shared" si="28"/>
        <v>13524.2</v>
      </c>
      <c r="AA127" s="130"/>
      <c r="AB127" s="84"/>
      <c r="AC127" s="8">
        <f t="shared" si="41"/>
        <v>6191.7999999999993</v>
      </c>
      <c r="AD127" s="80">
        <v>1</v>
      </c>
      <c r="AE127" s="15">
        <f t="shared" si="29"/>
        <v>6191.7999999999993</v>
      </c>
      <c r="AF127" s="43">
        <f t="shared" si="30"/>
        <v>19716</v>
      </c>
      <c r="AT127" s="1">
        <v>6</v>
      </c>
      <c r="AU127" s="27">
        <f t="shared" si="42"/>
        <v>0.15400000000000003</v>
      </c>
      <c r="AV127" s="27">
        <f t="shared" si="43"/>
        <v>0.92400000000000015</v>
      </c>
      <c r="AW127" s="35">
        <f t="shared" si="44"/>
        <v>0</v>
      </c>
      <c r="AZ127">
        <v>0</v>
      </c>
      <c r="DP127" t="s">
        <v>146</v>
      </c>
    </row>
    <row r="128" spans="1:120" x14ac:dyDescent="0.2">
      <c r="C128" s="89" t="s">
        <v>96</v>
      </c>
      <c r="D128">
        <f t="shared" si="52"/>
        <v>44.035670995671019</v>
      </c>
      <c r="E128" t="e">
        <f t="shared" si="51"/>
        <v>#DIV/0!</v>
      </c>
      <c r="F128">
        <v>7.6</v>
      </c>
      <c r="H128">
        <v>10500</v>
      </c>
      <c r="I128">
        <v>50</v>
      </c>
      <c r="J128">
        <f t="shared" si="36"/>
        <v>1634</v>
      </c>
      <c r="K128">
        <v>150</v>
      </c>
      <c r="L128">
        <f t="shared" si="37"/>
        <v>2580</v>
      </c>
      <c r="M128">
        <v>50</v>
      </c>
      <c r="N128">
        <v>30</v>
      </c>
      <c r="O128">
        <v>1000</v>
      </c>
      <c r="P128">
        <f t="shared" si="38"/>
        <v>319.88</v>
      </c>
      <c r="Q128">
        <v>100</v>
      </c>
      <c r="S128">
        <f t="shared" si="39"/>
        <v>16413.879999999997</v>
      </c>
      <c r="T128">
        <f t="shared" si="53"/>
        <v>19716</v>
      </c>
      <c r="U128">
        <v>21500</v>
      </c>
      <c r="V128" s="46">
        <f t="shared" si="40"/>
        <v>5086.1200000000026</v>
      </c>
      <c r="X128"/>
      <c r="Y128">
        <v>0</v>
      </c>
      <c r="Z128">
        <f t="shared" si="28"/>
        <v>0</v>
      </c>
      <c r="AA128" s="130"/>
      <c r="AB128" s="84"/>
      <c r="AC128" s="8">
        <f t="shared" si="41"/>
        <v>0</v>
      </c>
      <c r="AD128" s="142">
        <v>0</v>
      </c>
      <c r="AE128" s="15">
        <f t="shared" si="29"/>
        <v>0</v>
      </c>
      <c r="AF128" s="43">
        <f t="shared" si="30"/>
        <v>0</v>
      </c>
      <c r="AT128" s="1"/>
      <c r="AU128" s="27">
        <f t="shared" si="42"/>
        <v>0.15400000000000003</v>
      </c>
      <c r="AV128" s="27">
        <f t="shared" si="43"/>
        <v>0</v>
      </c>
      <c r="AW128" s="35">
        <f t="shared" si="44"/>
        <v>0</v>
      </c>
      <c r="DP128" t="s">
        <v>146</v>
      </c>
    </row>
    <row r="129" spans="1:120" x14ac:dyDescent="0.2">
      <c r="A129">
        <v>54</v>
      </c>
      <c r="C129" s="89" t="s">
        <v>12</v>
      </c>
      <c r="D129">
        <f t="shared" si="52"/>
        <v>36.938385502471164</v>
      </c>
      <c r="E129" t="e">
        <f t="shared" si="51"/>
        <v>#DIV/0!</v>
      </c>
      <c r="F129">
        <v>7.6</v>
      </c>
      <c r="H129">
        <v>11180</v>
      </c>
      <c r="I129">
        <v>50</v>
      </c>
      <c r="J129">
        <f t="shared" si="36"/>
        <v>1634</v>
      </c>
      <c r="K129">
        <v>150</v>
      </c>
      <c r="L129">
        <f t="shared" si="37"/>
        <v>2580</v>
      </c>
      <c r="M129">
        <v>50</v>
      </c>
      <c r="N129">
        <v>30</v>
      </c>
      <c r="O129">
        <v>910</v>
      </c>
      <c r="P129">
        <f t="shared" si="38"/>
        <v>331.68</v>
      </c>
      <c r="Q129">
        <v>100</v>
      </c>
      <c r="S129">
        <f t="shared" si="39"/>
        <v>17015.68</v>
      </c>
      <c r="T129">
        <f t="shared" si="53"/>
        <v>19716</v>
      </c>
      <c r="U129">
        <v>21500</v>
      </c>
      <c r="V129" s="46">
        <f t="shared" si="40"/>
        <v>4484.32</v>
      </c>
      <c r="X129"/>
      <c r="Z129">
        <f t="shared" si="28"/>
        <v>0</v>
      </c>
      <c r="AA129" s="130"/>
      <c r="AB129" s="84"/>
      <c r="AC129" s="8">
        <f t="shared" si="41"/>
        <v>0</v>
      </c>
      <c r="AD129" s="142">
        <v>0</v>
      </c>
      <c r="AE129" s="15">
        <f t="shared" si="29"/>
        <v>0</v>
      </c>
      <c r="AF129" s="43">
        <f t="shared" si="30"/>
        <v>0</v>
      </c>
      <c r="AT129" s="1">
        <v>6</v>
      </c>
      <c r="AU129" s="27">
        <f t="shared" si="42"/>
        <v>0.15400000000000003</v>
      </c>
      <c r="AV129" s="27">
        <f t="shared" si="43"/>
        <v>0.92400000000000015</v>
      </c>
      <c r="AW129" s="35">
        <f t="shared" si="44"/>
        <v>0</v>
      </c>
      <c r="AZ129">
        <v>0</v>
      </c>
      <c r="DP129" t="s">
        <v>146</v>
      </c>
    </row>
    <row r="130" spans="1:120" x14ac:dyDescent="0.2">
      <c r="A130">
        <v>1</v>
      </c>
      <c r="C130" s="89" t="s">
        <v>149</v>
      </c>
      <c r="D130">
        <f t="shared" si="52"/>
        <v>36.422032450896673</v>
      </c>
      <c r="E130" t="e">
        <f t="shared" si="51"/>
        <v>#DIV/0!</v>
      </c>
      <c r="F130">
        <v>10.6</v>
      </c>
      <c r="H130">
        <v>10750</v>
      </c>
      <c r="I130">
        <v>50</v>
      </c>
      <c r="J130">
        <f t="shared" si="36"/>
        <v>2279</v>
      </c>
      <c r="K130">
        <v>150</v>
      </c>
      <c r="L130">
        <f t="shared" si="37"/>
        <v>2580</v>
      </c>
      <c r="M130">
        <v>50</v>
      </c>
      <c r="N130">
        <v>30</v>
      </c>
      <c r="O130">
        <v>910</v>
      </c>
      <c r="P130">
        <f t="shared" si="38"/>
        <v>335.98</v>
      </c>
      <c r="Q130">
        <v>100</v>
      </c>
      <c r="S130">
        <f t="shared" si="39"/>
        <v>17234.98</v>
      </c>
      <c r="T130">
        <f t="shared" si="53"/>
        <v>19071</v>
      </c>
      <c r="U130">
        <v>21500</v>
      </c>
      <c r="V130" s="46">
        <f t="shared" si="40"/>
        <v>4265.0200000000004</v>
      </c>
      <c r="X130"/>
      <c r="Y130">
        <v>0</v>
      </c>
      <c r="Z130">
        <f t="shared" si="28"/>
        <v>0</v>
      </c>
      <c r="AA130" s="130"/>
      <c r="AB130" s="84"/>
      <c r="AC130" s="8">
        <f t="shared" si="41"/>
        <v>0</v>
      </c>
      <c r="AD130" s="80">
        <v>0</v>
      </c>
      <c r="AE130" s="15">
        <f t="shared" si="29"/>
        <v>0</v>
      </c>
      <c r="AF130" s="43">
        <f t="shared" si="30"/>
        <v>0</v>
      </c>
      <c r="AT130" s="1"/>
      <c r="AU130" s="27">
        <f t="shared" si="42"/>
        <v>0.15400000000000003</v>
      </c>
      <c r="AV130" s="27">
        <f t="shared" si="43"/>
        <v>0</v>
      </c>
      <c r="AW130" s="35">
        <f t="shared" si="44"/>
        <v>0</v>
      </c>
      <c r="AZ130">
        <v>0</v>
      </c>
      <c r="CP130" t="s">
        <v>62</v>
      </c>
      <c r="CY130" t="s">
        <v>63</v>
      </c>
      <c r="DE130" t="s">
        <v>64</v>
      </c>
      <c r="DL130" t="s">
        <v>65</v>
      </c>
      <c r="DP130" t="s">
        <v>146</v>
      </c>
    </row>
    <row r="131" spans="1:120" ht="18" customHeight="1" x14ac:dyDescent="0.2">
      <c r="A131">
        <v>7</v>
      </c>
      <c r="C131" s="90" t="s">
        <v>150</v>
      </c>
      <c r="D131">
        <f t="shared" si="52"/>
        <v>30.979619517003435</v>
      </c>
      <c r="E131" t="e">
        <f t="shared" si="51"/>
        <v>#DIV/0!</v>
      </c>
      <c r="F131">
        <v>7.6</v>
      </c>
      <c r="H131">
        <v>9200</v>
      </c>
      <c r="I131">
        <v>35</v>
      </c>
      <c r="J131">
        <f t="shared" si="36"/>
        <v>1313.28</v>
      </c>
      <c r="K131">
        <v>150</v>
      </c>
      <c r="L131">
        <f t="shared" si="37"/>
        <v>2073.6</v>
      </c>
      <c r="M131">
        <v>50</v>
      </c>
      <c r="N131">
        <v>30</v>
      </c>
      <c r="O131">
        <v>910</v>
      </c>
      <c r="P131">
        <f t="shared" si="38"/>
        <v>275.23760000000004</v>
      </c>
      <c r="Q131">
        <v>100</v>
      </c>
      <c r="S131">
        <f t="shared" si="39"/>
        <v>14137.117600000001</v>
      </c>
      <c r="T131">
        <f t="shared" si="53"/>
        <v>15816.72</v>
      </c>
      <c r="U131">
        <v>17280</v>
      </c>
      <c r="V131" s="46">
        <f t="shared" si="40"/>
        <v>3142.8823999999986</v>
      </c>
      <c r="X131"/>
      <c r="Z131">
        <f t="shared" ref="Z131:Z194" si="54">(S131-J131-K131)*AD131</f>
        <v>0</v>
      </c>
      <c r="AA131" s="130">
        <v>0</v>
      </c>
      <c r="AB131" s="84"/>
      <c r="AC131" s="8">
        <f t="shared" si="41"/>
        <v>0</v>
      </c>
      <c r="AD131" s="142">
        <v>0</v>
      </c>
      <c r="AE131" s="15">
        <f t="shared" si="29"/>
        <v>0</v>
      </c>
      <c r="AF131" s="43">
        <f t="shared" si="30"/>
        <v>0</v>
      </c>
      <c r="AO131">
        <v>3</v>
      </c>
      <c r="AP131">
        <v>3</v>
      </c>
      <c r="AQ131">
        <v>0</v>
      </c>
      <c r="AR131">
        <v>0</v>
      </c>
      <c r="AS131">
        <v>0</v>
      </c>
      <c r="AT131" s="1">
        <v>6</v>
      </c>
      <c r="AU131" s="27">
        <f t="shared" si="42"/>
        <v>0.15400000000000003</v>
      </c>
      <c r="AV131" s="27">
        <f t="shared" si="43"/>
        <v>0.92400000000000015</v>
      </c>
      <c r="AW131" s="35">
        <f t="shared" si="44"/>
        <v>0</v>
      </c>
      <c r="AX131">
        <v>0</v>
      </c>
      <c r="AZ131">
        <v>0</v>
      </c>
      <c r="CP131" t="s">
        <v>71</v>
      </c>
      <c r="CX131" t="s">
        <v>72</v>
      </c>
      <c r="DE131" t="s">
        <v>73</v>
      </c>
      <c r="DP131" t="s">
        <v>146</v>
      </c>
    </row>
    <row r="132" spans="1:120" ht="16" thickBot="1" x14ac:dyDescent="0.25">
      <c r="A132" s="13">
        <v>8</v>
      </c>
      <c r="B132" s="13"/>
      <c r="C132" s="91" t="s">
        <v>151</v>
      </c>
      <c r="D132" s="92">
        <f t="shared" si="52"/>
        <v>37.49609647209752</v>
      </c>
      <c r="E132" s="92">
        <f t="shared" si="51"/>
        <v>11.358394921679716</v>
      </c>
      <c r="F132" s="92">
        <v>7.6</v>
      </c>
      <c r="G132" s="92"/>
      <c r="H132" s="92">
        <v>6850</v>
      </c>
      <c r="I132" s="92">
        <v>35</v>
      </c>
      <c r="J132">
        <f t="shared" si="36"/>
        <v>1064.684</v>
      </c>
      <c r="K132">
        <v>150</v>
      </c>
      <c r="L132">
        <f t="shared" si="37"/>
        <v>1681.08</v>
      </c>
      <c r="M132" s="92">
        <v>50</v>
      </c>
      <c r="N132" s="92">
        <v>30</v>
      </c>
      <c r="O132" s="92">
        <v>910</v>
      </c>
      <c r="P132">
        <f t="shared" si="38"/>
        <v>215.41528</v>
      </c>
      <c r="Q132" s="92">
        <v>100</v>
      </c>
      <c r="R132" s="92">
        <v>0</v>
      </c>
      <c r="S132">
        <f t="shared" si="39"/>
        <v>11086.179279999998</v>
      </c>
      <c r="T132" s="92">
        <f t="shared" si="53"/>
        <v>12794.316000000001</v>
      </c>
      <c r="U132" s="92">
        <v>14009</v>
      </c>
      <c r="V132" s="46">
        <f t="shared" si="40"/>
        <v>2922.8207200000015</v>
      </c>
      <c r="W132" s="92"/>
      <c r="X132" s="92"/>
      <c r="Y132" s="92"/>
      <c r="Z132">
        <f t="shared" si="54"/>
        <v>227044.39143999998</v>
      </c>
      <c r="AA132" s="126">
        <v>38263</v>
      </c>
      <c r="AB132" s="84"/>
      <c r="AC132" s="8">
        <f t="shared" si="41"/>
        <v>28961.876560000062</v>
      </c>
      <c r="AD132" s="80">
        <v>23</v>
      </c>
      <c r="AE132" s="15">
        <f t="shared" si="29"/>
        <v>67224.876560000033</v>
      </c>
      <c r="AF132" s="43">
        <f t="shared" si="30"/>
        <v>256006.26800000004</v>
      </c>
      <c r="AO132" s="28">
        <v>187</v>
      </c>
      <c r="AP132" s="63">
        <v>121</v>
      </c>
      <c r="AQ132" s="63">
        <f t="shared" ref="AQ132" si="55">AO132-AP132</f>
        <v>66</v>
      </c>
      <c r="AR132" s="64">
        <f t="shared" ref="AR132" si="56">AQ132-AS132</f>
        <v>43</v>
      </c>
      <c r="AS132" s="63">
        <v>23</v>
      </c>
      <c r="AT132" s="68">
        <v>6</v>
      </c>
      <c r="AU132" s="27">
        <f t="shared" si="42"/>
        <v>0.15400000000000003</v>
      </c>
      <c r="AV132" s="27">
        <f t="shared" si="43"/>
        <v>0.92400000000000015</v>
      </c>
      <c r="AW132" s="35">
        <f t="shared" si="44"/>
        <v>60.984000000000009</v>
      </c>
      <c r="AX132">
        <v>0</v>
      </c>
      <c r="AZ132">
        <v>0</v>
      </c>
      <c r="CP132" t="s">
        <v>74</v>
      </c>
      <c r="CX132" t="s">
        <v>75</v>
      </c>
      <c r="DP132" t="s">
        <v>146</v>
      </c>
    </row>
    <row r="133" spans="1:120" x14ac:dyDescent="0.2">
      <c r="A133" s="62">
        <v>46</v>
      </c>
      <c r="B133" s="62"/>
      <c r="C133" s="95" t="s">
        <v>152</v>
      </c>
      <c r="D133" s="62">
        <f t="shared" si="52"/>
        <v>26.495274517849815</v>
      </c>
      <c r="E133" s="62">
        <f t="shared" si="51"/>
        <v>9.6537215420553686</v>
      </c>
      <c r="F133" s="62">
        <v>7.6</v>
      </c>
      <c r="G133" s="62"/>
      <c r="H133" s="62">
        <v>3929</v>
      </c>
      <c r="I133" s="62">
        <v>35</v>
      </c>
      <c r="J133">
        <f t="shared" si="36"/>
        <v>626.69600000000003</v>
      </c>
      <c r="K133">
        <v>150</v>
      </c>
      <c r="L133">
        <f t="shared" si="37"/>
        <v>989.52</v>
      </c>
      <c r="M133" s="62">
        <v>50</v>
      </c>
      <c r="N133" s="62">
        <v>30</v>
      </c>
      <c r="O133" s="62">
        <v>910</v>
      </c>
      <c r="P133">
        <f t="shared" si="38"/>
        <v>134.40432000000001</v>
      </c>
      <c r="Q133" s="62">
        <v>100</v>
      </c>
      <c r="R133" s="62"/>
      <c r="S133">
        <f t="shared" si="39"/>
        <v>6954.62032</v>
      </c>
      <c r="T133" s="62">
        <f t="shared" si="53"/>
        <v>7469.3040000000001</v>
      </c>
      <c r="U133" s="62">
        <v>8246</v>
      </c>
      <c r="V133" s="46">
        <f t="shared" si="40"/>
        <v>1291.37968</v>
      </c>
      <c r="W133" s="62"/>
      <c r="X133" s="62"/>
      <c r="Y133" s="62"/>
      <c r="Z133">
        <f t="shared" si="54"/>
        <v>12355.84864</v>
      </c>
      <c r="AA133" s="132">
        <v>1240</v>
      </c>
      <c r="AB133" s="136">
        <f>SUM(AC133:AC135)</f>
        <v>1342.75936</v>
      </c>
      <c r="AC133" s="8">
        <f t="shared" si="41"/>
        <v>1342.75936</v>
      </c>
      <c r="AD133" s="80">
        <v>2</v>
      </c>
      <c r="AE133" s="15">
        <f t="shared" si="29"/>
        <v>2582.75936</v>
      </c>
      <c r="AF133" s="43">
        <f t="shared" si="30"/>
        <v>13698.608</v>
      </c>
      <c r="AO133" s="65">
        <v>0</v>
      </c>
      <c r="AP133" s="66">
        <v>0</v>
      </c>
      <c r="AQ133" s="66">
        <f>AO133-AP133</f>
        <v>0</v>
      </c>
      <c r="AR133" s="67">
        <f>AQ133-AS133</f>
        <v>0</v>
      </c>
      <c r="AS133" s="66">
        <v>0</v>
      </c>
      <c r="AT133" s="69">
        <v>6</v>
      </c>
      <c r="AU133" s="27">
        <f t="shared" si="42"/>
        <v>0.15400000000000003</v>
      </c>
      <c r="AV133" s="27">
        <f t="shared" si="43"/>
        <v>0.92400000000000015</v>
      </c>
      <c r="AW133" s="35">
        <f t="shared" si="44"/>
        <v>0</v>
      </c>
      <c r="AX133">
        <v>127.764</v>
      </c>
      <c r="AZ133">
        <v>0</v>
      </c>
      <c r="DP133" t="s">
        <v>146</v>
      </c>
    </row>
    <row r="134" spans="1:120" ht="12" customHeight="1" x14ac:dyDescent="0.2">
      <c r="A134">
        <v>45</v>
      </c>
      <c r="C134" s="54" t="s">
        <v>7</v>
      </c>
      <c r="D134">
        <f t="shared" si="52"/>
        <v>35.817247478665628</v>
      </c>
      <c r="E134" t="e">
        <f t="shared" si="51"/>
        <v>#DIV/0!</v>
      </c>
      <c r="F134">
        <v>7.6</v>
      </c>
      <c r="H134">
        <v>5500</v>
      </c>
      <c r="I134">
        <v>35</v>
      </c>
      <c r="J134">
        <f t="shared" si="36"/>
        <v>875.52</v>
      </c>
      <c r="K134">
        <v>150</v>
      </c>
      <c r="L134">
        <f t="shared" si="37"/>
        <v>1382.3999999999999</v>
      </c>
      <c r="M134">
        <v>50</v>
      </c>
      <c r="N134">
        <v>30</v>
      </c>
      <c r="O134">
        <v>910</v>
      </c>
      <c r="P134">
        <f t="shared" si="38"/>
        <v>178.6584</v>
      </c>
      <c r="Q134">
        <v>100</v>
      </c>
      <c r="S134">
        <f t="shared" si="39"/>
        <v>9211.5784000000003</v>
      </c>
      <c r="T134">
        <f t="shared" si="53"/>
        <v>10494.48</v>
      </c>
      <c r="U134">
        <v>11520</v>
      </c>
      <c r="V134" s="46">
        <f t="shared" si="40"/>
        <v>2308.4215999999997</v>
      </c>
      <c r="X134"/>
      <c r="Z134">
        <f t="shared" si="54"/>
        <v>0</v>
      </c>
      <c r="AA134" s="133"/>
      <c r="AB134" s="84"/>
      <c r="AC134" s="8">
        <f t="shared" si="41"/>
        <v>0</v>
      </c>
      <c r="AD134" s="142">
        <v>0</v>
      </c>
      <c r="AE134" s="15">
        <f t="shared" si="29"/>
        <v>0</v>
      </c>
      <c r="AF134" s="43">
        <f t="shared" si="30"/>
        <v>0</v>
      </c>
      <c r="AT134" s="1">
        <v>6</v>
      </c>
      <c r="AU134" s="27">
        <f t="shared" si="42"/>
        <v>0.15400000000000003</v>
      </c>
      <c r="AV134" s="27">
        <f t="shared" si="43"/>
        <v>0.92400000000000015</v>
      </c>
      <c r="AW134" s="35">
        <f t="shared" si="44"/>
        <v>0</v>
      </c>
      <c r="AX134">
        <v>0</v>
      </c>
      <c r="AZ134">
        <v>0</v>
      </c>
      <c r="DP134" t="s">
        <v>146</v>
      </c>
    </row>
    <row r="135" spans="1:120" ht="16" thickBot="1" x14ac:dyDescent="0.25">
      <c r="C135" s="55" t="s">
        <v>29</v>
      </c>
      <c r="D135">
        <f t="shared" si="52"/>
        <v>42.193532467532471</v>
      </c>
      <c r="E135" t="e">
        <f t="shared" si="51"/>
        <v>#DIV/0!</v>
      </c>
      <c r="F135">
        <v>7.6</v>
      </c>
      <c r="H135">
        <v>5200</v>
      </c>
      <c r="I135">
        <v>50</v>
      </c>
      <c r="J135">
        <f t="shared" si="36"/>
        <v>875.52</v>
      </c>
      <c r="K135">
        <v>150</v>
      </c>
      <c r="L135">
        <f t="shared" si="37"/>
        <v>1382.3999999999999</v>
      </c>
      <c r="M135">
        <v>50</v>
      </c>
      <c r="N135">
        <v>30</v>
      </c>
      <c r="O135">
        <v>910</v>
      </c>
      <c r="P135">
        <f t="shared" si="38"/>
        <v>172.95840000000001</v>
      </c>
      <c r="Q135">
        <v>100</v>
      </c>
      <c r="S135">
        <f t="shared" si="39"/>
        <v>8920.8783999999996</v>
      </c>
      <c r="T135">
        <f t="shared" si="53"/>
        <v>10494.48</v>
      </c>
      <c r="U135">
        <v>11520</v>
      </c>
      <c r="V135" s="46">
        <f t="shared" si="40"/>
        <v>2599.1216000000004</v>
      </c>
      <c r="X135"/>
      <c r="Z135">
        <f t="shared" si="54"/>
        <v>0</v>
      </c>
      <c r="AA135" s="134"/>
      <c r="AB135" s="85"/>
      <c r="AC135" s="8">
        <f t="shared" si="41"/>
        <v>0</v>
      </c>
      <c r="AD135" s="142">
        <v>0</v>
      </c>
      <c r="AE135" s="15">
        <f t="shared" si="29"/>
        <v>0</v>
      </c>
      <c r="AF135" s="43">
        <f t="shared" si="30"/>
        <v>0</v>
      </c>
      <c r="AT135" s="1"/>
      <c r="AU135" s="27">
        <f t="shared" si="42"/>
        <v>0.15400000000000003</v>
      </c>
      <c r="AV135" s="27">
        <f t="shared" si="43"/>
        <v>0</v>
      </c>
      <c r="AW135" s="35">
        <f t="shared" si="44"/>
        <v>0</v>
      </c>
      <c r="DP135" t="s">
        <v>146</v>
      </c>
    </row>
    <row r="136" spans="1:120" ht="15" customHeight="1" x14ac:dyDescent="0.2">
      <c r="A136">
        <v>40</v>
      </c>
      <c r="C136" t="s">
        <v>153</v>
      </c>
      <c r="D136">
        <f t="shared" si="52"/>
        <v>2.1849274311606854</v>
      </c>
      <c r="E136" t="e">
        <f t="shared" si="51"/>
        <v>#DIV/0!</v>
      </c>
      <c r="F136">
        <v>7.6</v>
      </c>
      <c r="H136">
        <v>13400</v>
      </c>
      <c r="I136">
        <v>35</v>
      </c>
      <c r="J136">
        <f t="shared" si="36"/>
        <v>1451.4479999999999</v>
      </c>
      <c r="K136">
        <v>150</v>
      </c>
      <c r="L136">
        <f t="shared" si="37"/>
        <v>2291.7599999999998</v>
      </c>
      <c r="M136">
        <v>50</v>
      </c>
      <c r="N136">
        <v>30</v>
      </c>
      <c r="O136">
        <v>910</v>
      </c>
      <c r="P136">
        <f t="shared" si="38"/>
        <v>366.36415999999997</v>
      </c>
      <c r="Q136">
        <v>100</v>
      </c>
      <c r="S136">
        <f t="shared" si="39"/>
        <v>18784.57216</v>
      </c>
      <c r="T136">
        <f t="shared" si="53"/>
        <v>17496.552</v>
      </c>
      <c r="U136">
        <v>19098</v>
      </c>
      <c r="V136" s="46">
        <f t="shared" si="40"/>
        <v>313.42784000000029</v>
      </c>
      <c r="X136"/>
      <c r="Z136">
        <f t="shared" si="54"/>
        <v>0</v>
      </c>
      <c r="AA136" s="130">
        <v>499</v>
      </c>
      <c r="AB136" s="11">
        <f>SUM(AC136:AC137)</f>
        <v>-570</v>
      </c>
      <c r="AC136" s="8">
        <f t="shared" si="41"/>
        <v>-499</v>
      </c>
      <c r="AD136" s="82">
        <v>0</v>
      </c>
      <c r="AE136" s="15">
        <f t="shared" si="29"/>
        <v>0</v>
      </c>
      <c r="AF136" s="43">
        <f t="shared" si="30"/>
        <v>-499</v>
      </c>
      <c r="AT136" s="1">
        <v>6</v>
      </c>
      <c r="AU136" s="27">
        <f t="shared" si="42"/>
        <v>0.15400000000000003</v>
      </c>
      <c r="AV136" s="27">
        <f t="shared" si="43"/>
        <v>0.92400000000000015</v>
      </c>
      <c r="AW136" s="35">
        <f t="shared" si="44"/>
        <v>0</v>
      </c>
      <c r="AX136">
        <v>0</v>
      </c>
      <c r="AZ136">
        <v>0</v>
      </c>
      <c r="CP136" t="s">
        <v>78</v>
      </c>
      <c r="DP136" t="s">
        <v>146</v>
      </c>
    </row>
    <row r="137" spans="1:120" ht="17" thickBot="1" x14ac:dyDescent="0.25">
      <c r="C137" s="23" t="s">
        <v>199</v>
      </c>
      <c r="D137">
        <f t="shared" si="52"/>
        <v>44.887692307692319</v>
      </c>
      <c r="E137" t="e">
        <f t="shared" si="51"/>
        <v>#DIV/0!</v>
      </c>
      <c r="F137">
        <v>15.5</v>
      </c>
      <c r="H137">
        <v>2800</v>
      </c>
      <c r="I137">
        <v>30</v>
      </c>
      <c r="J137">
        <f t="shared" si="36"/>
        <v>1100.5</v>
      </c>
      <c r="K137">
        <v>150</v>
      </c>
      <c r="L137">
        <f t="shared" si="37"/>
        <v>852</v>
      </c>
      <c r="M137">
        <v>50</v>
      </c>
      <c r="N137">
        <v>30</v>
      </c>
      <c r="O137">
        <v>420</v>
      </c>
      <c r="P137">
        <f t="shared" si="38"/>
        <v>108.65</v>
      </c>
      <c r="Q137">
        <v>100</v>
      </c>
      <c r="S137">
        <f t="shared" si="39"/>
        <v>5641.15</v>
      </c>
      <c r="T137">
        <f t="shared" si="53"/>
        <v>5849.5</v>
      </c>
      <c r="U137" s="14">
        <v>7100</v>
      </c>
      <c r="V137" s="46">
        <f t="shared" si="40"/>
        <v>1458.8500000000004</v>
      </c>
      <c r="Z137">
        <f t="shared" si="54"/>
        <v>0</v>
      </c>
      <c r="AA137" s="130">
        <v>71</v>
      </c>
      <c r="AC137" s="8">
        <f t="shared" si="41"/>
        <v>-71</v>
      </c>
      <c r="AD137" s="135">
        <v>0</v>
      </c>
      <c r="AE137" s="15">
        <f t="shared" ref="AE137:AE200" si="57">V137*AD137</f>
        <v>0</v>
      </c>
      <c r="AF137" s="43">
        <f t="shared" ref="AF137:AF200" si="58">(U137-J137-K137)*AD137-AA137</f>
        <v>-71</v>
      </c>
      <c r="AT137" s="1"/>
      <c r="AU137" s="27">
        <f t="shared" si="42"/>
        <v>0.15400000000000003</v>
      </c>
      <c r="AV137" s="27">
        <f t="shared" si="43"/>
        <v>0</v>
      </c>
      <c r="AW137" s="35">
        <f t="shared" si="44"/>
        <v>0</v>
      </c>
    </row>
    <row r="138" spans="1:120" ht="16" thickBot="1" x14ac:dyDescent="0.25">
      <c r="C138" t="s">
        <v>211</v>
      </c>
      <c r="E138">
        <f t="shared" si="51"/>
        <v>10.047854821037557</v>
      </c>
      <c r="F138">
        <v>15.5</v>
      </c>
      <c r="H138">
        <v>2800</v>
      </c>
      <c r="I138">
        <v>100</v>
      </c>
      <c r="J138">
        <f t="shared" si="36"/>
        <v>1063.3</v>
      </c>
      <c r="K138">
        <v>150</v>
      </c>
      <c r="L138">
        <f t="shared" si="37"/>
        <v>823.19999999999993</v>
      </c>
      <c r="M138">
        <v>50</v>
      </c>
      <c r="N138">
        <v>30</v>
      </c>
      <c r="O138">
        <v>800</v>
      </c>
      <c r="P138">
        <f t="shared" si="38"/>
        <v>116.33</v>
      </c>
      <c r="Q138">
        <v>100</v>
      </c>
      <c r="S138">
        <f t="shared" si="39"/>
        <v>6032.83</v>
      </c>
      <c r="T138">
        <f t="shared" si="53"/>
        <v>5646.7</v>
      </c>
      <c r="U138" s="14">
        <v>6860</v>
      </c>
      <c r="V138" s="46">
        <f t="shared" si="40"/>
        <v>827.17000000000007</v>
      </c>
      <c r="Z138">
        <f t="shared" si="54"/>
        <v>4819.53</v>
      </c>
      <c r="AA138" s="130">
        <v>221</v>
      </c>
      <c r="AB138" s="83">
        <f>SUM(AC138:AC144)</f>
        <v>3617.9547999999995</v>
      </c>
      <c r="AC138" s="8">
        <f t="shared" si="41"/>
        <v>606.17000000000007</v>
      </c>
      <c r="AD138" s="81">
        <v>1</v>
      </c>
      <c r="AE138" s="15">
        <f t="shared" si="57"/>
        <v>827.17000000000007</v>
      </c>
      <c r="AF138" s="43">
        <f t="shared" si="58"/>
        <v>5425.7</v>
      </c>
      <c r="AT138" s="1"/>
      <c r="AU138" s="27">
        <f t="shared" si="42"/>
        <v>0.15400000000000003</v>
      </c>
      <c r="AV138" s="27">
        <f t="shared" si="43"/>
        <v>0</v>
      </c>
      <c r="AW138" s="35">
        <f t="shared" si="44"/>
        <v>0</v>
      </c>
    </row>
    <row r="139" spans="1:120" x14ac:dyDescent="0.2">
      <c r="C139" t="s">
        <v>215</v>
      </c>
      <c r="E139">
        <f t="shared" si="51"/>
        <v>18.50480895562389</v>
      </c>
      <c r="F139">
        <v>7.6</v>
      </c>
      <c r="H139">
        <v>11357</v>
      </c>
      <c r="I139">
        <v>100</v>
      </c>
      <c r="J139">
        <f t="shared" ref="J139:J202" si="59">U139*(F139+G139)/100</f>
        <v>1638.56</v>
      </c>
      <c r="K139">
        <v>150</v>
      </c>
      <c r="L139">
        <f t="shared" ref="L139:L202" si="60">U139*0.12</f>
        <v>2587.1999999999998</v>
      </c>
      <c r="M139">
        <v>50</v>
      </c>
      <c r="N139">
        <v>30</v>
      </c>
      <c r="O139">
        <v>910</v>
      </c>
      <c r="P139">
        <f t="shared" ref="P139:P202" si="61">(H139+I139+J139+K139+L139+M139+N139+O139)*0.02</f>
        <v>336.45519999999999</v>
      </c>
      <c r="Q139">
        <v>100</v>
      </c>
      <c r="S139">
        <f t="shared" ref="S139:S202" si="62">H139+I139+J139+K139+L139+M139+N139+O139+P139+Q139+R139</f>
        <v>17259.215199999999</v>
      </c>
      <c r="T139">
        <f t="shared" si="53"/>
        <v>19771.439999999999</v>
      </c>
      <c r="U139" s="14">
        <v>21560</v>
      </c>
      <c r="V139" s="46">
        <f t="shared" si="40"/>
        <v>4300.7848000000013</v>
      </c>
      <c r="Z139">
        <f t="shared" si="54"/>
        <v>15470.655199999999</v>
      </c>
      <c r="AA139" s="130">
        <v>1107</v>
      </c>
      <c r="AB139" s="117"/>
      <c r="AC139" s="8">
        <f t="shared" ref="AC139:AC202" si="63">AF139-Z139-(J139+K139+L139)*Y139</f>
        <v>3193.7847999999994</v>
      </c>
      <c r="AD139" s="81">
        <v>1</v>
      </c>
      <c r="AE139" s="15">
        <f t="shared" si="57"/>
        <v>4300.7848000000013</v>
      </c>
      <c r="AF139" s="43">
        <f t="shared" si="58"/>
        <v>18664.439999999999</v>
      </c>
      <c r="AT139" s="1"/>
      <c r="AU139" s="27">
        <f t="shared" si="42"/>
        <v>0.15400000000000003</v>
      </c>
      <c r="AV139" s="27">
        <f t="shared" si="43"/>
        <v>0</v>
      </c>
      <c r="AW139" s="35">
        <f t="shared" si="44"/>
        <v>0</v>
      </c>
    </row>
    <row r="140" spans="1:120" x14ac:dyDescent="0.2">
      <c r="C140" t="s">
        <v>266</v>
      </c>
      <c r="E140" t="e">
        <f t="shared" si="51"/>
        <v>#DIV/0!</v>
      </c>
      <c r="F140">
        <v>7.6</v>
      </c>
      <c r="H140">
        <v>9000</v>
      </c>
      <c r="I140">
        <v>100</v>
      </c>
      <c r="J140">
        <f t="shared" si="59"/>
        <v>1064</v>
      </c>
      <c r="K140">
        <v>150</v>
      </c>
      <c r="L140">
        <f t="shared" si="60"/>
        <v>1680</v>
      </c>
      <c r="M140">
        <v>50</v>
      </c>
      <c r="N140">
        <v>30</v>
      </c>
      <c r="O140">
        <v>910</v>
      </c>
      <c r="P140">
        <f t="shared" si="61"/>
        <v>259.68</v>
      </c>
      <c r="Q140">
        <v>100</v>
      </c>
      <c r="S140">
        <f t="shared" si="62"/>
        <v>13343.68</v>
      </c>
      <c r="T140">
        <f t="shared" si="53"/>
        <v>12786</v>
      </c>
      <c r="U140" s="14">
        <v>14000</v>
      </c>
      <c r="V140" s="46">
        <f t="shared" ref="V140:V203" si="64">U140-S140</f>
        <v>656.31999999999971</v>
      </c>
      <c r="Y140">
        <v>0</v>
      </c>
      <c r="Z140">
        <f t="shared" si="54"/>
        <v>0</v>
      </c>
      <c r="AA140" s="130"/>
      <c r="AB140" s="117"/>
      <c r="AC140" s="8">
        <f t="shared" si="63"/>
        <v>0</v>
      </c>
      <c r="AD140" s="135">
        <v>0</v>
      </c>
      <c r="AE140" s="15">
        <f t="shared" si="57"/>
        <v>0</v>
      </c>
      <c r="AF140" s="43">
        <f t="shared" si="58"/>
        <v>0</v>
      </c>
      <c r="AT140" s="1"/>
      <c r="AU140" s="27">
        <f t="shared" si="42"/>
        <v>0.15400000000000003</v>
      </c>
      <c r="AV140" s="27">
        <f t="shared" si="43"/>
        <v>0</v>
      </c>
      <c r="AW140" s="35">
        <f t="shared" si="44"/>
        <v>0</v>
      </c>
    </row>
    <row r="141" spans="1:120" ht="47.5" customHeight="1" x14ac:dyDescent="0.2">
      <c r="J141">
        <f t="shared" si="59"/>
        <v>0</v>
      </c>
      <c r="K141">
        <v>150</v>
      </c>
      <c r="L141">
        <f t="shared" si="60"/>
        <v>0</v>
      </c>
      <c r="P141">
        <f t="shared" si="61"/>
        <v>3</v>
      </c>
      <c r="S141">
        <f t="shared" si="62"/>
        <v>153</v>
      </c>
      <c r="V141" s="46">
        <f t="shared" si="64"/>
        <v>-153</v>
      </c>
      <c r="Z141">
        <f t="shared" si="54"/>
        <v>0</v>
      </c>
      <c r="AA141" s="130"/>
      <c r="AB141" s="117"/>
      <c r="AC141" s="8">
        <f t="shared" si="63"/>
        <v>0</v>
      </c>
      <c r="AD141" s="135"/>
      <c r="AE141" s="15">
        <f t="shared" si="57"/>
        <v>0</v>
      </c>
      <c r="AF141" s="43">
        <f t="shared" si="58"/>
        <v>0</v>
      </c>
      <c r="AT141" s="1"/>
      <c r="AU141" s="27">
        <f t="shared" si="42"/>
        <v>0.15400000000000003</v>
      </c>
      <c r="AV141" s="27">
        <f t="shared" si="43"/>
        <v>0</v>
      </c>
      <c r="AW141" s="35">
        <f t="shared" si="44"/>
        <v>0</v>
      </c>
    </row>
    <row r="142" spans="1:120" x14ac:dyDescent="0.2">
      <c r="C142" s="46" t="s">
        <v>114</v>
      </c>
      <c r="F142">
        <v>7.6</v>
      </c>
      <c r="H142">
        <v>6851</v>
      </c>
      <c r="I142">
        <v>100</v>
      </c>
      <c r="J142">
        <f t="shared" si="59"/>
        <v>1017.7919999999999</v>
      </c>
      <c r="K142">
        <v>150</v>
      </c>
      <c r="L142">
        <f t="shared" si="60"/>
        <v>1607.04</v>
      </c>
      <c r="M142">
        <v>50</v>
      </c>
      <c r="N142">
        <v>30</v>
      </c>
      <c r="O142">
        <v>910</v>
      </c>
      <c r="P142">
        <f t="shared" si="61"/>
        <v>214.31663999999998</v>
      </c>
      <c r="Q142">
        <v>100</v>
      </c>
      <c r="S142">
        <f t="shared" si="62"/>
        <v>11030.148639999998</v>
      </c>
      <c r="T142">
        <f t="shared" si="53"/>
        <v>12224.208000000001</v>
      </c>
      <c r="U142" s="14">
        <v>13392</v>
      </c>
      <c r="V142" s="46">
        <f t="shared" si="64"/>
        <v>2361.8513600000024</v>
      </c>
      <c r="Z142">
        <f t="shared" si="54"/>
        <v>0</v>
      </c>
      <c r="AA142" s="130">
        <v>182</v>
      </c>
      <c r="AB142" s="84"/>
      <c r="AC142" s="8">
        <f t="shared" si="63"/>
        <v>-182</v>
      </c>
      <c r="AD142" s="80">
        <v>0</v>
      </c>
      <c r="AE142" s="15">
        <f t="shared" si="57"/>
        <v>0</v>
      </c>
      <c r="AF142" s="43">
        <f t="shared" si="58"/>
        <v>-182</v>
      </c>
      <c r="AT142" s="1"/>
      <c r="AU142" s="27">
        <f t="shared" si="42"/>
        <v>0.15400000000000003</v>
      </c>
      <c r="AV142" s="27">
        <f t="shared" si="43"/>
        <v>0</v>
      </c>
      <c r="AW142" s="35">
        <f t="shared" si="44"/>
        <v>0</v>
      </c>
    </row>
    <row r="143" spans="1:120" x14ac:dyDescent="0.2">
      <c r="C143" s="46" t="s">
        <v>154</v>
      </c>
      <c r="D143">
        <f t="shared" ref="D143:D172" si="65">V143/((H143+I143+O143)/100)</f>
        <v>28.723114270092935</v>
      </c>
      <c r="E143" t="e">
        <f>AC143/AD143/(S143/100)</f>
        <v>#DIV/0!</v>
      </c>
      <c r="F143">
        <v>7.6</v>
      </c>
      <c r="H143">
        <v>8200</v>
      </c>
      <c r="I143">
        <v>35</v>
      </c>
      <c r="J143">
        <f t="shared" si="59"/>
        <v>1167.3599999999999</v>
      </c>
      <c r="K143">
        <v>150</v>
      </c>
      <c r="L143">
        <f t="shared" si="60"/>
        <v>1843.1999999999998</v>
      </c>
      <c r="M143">
        <v>50</v>
      </c>
      <c r="N143">
        <v>30</v>
      </c>
      <c r="O143">
        <v>910</v>
      </c>
      <c r="P143">
        <f t="shared" si="61"/>
        <v>247.71120000000002</v>
      </c>
      <c r="Q143">
        <v>100</v>
      </c>
      <c r="S143">
        <f t="shared" si="62"/>
        <v>12733.271200000001</v>
      </c>
      <c r="T143">
        <f t="shared" si="53"/>
        <v>14042.64</v>
      </c>
      <c r="U143">
        <v>15360</v>
      </c>
      <c r="V143" s="46">
        <f t="shared" si="64"/>
        <v>2626.728799999999</v>
      </c>
      <c r="X143"/>
      <c r="Z143">
        <f t="shared" si="54"/>
        <v>0</v>
      </c>
      <c r="AA143" s="130">
        <v>0</v>
      </c>
      <c r="AB143" s="84"/>
      <c r="AC143" s="8">
        <f t="shared" si="63"/>
        <v>0</v>
      </c>
      <c r="AD143" s="142">
        <v>0</v>
      </c>
      <c r="AE143" s="15">
        <f t="shared" si="57"/>
        <v>0</v>
      </c>
      <c r="AF143" s="43">
        <f t="shared" si="58"/>
        <v>0</v>
      </c>
      <c r="AO143">
        <v>3</v>
      </c>
      <c r="AP143">
        <v>3</v>
      </c>
      <c r="AQ143">
        <v>0</v>
      </c>
      <c r="AR143">
        <v>0</v>
      </c>
      <c r="AS143">
        <v>0</v>
      </c>
      <c r="AT143" s="1">
        <v>6</v>
      </c>
      <c r="AU143" s="27">
        <f t="shared" si="42"/>
        <v>0.15400000000000003</v>
      </c>
      <c r="AV143" s="27">
        <f t="shared" si="43"/>
        <v>0.92400000000000015</v>
      </c>
      <c r="AW143" s="35">
        <f t="shared" si="44"/>
        <v>0</v>
      </c>
      <c r="AZ143">
        <v>0</v>
      </c>
      <c r="DP143" t="s">
        <v>155</v>
      </c>
    </row>
    <row r="144" spans="1:120" ht="16" thickBot="1" x14ac:dyDescent="0.25">
      <c r="A144">
        <v>48</v>
      </c>
      <c r="C144" s="46" t="s">
        <v>156</v>
      </c>
      <c r="D144">
        <f t="shared" si="65"/>
        <v>22.033221990257488</v>
      </c>
      <c r="E144" t="e">
        <f>AC144/AD144/(S144/100)</f>
        <v>#DIV/0!</v>
      </c>
      <c r="F144">
        <v>7.6</v>
      </c>
      <c r="H144">
        <v>10551</v>
      </c>
      <c r="I144">
        <v>35</v>
      </c>
      <c r="J144">
        <f t="shared" si="59"/>
        <v>1386.24</v>
      </c>
      <c r="K144">
        <v>150</v>
      </c>
      <c r="L144">
        <f t="shared" si="60"/>
        <v>2188.7999999999997</v>
      </c>
      <c r="M144">
        <v>50</v>
      </c>
      <c r="N144">
        <v>30</v>
      </c>
      <c r="O144">
        <v>910</v>
      </c>
      <c r="P144">
        <f t="shared" si="61"/>
        <v>306.02080000000001</v>
      </c>
      <c r="Q144">
        <v>100</v>
      </c>
      <c r="S144">
        <f t="shared" si="62"/>
        <v>15707.060799999999</v>
      </c>
      <c r="T144">
        <f t="shared" si="53"/>
        <v>16703.759999999998</v>
      </c>
      <c r="U144">
        <v>18240</v>
      </c>
      <c r="V144" s="46">
        <f t="shared" si="64"/>
        <v>2532.9392000000007</v>
      </c>
      <c r="X144"/>
      <c r="Z144">
        <f t="shared" si="54"/>
        <v>0</v>
      </c>
      <c r="AA144" s="130"/>
      <c r="AB144" s="85"/>
      <c r="AC144" s="8">
        <f t="shared" si="63"/>
        <v>0</v>
      </c>
      <c r="AD144" s="142">
        <v>0</v>
      </c>
      <c r="AE144" s="15">
        <f t="shared" si="57"/>
        <v>0</v>
      </c>
      <c r="AF144" s="43">
        <f t="shared" si="58"/>
        <v>0</v>
      </c>
      <c r="AT144" s="1">
        <v>6</v>
      </c>
      <c r="AU144" s="27">
        <f t="shared" si="42"/>
        <v>0.15400000000000003</v>
      </c>
      <c r="AV144" s="27">
        <f t="shared" si="43"/>
        <v>0.92400000000000015</v>
      </c>
      <c r="AW144" s="35">
        <f t="shared" si="44"/>
        <v>0</v>
      </c>
      <c r="AZ144">
        <v>0</v>
      </c>
      <c r="DP144" t="s">
        <v>155</v>
      </c>
    </row>
    <row r="145" spans="1:120" x14ac:dyDescent="0.2">
      <c r="J145">
        <f t="shared" si="59"/>
        <v>0</v>
      </c>
      <c r="K145">
        <v>150</v>
      </c>
      <c r="L145">
        <f t="shared" si="60"/>
        <v>0</v>
      </c>
      <c r="P145">
        <f t="shared" si="61"/>
        <v>3</v>
      </c>
      <c r="S145">
        <f t="shared" si="62"/>
        <v>153</v>
      </c>
      <c r="U145"/>
      <c r="V145" s="46">
        <f t="shared" si="64"/>
        <v>-153</v>
      </c>
      <c r="X145"/>
      <c r="Z145">
        <f t="shared" si="54"/>
        <v>0</v>
      </c>
      <c r="AA145" s="130"/>
      <c r="AC145" s="8">
        <f t="shared" si="63"/>
        <v>0</v>
      </c>
      <c r="AD145" s="135"/>
      <c r="AE145" s="15">
        <f t="shared" si="57"/>
        <v>0</v>
      </c>
      <c r="AF145" s="43">
        <f t="shared" si="58"/>
        <v>0</v>
      </c>
      <c r="AT145" s="1"/>
      <c r="AU145" s="27">
        <f t="shared" si="42"/>
        <v>0.15400000000000003</v>
      </c>
      <c r="AV145" s="27">
        <f t="shared" si="43"/>
        <v>0</v>
      </c>
      <c r="AW145" s="35">
        <f t="shared" si="44"/>
        <v>0</v>
      </c>
    </row>
    <row r="146" spans="1:120" ht="16" thickBot="1" x14ac:dyDescent="0.25">
      <c r="J146">
        <f t="shared" si="59"/>
        <v>0</v>
      </c>
      <c r="K146">
        <v>150</v>
      </c>
      <c r="L146">
        <f t="shared" si="60"/>
        <v>0</v>
      </c>
      <c r="P146">
        <f t="shared" si="61"/>
        <v>3</v>
      </c>
      <c r="S146">
        <f t="shared" si="62"/>
        <v>153</v>
      </c>
      <c r="U146"/>
      <c r="V146" s="46">
        <f t="shared" si="64"/>
        <v>-153</v>
      </c>
      <c r="X146"/>
      <c r="Z146">
        <f t="shared" si="54"/>
        <v>0</v>
      </c>
      <c r="AA146" s="130"/>
      <c r="AC146" s="8">
        <f t="shared" si="63"/>
        <v>0</v>
      </c>
      <c r="AD146" s="135"/>
      <c r="AE146" s="15">
        <f t="shared" si="57"/>
        <v>0</v>
      </c>
      <c r="AF146" s="43">
        <f t="shared" si="58"/>
        <v>0</v>
      </c>
      <c r="AT146" s="1"/>
      <c r="AU146" s="27">
        <f t="shared" si="42"/>
        <v>0.15400000000000003</v>
      </c>
      <c r="AV146" s="27">
        <f t="shared" si="43"/>
        <v>0</v>
      </c>
      <c r="AW146" s="35">
        <f t="shared" si="44"/>
        <v>0</v>
      </c>
    </row>
    <row r="147" spans="1:120" ht="16" thickBot="1" x14ac:dyDescent="0.25">
      <c r="J147">
        <f t="shared" si="59"/>
        <v>0</v>
      </c>
      <c r="K147">
        <v>150</v>
      </c>
      <c r="L147">
        <f t="shared" si="60"/>
        <v>0</v>
      </c>
      <c r="P147">
        <f t="shared" si="61"/>
        <v>3</v>
      </c>
      <c r="S147">
        <f t="shared" si="62"/>
        <v>153</v>
      </c>
      <c r="U147"/>
      <c r="V147" s="46">
        <f t="shared" si="64"/>
        <v>-153</v>
      </c>
      <c r="X147"/>
      <c r="Z147">
        <f t="shared" si="54"/>
        <v>0</v>
      </c>
      <c r="AA147" s="130"/>
      <c r="AB147" s="83">
        <f>SUM(AC147:AC150)</f>
        <v>1388.5518400000001</v>
      </c>
      <c r="AC147" s="8">
        <f t="shared" si="63"/>
        <v>0</v>
      </c>
      <c r="AD147" s="135"/>
      <c r="AE147" s="15">
        <f t="shared" si="57"/>
        <v>0</v>
      </c>
      <c r="AF147" s="43">
        <f t="shared" si="58"/>
        <v>0</v>
      </c>
      <c r="AT147" s="1"/>
      <c r="AU147" s="27">
        <f t="shared" si="42"/>
        <v>0.15400000000000003</v>
      </c>
      <c r="AV147" s="27">
        <f t="shared" si="43"/>
        <v>0</v>
      </c>
      <c r="AW147" s="35">
        <f t="shared" si="44"/>
        <v>0</v>
      </c>
    </row>
    <row r="148" spans="1:120" ht="15.5" customHeight="1" x14ac:dyDescent="0.2">
      <c r="A148" s="14">
        <v>9</v>
      </c>
      <c r="B148" s="14"/>
      <c r="C148" s="46" t="s">
        <v>157</v>
      </c>
      <c r="D148" s="14">
        <f t="shared" si="65"/>
        <v>7.1038877214510325</v>
      </c>
      <c r="E148" s="14">
        <f>AC148/AD148/(S148/100)</f>
        <v>4.019492911392585</v>
      </c>
      <c r="F148" s="14">
        <v>7.6</v>
      </c>
      <c r="G148" s="14"/>
      <c r="H148" s="14">
        <v>12094</v>
      </c>
      <c r="I148" s="14">
        <v>35</v>
      </c>
      <c r="J148">
        <f t="shared" si="59"/>
        <v>1383.124</v>
      </c>
      <c r="K148">
        <v>150</v>
      </c>
      <c r="L148">
        <f t="shared" si="60"/>
        <v>2183.88</v>
      </c>
      <c r="M148" s="14">
        <v>50</v>
      </c>
      <c r="N148" s="14">
        <v>30</v>
      </c>
      <c r="O148" s="14">
        <v>910</v>
      </c>
      <c r="P148">
        <f t="shared" si="61"/>
        <v>336.72008</v>
      </c>
      <c r="Q148" s="14">
        <v>100</v>
      </c>
      <c r="R148" s="14">
        <v>0</v>
      </c>
      <c r="S148">
        <f t="shared" si="62"/>
        <v>17272.72408</v>
      </c>
      <c r="T148" s="14">
        <f t="shared" si="53"/>
        <v>16665.876</v>
      </c>
      <c r="U148" s="14">
        <v>18199</v>
      </c>
      <c r="V148" s="46">
        <f t="shared" si="64"/>
        <v>926.27592000000004</v>
      </c>
      <c r="X148"/>
      <c r="Z148">
        <f t="shared" si="54"/>
        <v>31479.20016</v>
      </c>
      <c r="AA148" s="130">
        <v>464</v>
      </c>
      <c r="AB148" s="84"/>
      <c r="AC148" s="8">
        <f t="shared" si="63"/>
        <v>1388.5518400000001</v>
      </c>
      <c r="AD148" s="81">
        <v>2</v>
      </c>
      <c r="AE148" s="15">
        <f t="shared" si="57"/>
        <v>1852.5518400000001</v>
      </c>
      <c r="AF148" s="43">
        <f t="shared" si="58"/>
        <v>32867.752</v>
      </c>
      <c r="AO148" s="14"/>
      <c r="AP148" s="14"/>
      <c r="AQ148" s="14"/>
      <c r="AR148" s="15"/>
      <c r="AS148" s="14"/>
      <c r="AT148" s="1">
        <v>6</v>
      </c>
      <c r="AU148" s="27">
        <f t="shared" si="42"/>
        <v>0.15400000000000003</v>
      </c>
      <c r="AV148" s="27">
        <f t="shared" si="43"/>
        <v>0.92400000000000015</v>
      </c>
      <c r="AW148" s="35">
        <f t="shared" si="44"/>
        <v>0</v>
      </c>
      <c r="AX148">
        <v>0</v>
      </c>
      <c r="AZ148">
        <v>0</v>
      </c>
      <c r="CP148" t="s">
        <v>76</v>
      </c>
      <c r="CX148" t="s">
        <v>77</v>
      </c>
      <c r="DP148" t="s">
        <v>155</v>
      </c>
    </row>
    <row r="149" spans="1:120" ht="15.5" customHeight="1" x14ac:dyDescent="0.2">
      <c r="A149" s="19">
        <v>5</v>
      </c>
      <c r="B149" s="19"/>
      <c r="C149" s="46" t="s">
        <v>117</v>
      </c>
      <c r="D149" s="19">
        <f t="shared" si="65"/>
        <v>44.846439393939413</v>
      </c>
      <c r="E149" s="19" t="e">
        <f>AC149/AD149/(S149/100)</f>
        <v>#DIV/0!</v>
      </c>
      <c r="F149" s="19">
        <v>7.6</v>
      </c>
      <c r="G149" s="19"/>
      <c r="H149" s="19">
        <v>9615</v>
      </c>
      <c r="I149" s="19">
        <v>35</v>
      </c>
      <c r="J149">
        <f t="shared" si="59"/>
        <v>1504.8</v>
      </c>
      <c r="K149">
        <v>150</v>
      </c>
      <c r="L149">
        <f t="shared" si="60"/>
        <v>2376</v>
      </c>
      <c r="M149" s="19">
        <v>50</v>
      </c>
      <c r="N149" s="19">
        <v>30</v>
      </c>
      <c r="O149" s="19">
        <v>910</v>
      </c>
      <c r="P149">
        <f t="shared" si="61"/>
        <v>293.416</v>
      </c>
      <c r="Q149" s="19">
        <v>100</v>
      </c>
      <c r="R149" s="19"/>
      <c r="S149">
        <f t="shared" si="62"/>
        <v>15064.215999999999</v>
      </c>
      <c r="T149" s="19">
        <f t="shared" si="53"/>
        <v>18145.2</v>
      </c>
      <c r="U149" s="19">
        <v>19800</v>
      </c>
      <c r="V149" s="46">
        <f t="shared" si="64"/>
        <v>4735.7840000000015</v>
      </c>
      <c r="X149"/>
      <c r="Z149">
        <f t="shared" si="54"/>
        <v>0</v>
      </c>
      <c r="AA149" s="130">
        <v>0</v>
      </c>
      <c r="AB149" s="84"/>
      <c r="AC149" s="8">
        <f t="shared" si="63"/>
        <v>0</v>
      </c>
      <c r="AD149" s="135">
        <v>0</v>
      </c>
      <c r="AE149" s="15">
        <f t="shared" si="57"/>
        <v>0</v>
      </c>
      <c r="AF149" s="43">
        <f t="shared" si="58"/>
        <v>0</v>
      </c>
      <c r="AO149" s="27">
        <v>0</v>
      </c>
      <c r="AP149" s="27">
        <v>0</v>
      </c>
      <c r="AQ149" s="27">
        <f t="shared" ref="AQ149" si="66">AO149-AP149</f>
        <v>0</v>
      </c>
      <c r="AR149" s="35">
        <f t="shared" ref="AR149" si="67">AQ149-AS149</f>
        <v>0</v>
      </c>
      <c r="AS149" s="27">
        <v>0</v>
      </c>
      <c r="AT149" s="1">
        <v>6</v>
      </c>
      <c r="AU149" s="27">
        <f t="shared" si="42"/>
        <v>0.15400000000000003</v>
      </c>
      <c r="AV149" s="27">
        <f t="shared" si="43"/>
        <v>0.92400000000000015</v>
      </c>
      <c r="AW149" s="35">
        <f t="shared" si="44"/>
        <v>0</v>
      </c>
    </row>
    <row r="150" spans="1:120" ht="15.5" customHeight="1" thickBot="1" x14ac:dyDescent="0.25">
      <c r="C150" s="46" t="s">
        <v>116</v>
      </c>
      <c r="D150" s="19">
        <f t="shared" si="65"/>
        <v>21.449158062315202</v>
      </c>
      <c r="E150" s="19" t="e">
        <f>AC150/AD150/(S150/100)</f>
        <v>#DIV/0!</v>
      </c>
      <c r="F150">
        <v>7.6</v>
      </c>
      <c r="H150" s="22">
        <v>7834</v>
      </c>
      <c r="I150">
        <v>50</v>
      </c>
      <c r="J150">
        <f t="shared" si="59"/>
        <v>1063.0119999999999</v>
      </c>
      <c r="K150">
        <v>150</v>
      </c>
      <c r="L150">
        <f t="shared" si="60"/>
        <v>1678.4399999999998</v>
      </c>
      <c r="M150">
        <v>50</v>
      </c>
      <c r="N150">
        <v>30</v>
      </c>
      <c r="O150">
        <v>910</v>
      </c>
      <c r="P150">
        <f t="shared" si="61"/>
        <v>235.30904000000004</v>
      </c>
      <c r="Q150">
        <v>100</v>
      </c>
      <c r="S150">
        <f t="shared" si="62"/>
        <v>12100.761040000001</v>
      </c>
      <c r="T150">
        <f t="shared" si="53"/>
        <v>12773.987999999999</v>
      </c>
      <c r="U150">
        <v>13987</v>
      </c>
      <c r="V150" s="46">
        <f t="shared" si="64"/>
        <v>1886.2389599999988</v>
      </c>
      <c r="X150"/>
      <c r="Z150">
        <f t="shared" si="54"/>
        <v>0</v>
      </c>
      <c r="AA150" s="130"/>
      <c r="AB150" s="85"/>
      <c r="AC150" s="8">
        <f t="shared" si="63"/>
        <v>0</v>
      </c>
      <c r="AD150" s="135">
        <v>0</v>
      </c>
      <c r="AE150" s="15">
        <f t="shared" si="57"/>
        <v>0</v>
      </c>
      <c r="AF150" s="43">
        <f t="shared" si="58"/>
        <v>0</v>
      </c>
      <c r="AT150" s="1"/>
      <c r="AU150" s="27">
        <f t="shared" ref="AU150:AU206" si="68">0.07*2.2</f>
        <v>0.15400000000000003</v>
      </c>
      <c r="AV150" s="27">
        <f t="shared" ref="AV150:AV206" si="69">AT150*AU150</f>
        <v>0</v>
      </c>
      <c r="AW150" s="35">
        <f t="shared" ref="AW150:AW206" si="70">AQ150*AV150</f>
        <v>0</v>
      </c>
    </row>
    <row r="151" spans="1:120" ht="15.5" customHeight="1" thickBot="1" x14ac:dyDescent="0.25">
      <c r="C151" s="14" t="s">
        <v>243</v>
      </c>
      <c r="D151" s="19" t="e">
        <f t="shared" si="65"/>
        <v>#DIV/0!</v>
      </c>
      <c r="E151" s="19" t="e">
        <f t="shared" ref="E151:E164" si="71">AC151/AD151/(S151/100)</f>
        <v>#DIV/0!</v>
      </c>
      <c r="F151">
        <v>7.6</v>
      </c>
      <c r="J151">
        <f t="shared" si="59"/>
        <v>0</v>
      </c>
      <c r="K151">
        <v>150</v>
      </c>
      <c r="L151">
        <f t="shared" si="60"/>
        <v>0</v>
      </c>
      <c r="P151">
        <f t="shared" si="61"/>
        <v>3</v>
      </c>
      <c r="S151">
        <f t="shared" si="62"/>
        <v>153</v>
      </c>
      <c r="T151">
        <f t="shared" si="53"/>
        <v>-150</v>
      </c>
      <c r="U151"/>
      <c r="V151" s="46">
        <f t="shared" si="64"/>
        <v>-153</v>
      </c>
      <c r="X151"/>
      <c r="Z151">
        <f t="shared" si="54"/>
        <v>0</v>
      </c>
      <c r="AA151" s="130">
        <v>0</v>
      </c>
      <c r="AB151" s="83">
        <f>SUM(AC151:AC161)</f>
        <v>-392.16799999999967</v>
      </c>
      <c r="AC151" s="8">
        <f t="shared" si="63"/>
        <v>0</v>
      </c>
      <c r="AD151" s="135">
        <v>0</v>
      </c>
      <c r="AE151" s="15">
        <f t="shared" si="57"/>
        <v>0</v>
      </c>
      <c r="AF151" s="43">
        <f t="shared" si="58"/>
        <v>0</v>
      </c>
      <c r="AT151" s="1"/>
      <c r="AU151" s="27">
        <f t="shared" si="68"/>
        <v>0.15400000000000003</v>
      </c>
      <c r="AV151" s="27">
        <f t="shared" si="69"/>
        <v>0</v>
      </c>
      <c r="AW151" s="35">
        <f t="shared" si="70"/>
        <v>0</v>
      </c>
    </row>
    <row r="152" spans="1:120" ht="15.5" customHeight="1" x14ac:dyDescent="0.2">
      <c r="C152" s="14" t="s">
        <v>233</v>
      </c>
      <c r="D152" s="19"/>
      <c r="E152" s="19"/>
      <c r="J152">
        <f t="shared" si="59"/>
        <v>0</v>
      </c>
      <c r="K152">
        <v>150</v>
      </c>
      <c r="L152">
        <f t="shared" si="60"/>
        <v>0</v>
      </c>
      <c r="P152">
        <f t="shared" si="61"/>
        <v>3</v>
      </c>
      <c r="S152">
        <f t="shared" si="62"/>
        <v>153</v>
      </c>
      <c r="U152"/>
      <c r="V152" s="46">
        <f t="shared" si="64"/>
        <v>-153</v>
      </c>
      <c r="X152"/>
      <c r="Z152">
        <f t="shared" si="54"/>
        <v>0</v>
      </c>
      <c r="AA152" s="130"/>
      <c r="AC152" s="8">
        <f t="shared" si="63"/>
        <v>0</v>
      </c>
      <c r="AD152" s="135">
        <v>0</v>
      </c>
      <c r="AE152" s="15">
        <f t="shared" si="57"/>
        <v>0</v>
      </c>
      <c r="AF152" s="43">
        <f t="shared" si="58"/>
        <v>0</v>
      </c>
      <c r="AT152" s="1"/>
      <c r="AU152" s="27">
        <f t="shared" si="68"/>
        <v>0.15400000000000003</v>
      </c>
      <c r="AV152" s="27">
        <f t="shared" si="69"/>
        <v>0</v>
      </c>
      <c r="AW152" s="35">
        <f t="shared" si="70"/>
        <v>0</v>
      </c>
    </row>
    <row r="153" spans="1:120" ht="15.5" customHeight="1" x14ac:dyDescent="0.2">
      <c r="C153" s="14" t="s">
        <v>213</v>
      </c>
      <c r="D153" s="19"/>
      <c r="E153" s="19"/>
      <c r="F153">
        <v>15.6</v>
      </c>
      <c r="H153">
        <v>9000</v>
      </c>
      <c r="I153">
        <v>50</v>
      </c>
      <c r="J153">
        <f t="shared" si="59"/>
        <v>2856.0479999999998</v>
      </c>
      <c r="K153">
        <v>150</v>
      </c>
      <c r="L153">
        <f t="shared" si="60"/>
        <v>2196.96</v>
      </c>
      <c r="M153">
        <v>50</v>
      </c>
      <c r="N153">
        <v>30</v>
      </c>
      <c r="O153">
        <v>910</v>
      </c>
      <c r="P153">
        <f t="shared" si="61"/>
        <v>304.86015999999995</v>
      </c>
      <c r="Q153">
        <v>100</v>
      </c>
      <c r="S153">
        <f t="shared" si="62"/>
        <v>15647.868159999998</v>
      </c>
      <c r="U153">
        <v>18308</v>
      </c>
      <c r="V153" s="46">
        <f t="shared" si="64"/>
        <v>2660.1318400000018</v>
      </c>
      <c r="X153"/>
      <c r="Y153">
        <v>0</v>
      </c>
      <c r="Z153">
        <f t="shared" si="54"/>
        <v>0</v>
      </c>
      <c r="AA153" s="130"/>
      <c r="AC153" s="8">
        <f t="shared" si="63"/>
        <v>0</v>
      </c>
      <c r="AD153" s="135">
        <v>0</v>
      </c>
      <c r="AE153" s="15">
        <f t="shared" si="57"/>
        <v>0</v>
      </c>
      <c r="AF153" s="43">
        <f t="shared" si="58"/>
        <v>0</v>
      </c>
      <c r="AT153" s="1"/>
      <c r="AU153" s="27">
        <f t="shared" si="68"/>
        <v>0.15400000000000003</v>
      </c>
      <c r="AV153" s="27">
        <f t="shared" si="69"/>
        <v>0</v>
      </c>
      <c r="AW153" s="35">
        <f t="shared" si="70"/>
        <v>0</v>
      </c>
    </row>
    <row r="154" spans="1:120" ht="15.5" customHeight="1" x14ac:dyDescent="0.2">
      <c r="C154" s="14" t="s">
        <v>200</v>
      </c>
      <c r="D154" s="19"/>
      <c r="E154" s="19"/>
      <c r="F154">
        <v>7.6</v>
      </c>
      <c r="H154">
        <v>5976</v>
      </c>
      <c r="I154">
        <v>100</v>
      </c>
      <c r="J154">
        <f t="shared" si="59"/>
        <v>1118.72</v>
      </c>
      <c r="K154">
        <v>150</v>
      </c>
      <c r="L154">
        <f t="shared" si="60"/>
        <v>1766.3999999999999</v>
      </c>
      <c r="M154">
        <v>50</v>
      </c>
      <c r="N154">
        <v>30</v>
      </c>
      <c r="O154">
        <v>910</v>
      </c>
      <c r="P154">
        <f t="shared" si="61"/>
        <v>202.02240000000003</v>
      </c>
      <c r="Q154">
        <v>100</v>
      </c>
      <c r="S154">
        <f t="shared" si="62"/>
        <v>10403.142400000001</v>
      </c>
      <c r="U154">
        <v>14720</v>
      </c>
      <c r="V154" s="46">
        <f t="shared" si="64"/>
        <v>4316.8575999999994</v>
      </c>
      <c r="X154"/>
      <c r="Z154">
        <f t="shared" si="54"/>
        <v>0</v>
      </c>
      <c r="AA154" s="130">
        <v>561</v>
      </c>
      <c r="AC154" s="8">
        <f t="shared" si="63"/>
        <v>-561</v>
      </c>
      <c r="AD154" s="135">
        <v>0</v>
      </c>
      <c r="AE154" s="15">
        <f t="shared" si="57"/>
        <v>0</v>
      </c>
      <c r="AF154" s="43">
        <f t="shared" si="58"/>
        <v>-561</v>
      </c>
      <c r="AT154" s="1"/>
      <c r="AU154" s="27">
        <f t="shared" si="68"/>
        <v>0.15400000000000003</v>
      </c>
      <c r="AV154" s="27">
        <f t="shared" si="69"/>
        <v>0</v>
      </c>
      <c r="AW154" s="35">
        <f t="shared" si="70"/>
        <v>0</v>
      </c>
    </row>
    <row r="155" spans="1:120" ht="16" customHeight="1" x14ac:dyDescent="0.2">
      <c r="C155" s="14" t="s">
        <v>193</v>
      </c>
      <c r="D155" s="19" t="e">
        <f t="shared" si="65"/>
        <v>#DIV/0!</v>
      </c>
      <c r="E155" s="19" t="e">
        <f t="shared" si="71"/>
        <v>#DIV/0!</v>
      </c>
      <c r="F155">
        <v>7.6</v>
      </c>
      <c r="J155">
        <f t="shared" si="59"/>
        <v>988</v>
      </c>
      <c r="K155">
        <v>150</v>
      </c>
      <c r="L155">
        <f t="shared" si="60"/>
        <v>1560</v>
      </c>
      <c r="P155">
        <f t="shared" si="61"/>
        <v>53.96</v>
      </c>
      <c r="S155">
        <f t="shared" si="62"/>
        <v>2751.96</v>
      </c>
      <c r="T155">
        <f t="shared" si="53"/>
        <v>11862</v>
      </c>
      <c r="U155">
        <v>13000</v>
      </c>
      <c r="V155" s="46">
        <f t="shared" si="64"/>
        <v>10248.040000000001</v>
      </c>
      <c r="X155"/>
      <c r="Z155">
        <f t="shared" si="54"/>
        <v>0</v>
      </c>
      <c r="AA155" s="130">
        <v>0</v>
      </c>
      <c r="AC155" s="8">
        <f t="shared" si="63"/>
        <v>0</v>
      </c>
      <c r="AD155" s="143">
        <v>0</v>
      </c>
      <c r="AE155" s="15">
        <f t="shared" si="57"/>
        <v>0</v>
      </c>
      <c r="AF155" s="43">
        <f t="shared" si="58"/>
        <v>0</v>
      </c>
      <c r="AT155" s="1">
        <v>6</v>
      </c>
      <c r="AU155" s="27">
        <f t="shared" si="68"/>
        <v>0.15400000000000003</v>
      </c>
      <c r="AV155" s="27">
        <f t="shared" si="69"/>
        <v>0.92400000000000015</v>
      </c>
      <c r="AW155" s="35">
        <f t="shared" si="70"/>
        <v>0</v>
      </c>
      <c r="AX155">
        <v>0</v>
      </c>
      <c r="AZ155">
        <v>0</v>
      </c>
      <c r="CQ155">
        <v>1</v>
      </c>
      <c r="DP155" t="s">
        <v>155</v>
      </c>
    </row>
    <row r="156" spans="1:120" ht="16" customHeight="1" x14ac:dyDescent="0.2">
      <c r="C156" s="14" t="s">
        <v>210</v>
      </c>
      <c r="D156" s="19">
        <f t="shared" si="65"/>
        <v>58.128141998282281</v>
      </c>
      <c r="E156" s="19">
        <f t="shared" si="71"/>
        <v>39.276197078913896</v>
      </c>
      <c r="F156">
        <v>7.6</v>
      </c>
      <c r="H156">
        <v>5976</v>
      </c>
      <c r="I156">
        <v>100</v>
      </c>
      <c r="J156">
        <f t="shared" si="59"/>
        <v>1094.4000000000001</v>
      </c>
      <c r="K156">
        <v>150</v>
      </c>
      <c r="L156">
        <f t="shared" si="60"/>
        <v>1728</v>
      </c>
      <c r="M156">
        <v>50</v>
      </c>
      <c r="N156">
        <v>30</v>
      </c>
      <c r="O156">
        <v>910</v>
      </c>
      <c r="P156">
        <f t="shared" si="61"/>
        <v>200.768</v>
      </c>
      <c r="Q156">
        <v>100</v>
      </c>
      <c r="S156">
        <f t="shared" si="62"/>
        <v>10339.168</v>
      </c>
      <c r="T156">
        <f t="shared" si="53"/>
        <v>13155.6</v>
      </c>
      <c r="U156">
        <v>14400</v>
      </c>
      <c r="V156" s="46">
        <f t="shared" si="64"/>
        <v>4060.8320000000003</v>
      </c>
      <c r="X156"/>
      <c r="Z156">
        <f t="shared" si="54"/>
        <v>9094.768</v>
      </c>
      <c r="AA156" s="130">
        <v>0</v>
      </c>
      <c r="AC156" s="8">
        <f t="shared" si="63"/>
        <v>4060.8320000000003</v>
      </c>
      <c r="AD156" s="81">
        <v>1</v>
      </c>
      <c r="AE156" s="15">
        <f t="shared" si="57"/>
        <v>4060.8320000000003</v>
      </c>
      <c r="AF156" s="43">
        <f t="shared" si="58"/>
        <v>13155.6</v>
      </c>
      <c r="AT156" s="1">
        <v>6</v>
      </c>
      <c r="AU156" s="27">
        <f t="shared" si="68"/>
        <v>0.15400000000000003</v>
      </c>
      <c r="AV156" s="27">
        <f t="shared" si="69"/>
        <v>0.92400000000000015</v>
      </c>
      <c r="AW156" s="35">
        <f t="shared" si="70"/>
        <v>0</v>
      </c>
      <c r="AZ156">
        <v>1</v>
      </c>
      <c r="DP156" t="s">
        <v>155</v>
      </c>
    </row>
    <row r="157" spans="1:120" ht="16" customHeight="1" x14ac:dyDescent="0.2">
      <c r="C157" s="23" t="s">
        <v>201</v>
      </c>
      <c r="D157" s="19">
        <f t="shared" si="65"/>
        <v>69.642660332541567</v>
      </c>
      <c r="E157" s="19" t="e">
        <f t="shared" si="71"/>
        <v>#DIV/0!</v>
      </c>
      <c r="F157">
        <v>7.6</v>
      </c>
      <c r="H157">
        <v>3200</v>
      </c>
      <c r="I157">
        <v>100</v>
      </c>
      <c r="J157">
        <f t="shared" si="59"/>
        <v>718.2</v>
      </c>
      <c r="K157">
        <v>150</v>
      </c>
      <c r="L157">
        <f t="shared" si="60"/>
        <v>1134</v>
      </c>
      <c r="M157">
        <v>50</v>
      </c>
      <c r="N157">
        <v>30</v>
      </c>
      <c r="O157">
        <v>910</v>
      </c>
      <c r="P157">
        <f t="shared" si="61"/>
        <v>125.84399999999999</v>
      </c>
      <c r="Q157">
        <v>100</v>
      </c>
      <c r="S157">
        <f t="shared" si="62"/>
        <v>6518.0439999999999</v>
      </c>
      <c r="T157">
        <f t="shared" si="53"/>
        <v>8581.7999999999993</v>
      </c>
      <c r="U157">
        <v>9450</v>
      </c>
      <c r="V157" s="46">
        <f t="shared" si="64"/>
        <v>2931.9560000000001</v>
      </c>
      <c r="X157"/>
      <c r="Z157">
        <f t="shared" si="54"/>
        <v>0</v>
      </c>
      <c r="AA157" s="130">
        <v>212</v>
      </c>
      <c r="AC157" s="8">
        <f t="shared" si="63"/>
        <v>-212</v>
      </c>
      <c r="AD157" s="135">
        <v>0</v>
      </c>
      <c r="AE157" s="15">
        <f t="shared" si="57"/>
        <v>0</v>
      </c>
      <c r="AF157" s="43">
        <f t="shared" si="58"/>
        <v>-212</v>
      </c>
      <c r="AO157">
        <v>3</v>
      </c>
      <c r="AP157">
        <v>3</v>
      </c>
      <c r="AQ157">
        <v>0</v>
      </c>
      <c r="AR157">
        <v>0</v>
      </c>
      <c r="AS157">
        <v>0</v>
      </c>
      <c r="AT157" s="1">
        <v>6</v>
      </c>
      <c r="AU157" s="27">
        <f t="shared" si="68"/>
        <v>0.15400000000000003</v>
      </c>
      <c r="AV157" s="27">
        <f t="shared" si="69"/>
        <v>0.92400000000000015</v>
      </c>
      <c r="AW157" s="35">
        <f t="shared" si="70"/>
        <v>0</v>
      </c>
      <c r="AX157">
        <v>0</v>
      </c>
      <c r="AZ157">
        <v>0</v>
      </c>
      <c r="DP157" t="s">
        <v>155</v>
      </c>
    </row>
    <row r="158" spans="1:120" ht="14.5" customHeight="1" x14ac:dyDescent="0.2">
      <c r="A158">
        <v>3603</v>
      </c>
      <c r="C158" s="23" t="s">
        <v>206</v>
      </c>
      <c r="D158" s="19"/>
      <c r="E158" s="19"/>
      <c r="F158">
        <v>7.6</v>
      </c>
      <c r="H158">
        <v>11872</v>
      </c>
      <c r="I158">
        <v>100</v>
      </c>
      <c r="J158">
        <f t="shared" si="59"/>
        <v>1452.36</v>
      </c>
      <c r="K158">
        <v>150</v>
      </c>
      <c r="L158">
        <f t="shared" si="60"/>
        <v>2293.1999999999998</v>
      </c>
      <c r="M158">
        <v>50</v>
      </c>
      <c r="N158">
        <v>30</v>
      </c>
      <c r="O158">
        <v>910</v>
      </c>
      <c r="P158">
        <f t="shared" si="61"/>
        <v>337.15120000000002</v>
      </c>
      <c r="Q158">
        <v>100</v>
      </c>
      <c r="S158">
        <f t="shared" si="62"/>
        <v>17294.711200000002</v>
      </c>
      <c r="T158">
        <f t="shared" si="53"/>
        <v>17507.64</v>
      </c>
      <c r="U158">
        <v>19110</v>
      </c>
      <c r="V158" s="46">
        <f t="shared" si="64"/>
        <v>1815.2887999999984</v>
      </c>
      <c r="X158"/>
      <c r="Z158">
        <f t="shared" si="54"/>
        <v>0</v>
      </c>
      <c r="AA158" s="126">
        <v>2581</v>
      </c>
      <c r="AC158" s="8">
        <f t="shared" si="63"/>
        <v>-2581</v>
      </c>
      <c r="AD158" s="135">
        <v>0</v>
      </c>
      <c r="AE158" s="15">
        <f t="shared" si="57"/>
        <v>0</v>
      </c>
      <c r="AF158" s="43">
        <f t="shared" si="58"/>
        <v>-2581</v>
      </c>
      <c r="AT158" s="1"/>
      <c r="AU158" s="27">
        <f t="shared" si="68"/>
        <v>0.15400000000000003</v>
      </c>
      <c r="AV158" s="27">
        <f t="shared" si="69"/>
        <v>0</v>
      </c>
      <c r="AW158" s="35">
        <f t="shared" si="70"/>
        <v>0</v>
      </c>
    </row>
    <row r="159" spans="1:120" ht="13.75" customHeight="1" x14ac:dyDescent="0.2">
      <c r="C159" s="23" t="s">
        <v>219</v>
      </c>
      <c r="D159" s="19"/>
      <c r="E159" s="19"/>
      <c r="F159">
        <v>7.6</v>
      </c>
      <c r="H159">
        <v>12700</v>
      </c>
      <c r="I159">
        <v>100</v>
      </c>
      <c r="J159">
        <f t="shared" si="59"/>
        <v>1616.2160000000001</v>
      </c>
      <c r="K159">
        <v>150</v>
      </c>
      <c r="L159">
        <f t="shared" si="60"/>
        <v>2551.92</v>
      </c>
      <c r="M159">
        <v>50</v>
      </c>
      <c r="N159">
        <v>30</v>
      </c>
      <c r="O159">
        <v>910</v>
      </c>
      <c r="P159">
        <f t="shared" si="61"/>
        <v>362.16271999999998</v>
      </c>
      <c r="Q159">
        <v>100</v>
      </c>
      <c r="S159">
        <f t="shared" si="62"/>
        <v>18570.298719999999</v>
      </c>
      <c r="T159">
        <f t="shared" si="53"/>
        <v>19499.784</v>
      </c>
      <c r="U159">
        <v>21266</v>
      </c>
      <c r="V159" s="46">
        <f t="shared" si="64"/>
        <v>2695.7012800000011</v>
      </c>
      <c r="X159"/>
      <c r="Z159">
        <f t="shared" si="54"/>
        <v>0</v>
      </c>
      <c r="AA159" s="130"/>
      <c r="AC159" s="8">
        <f t="shared" si="63"/>
        <v>0</v>
      </c>
      <c r="AD159" s="135">
        <v>0</v>
      </c>
      <c r="AE159" s="15">
        <f t="shared" si="57"/>
        <v>0</v>
      </c>
      <c r="AF159" s="43">
        <f t="shared" si="58"/>
        <v>0</v>
      </c>
      <c r="AT159" s="1"/>
      <c r="AU159" s="27">
        <f t="shared" si="68"/>
        <v>0.15400000000000003</v>
      </c>
      <c r="AV159" s="27">
        <f t="shared" si="69"/>
        <v>0</v>
      </c>
      <c r="AW159" s="35">
        <f t="shared" si="70"/>
        <v>0</v>
      </c>
    </row>
    <row r="160" spans="1:120" ht="16" customHeight="1" x14ac:dyDescent="0.2">
      <c r="C160" s="23" t="s">
        <v>230</v>
      </c>
      <c r="D160" s="19"/>
      <c r="E160" s="19"/>
      <c r="F160">
        <v>7.6</v>
      </c>
      <c r="H160">
        <v>5634</v>
      </c>
      <c r="I160">
        <v>100</v>
      </c>
      <c r="J160">
        <f t="shared" si="59"/>
        <v>919.6</v>
      </c>
      <c r="K160">
        <v>150</v>
      </c>
      <c r="L160">
        <f t="shared" si="60"/>
        <v>1452</v>
      </c>
      <c r="M160">
        <v>50</v>
      </c>
      <c r="N160">
        <v>30</v>
      </c>
      <c r="O160">
        <v>910</v>
      </c>
      <c r="P160">
        <f t="shared" si="61"/>
        <v>184.91200000000001</v>
      </c>
      <c r="Q160">
        <v>100</v>
      </c>
      <c r="S160">
        <f t="shared" si="62"/>
        <v>9530.5120000000006</v>
      </c>
      <c r="T160">
        <f t="shared" si="53"/>
        <v>11030.4</v>
      </c>
      <c r="U160">
        <v>12100</v>
      </c>
      <c r="V160" s="46">
        <f t="shared" si="64"/>
        <v>2569.4879999999994</v>
      </c>
      <c r="X160"/>
      <c r="Z160">
        <f t="shared" si="54"/>
        <v>0</v>
      </c>
      <c r="AA160" s="130">
        <v>942</v>
      </c>
      <c r="AC160" s="8">
        <f t="shared" si="63"/>
        <v>-942</v>
      </c>
      <c r="AD160" s="135">
        <v>0</v>
      </c>
      <c r="AE160" s="15">
        <f t="shared" si="57"/>
        <v>0</v>
      </c>
      <c r="AF160" s="43">
        <f t="shared" si="58"/>
        <v>-942</v>
      </c>
      <c r="AT160" s="1"/>
      <c r="AU160" s="27">
        <f t="shared" si="68"/>
        <v>0.15400000000000003</v>
      </c>
      <c r="AV160" s="27">
        <f t="shared" si="69"/>
        <v>0</v>
      </c>
      <c r="AW160" s="35">
        <f t="shared" si="70"/>
        <v>0</v>
      </c>
    </row>
    <row r="161" spans="1:120" ht="16" customHeight="1" thickBot="1" x14ac:dyDescent="0.25">
      <c r="C161" s="23" t="s">
        <v>217</v>
      </c>
      <c r="D161" s="19"/>
      <c r="E161" s="19"/>
      <c r="F161">
        <v>7.6</v>
      </c>
      <c r="H161">
        <v>9125</v>
      </c>
      <c r="I161">
        <v>100</v>
      </c>
      <c r="J161">
        <f t="shared" si="59"/>
        <v>1520</v>
      </c>
      <c r="K161">
        <v>150</v>
      </c>
      <c r="L161">
        <f t="shared" si="60"/>
        <v>2400</v>
      </c>
      <c r="M161">
        <v>50</v>
      </c>
      <c r="N161">
        <v>30</v>
      </c>
      <c r="O161">
        <v>910</v>
      </c>
      <c r="P161">
        <f t="shared" si="61"/>
        <v>285.7</v>
      </c>
      <c r="Q161">
        <v>100</v>
      </c>
      <c r="S161">
        <f t="shared" si="62"/>
        <v>14670.7</v>
      </c>
      <c r="T161">
        <f t="shared" si="53"/>
        <v>18330</v>
      </c>
      <c r="U161">
        <v>20000</v>
      </c>
      <c r="V161" s="46">
        <f t="shared" si="64"/>
        <v>5329.2999999999993</v>
      </c>
      <c r="X161"/>
      <c r="Y161">
        <v>0</v>
      </c>
      <c r="Z161">
        <f t="shared" si="54"/>
        <v>0</v>
      </c>
      <c r="AA161" s="130">
        <v>157</v>
      </c>
      <c r="AB161" s="86"/>
      <c r="AC161" s="8">
        <f t="shared" si="63"/>
        <v>-157</v>
      </c>
      <c r="AD161" s="135">
        <v>0</v>
      </c>
      <c r="AE161" s="15">
        <f t="shared" si="57"/>
        <v>0</v>
      </c>
      <c r="AF161" s="43">
        <f t="shared" si="58"/>
        <v>-157</v>
      </c>
      <c r="AT161" s="1"/>
      <c r="AU161" s="27">
        <f t="shared" si="68"/>
        <v>0.15400000000000003</v>
      </c>
      <c r="AV161" s="27">
        <f t="shared" si="69"/>
        <v>0</v>
      </c>
      <c r="AW161" s="35">
        <f t="shared" si="70"/>
        <v>0</v>
      </c>
    </row>
    <row r="162" spans="1:120" ht="12" customHeight="1" thickBot="1" x14ac:dyDescent="0.25">
      <c r="C162" t="s">
        <v>185</v>
      </c>
      <c r="D162" s="19">
        <f t="shared" si="65"/>
        <v>28.786984572230022</v>
      </c>
      <c r="E162" s="19" t="e">
        <f t="shared" si="71"/>
        <v>#DIV/0!</v>
      </c>
      <c r="F162">
        <v>7.6</v>
      </c>
      <c r="H162">
        <v>8309</v>
      </c>
      <c r="I162">
        <v>50</v>
      </c>
      <c r="J162">
        <f t="shared" si="59"/>
        <v>1183.32</v>
      </c>
      <c r="K162">
        <v>150</v>
      </c>
      <c r="L162">
        <f t="shared" si="60"/>
        <v>1868.3999999999999</v>
      </c>
      <c r="M162">
        <v>50</v>
      </c>
      <c r="N162">
        <v>30</v>
      </c>
      <c r="O162">
        <v>910</v>
      </c>
      <c r="P162">
        <f t="shared" si="61"/>
        <v>251.01439999999999</v>
      </c>
      <c r="Q162">
        <v>100</v>
      </c>
      <c r="S162">
        <f t="shared" si="62"/>
        <v>12901.734399999999</v>
      </c>
      <c r="T162">
        <f t="shared" si="53"/>
        <v>14236.68</v>
      </c>
      <c r="U162" s="14">
        <v>15570</v>
      </c>
      <c r="V162" s="46">
        <f t="shared" si="64"/>
        <v>2668.2656000000006</v>
      </c>
      <c r="Z162">
        <f t="shared" si="54"/>
        <v>0</v>
      </c>
      <c r="AA162" s="126">
        <v>1084</v>
      </c>
      <c r="AB162" s="83">
        <f>SUM(AC162:AC163)</f>
        <v>-1084</v>
      </c>
      <c r="AC162" s="119">
        <f t="shared" si="63"/>
        <v>-1084</v>
      </c>
      <c r="AD162" s="81">
        <v>0</v>
      </c>
      <c r="AE162" s="15">
        <f t="shared" si="57"/>
        <v>0</v>
      </c>
      <c r="AF162" s="43">
        <f t="shared" si="58"/>
        <v>-1084</v>
      </c>
      <c r="AT162" s="1"/>
      <c r="AU162" s="27">
        <f t="shared" si="68"/>
        <v>0.15400000000000003</v>
      </c>
      <c r="AV162" s="27">
        <f t="shared" si="69"/>
        <v>0</v>
      </c>
      <c r="AW162" s="35">
        <f t="shared" si="70"/>
        <v>0</v>
      </c>
    </row>
    <row r="163" spans="1:120" ht="12" customHeight="1" thickBot="1" x14ac:dyDescent="0.25">
      <c r="C163" s="14" t="s">
        <v>203</v>
      </c>
      <c r="D163" s="19">
        <f t="shared" si="65"/>
        <v>38.899197207678881</v>
      </c>
      <c r="E163" s="19" t="e">
        <f t="shared" si="71"/>
        <v>#DIV/0!</v>
      </c>
      <c r="F163">
        <v>7.6</v>
      </c>
      <c r="H163">
        <v>10500</v>
      </c>
      <c r="I163">
        <v>50</v>
      </c>
      <c r="J163">
        <f t="shared" si="59"/>
        <v>1565.6</v>
      </c>
      <c r="K163">
        <v>150</v>
      </c>
      <c r="L163">
        <f t="shared" si="60"/>
        <v>2472</v>
      </c>
      <c r="M163">
        <v>50</v>
      </c>
      <c r="N163">
        <v>30</v>
      </c>
      <c r="O163">
        <v>910</v>
      </c>
      <c r="P163">
        <f t="shared" si="61"/>
        <v>314.55200000000002</v>
      </c>
      <c r="Q163">
        <v>100</v>
      </c>
      <c r="S163">
        <f t="shared" si="62"/>
        <v>16142.152</v>
      </c>
      <c r="T163">
        <f t="shared" si="53"/>
        <v>18884.400000000001</v>
      </c>
      <c r="U163" s="14">
        <v>20600</v>
      </c>
      <c r="V163" s="46">
        <f t="shared" si="64"/>
        <v>4457.848</v>
      </c>
      <c r="Z163">
        <f t="shared" si="54"/>
        <v>0</v>
      </c>
      <c r="AA163" s="130"/>
      <c r="AB163" s="85"/>
      <c r="AC163" s="120">
        <f t="shared" si="63"/>
        <v>0</v>
      </c>
      <c r="AD163" s="135">
        <v>0</v>
      </c>
      <c r="AE163" s="15">
        <f t="shared" si="57"/>
        <v>0</v>
      </c>
      <c r="AF163" s="43">
        <f t="shared" si="58"/>
        <v>0</v>
      </c>
      <c r="AT163" s="1"/>
      <c r="AU163" s="27">
        <f t="shared" si="68"/>
        <v>0.15400000000000003</v>
      </c>
      <c r="AV163" s="27">
        <f t="shared" si="69"/>
        <v>0</v>
      </c>
      <c r="AW163" s="35">
        <f t="shared" si="70"/>
        <v>0</v>
      </c>
    </row>
    <row r="164" spans="1:120" ht="12" customHeight="1" thickBot="1" x14ac:dyDescent="0.25">
      <c r="C164" s="23" t="s">
        <v>224</v>
      </c>
      <c r="D164" s="19">
        <f t="shared" si="65"/>
        <v>50.106881405563698</v>
      </c>
      <c r="E164" s="19" t="e">
        <f t="shared" si="71"/>
        <v>#DIV/0!</v>
      </c>
      <c r="F164">
        <v>7.6</v>
      </c>
      <c r="H164">
        <v>7186</v>
      </c>
      <c r="I164">
        <v>100</v>
      </c>
      <c r="J164">
        <f t="shared" si="59"/>
        <v>1216</v>
      </c>
      <c r="K164">
        <v>150</v>
      </c>
      <c r="L164">
        <f t="shared" si="60"/>
        <v>1920</v>
      </c>
      <c r="M164">
        <v>50</v>
      </c>
      <c r="N164">
        <v>30</v>
      </c>
      <c r="O164">
        <v>910</v>
      </c>
      <c r="P164">
        <f t="shared" si="61"/>
        <v>231.24</v>
      </c>
      <c r="Q164">
        <v>100</v>
      </c>
      <c r="S164">
        <f t="shared" si="62"/>
        <v>11893.24</v>
      </c>
      <c r="T164">
        <f t="shared" si="53"/>
        <v>14634</v>
      </c>
      <c r="U164" s="14">
        <v>16000</v>
      </c>
      <c r="V164" s="46">
        <f t="shared" si="64"/>
        <v>4106.76</v>
      </c>
      <c r="Y164">
        <v>0</v>
      </c>
      <c r="Z164">
        <f t="shared" si="54"/>
        <v>0</v>
      </c>
      <c r="AA164" s="130"/>
      <c r="AB164" s="83">
        <f>SUM(AC163:AC218)</f>
        <v>-1070</v>
      </c>
      <c r="AC164" s="8">
        <f t="shared" si="63"/>
        <v>0</v>
      </c>
      <c r="AD164" s="135">
        <v>0</v>
      </c>
      <c r="AE164" s="15">
        <f t="shared" si="57"/>
        <v>0</v>
      </c>
      <c r="AF164" s="43">
        <f t="shared" si="58"/>
        <v>0</v>
      </c>
      <c r="AT164" s="1"/>
      <c r="AU164" s="27">
        <f t="shared" si="68"/>
        <v>0.15400000000000003</v>
      </c>
      <c r="AV164" s="27">
        <f t="shared" si="69"/>
        <v>0</v>
      </c>
      <c r="AW164" s="35">
        <f t="shared" si="70"/>
        <v>0</v>
      </c>
    </row>
    <row r="165" spans="1:120" ht="12" customHeight="1" x14ac:dyDescent="0.2">
      <c r="C165" t="s">
        <v>15</v>
      </c>
      <c r="D165" s="19">
        <f t="shared" si="65"/>
        <v>843.52800000000002</v>
      </c>
      <c r="E165" t="e">
        <f>AC165/AD165/(S165/100)</f>
        <v>#DIV/0!</v>
      </c>
      <c r="F165">
        <v>7.6</v>
      </c>
      <c r="I165">
        <v>100</v>
      </c>
      <c r="J165">
        <f t="shared" si="59"/>
        <v>121.6</v>
      </c>
      <c r="K165">
        <v>150</v>
      </c>
      <c r="L165">
        <f t="shared" si="60"/>
        <v>192</v>
      </c>
      <c r="M165">
        <v>50</v>
      </c>
      <c r="N165">
        <v>30</v>
      </c>
      <c r="P165">
        <f t="shared" si="61"/>
        <v>12.872</v>
      </c>
      <c r="Q165">
        <v>100</v>
      </c>
      <c r="S165">
        <f t="shared" si="62"/>
        <v>756.47199999999998</v>
      </c>
      <c r="T165">
        <f>U165-J165-K165</f>
        <v>1328.4</v>
      </c>
      <c r="U165">
        <v>1600</v>
      </c>
      <c r="V165" s="46">
        <f t="shared" si="64"/>
        <v>843.52800000000002</v>
      </c>
      <c r="X165"/>
      <c r="Z165">
        <f t="shared" si="54"/>
        <v>0</v>
      </c>
      <c r="AA165" s="130"/>
      <c r="AC165" s="8">
        <f t="shared" si="63"/>
        <v>0</v>
      </c>
      <c r="AD165" s="135">
        <v>0</v>
      </c>
      <c r="AE165" s="15">
        <f t="shared" si="57"/>
        <v>0</v>
      </c>
      <c r="AF165" s="43">
        <f t="shared" si="58"/>
        <v>0</v>
      </c>
      <c r="AT165" s="1">
        <v>6</v>
      </c>
      <c r="AU165" s="27">
        <f t="shared" si="68"/>
        <v>0.15400000000000003</v>
      </c>
      <c r="AV165" s="27">
        <f t="shared" si="69"/>
        <v>0.92400000000000015</v>
      </c>
      <c r="AW165" s="35">
        <f t="shared" si="70"/>
        <v>0</v>
      </c>
      <c r="AZ165">
        <v>0</v>
      </c>
      <c r="DP165" t="s">
        <v>159</v>
      </c>
    </row>
    <row r="166" spans="1:120" ht="12" customHeight="1" x14ac:dyDescent="0.2">
      <c r="C166" t="s">
        <v>229</v>
      </c>
      <c r="D166" s="19">
        <f t="shared" si="65"/>
        <v>66.279504921547613</v>
      </c>
      <c r="E166" s="19" t="e">
        <f>AC166/AD166/(S166/100)</f>
        <v>#DIV/0!</v>
      </c>
      <c r="F166">
        <v>7.6</v>
      </c>
      <c r="H166">
        <v>9251</v>
      </c>
      <c r="I166">
        <v>100</v>
      </c>
      <c r="J166">
        <f t="shared" si="59"/>
        <v>1672</v>
      </c>
      <c r="K166">
        <v>150</v>
      </c>
      <c r="L166">
        <f t="shared" si="60"/>
        <v>2640</v>
      </c>
      <c r="M166">
        <v>50</v>
      </c>
      <c r="N166">
        <v>30</v>
      </c>
      <c r="O166">
        <v>910</v>
      </c>
      <c r="P166">
        <f t="shared" si="61"/>
        <v>296.06</v>
      </c>
      <c r="Q166">
        <v>100</v>
      </c>
      <c r="S166">
        <f t="shared" si="62"/>
        <v>15199.06</v>
      </c>
      <c r="T166">
        <f>U166-J166-K166</f>
        <v>20178</v>
      </c>
      <c r="U166" s="14">
        <v>22000</v>
      </c>
      <c r="V166" s="46">
        <f t="shared" si="64"/>
        <v>6800.9400000000005</v>
      </c>
      <c r="Z166">
        <f t="shared" si="54"/>
        <v>0</v>
      </c>
      <c r="AA166" s="130"/>
      <c r="AC166" s="8">
        <f t="shared" si="63"/>
        <v>0</v>
      </c>
      <c r="AD166" s="135">
        <v>0</v>
      </c>
      <c r="AE166" s="15">
        <f t="shared" si="57"/>
        <v>0</v>
      </c>
      <c r="AF166" s="43">
        <f t="shared" si="58"/>
        <v>0</v>
      </c>
      <c r="AT166" s="1"/>
      <c r="AU166" s="27">
        <f t="shared" si="68"/>
        <v>0.15400000000000003</v>
      </c>
      <c r="AV166" s="27">
        <f t="shared" si="69"/>
        <v>0</v>
      </c>
      <c r="AW166" s="35">
        <f t="shared" si="70"/>
        <v>0</v>
      </c>
    </row>
    <row r="167" spans="1:120" ht="12" customHeight="1" x14ac:dyDescent="0.2">
      <c r="C167" t="s">
        <v>186</v>
      </c>
      <c r="D167" s="19" t="e">
        <f t="shared" si="65"/>
        <v>#DIV/0!</v>
      </c>
      <c r="E167" s="19" t="e">
        <f t="shared" ref="E167:E172" si="72">AC167/AD167/(S167/100)</f>
        <v>#DIV/0!</v>
      </c>
      <c r="J167">
        <f t="shared" si="59"/>
        <v>0</v>
      </c>
      <c r="K167">
        <v>150</v>
      </c>
      <c r="L167">
        <f t="shared" si="60"/>
        <v>0</v>
      </c>
      <c r="P167">
        <f t="shared" si="61"/>
        <v>3</v>
      </c>
      <c r="S167">
        <f t="shared" si="62"/>
        <v>153</v>
      </c>
      <c r="T167">
        <f>U167-J167-K167</f>
        <v>-150</v>
      </c>
      <c r="V167" s="46">
        <f t="shared" si="64"/>
        <v>-153</v>
      </c>
      <c r="Z167">
        <f t="shared" si="54"/>
        <v>0</v>
      </c>
      <c r="AA167" s="130"/>
      <c r="AC167" s="8">
        <f t="shared" si="63"/>
        <v>0</v>
      </c>
      <c r="AD167" s="135">
        <v>0</v>
      </c>
      <c r="AE167" s="15">
        <f t="shared" si="57"/>
        <v>0</v>
      </c>
      <c r="AF167" s="43">
        <f t="shared" si="58"/>
        <v>0</v>
      </c>
      <c r="AT167" s="1"/>
      <c r="AU167" s="27">
        <f t="shared" si="68"/>
        <v>0.15400000000000003</v>
      </c>
      <c r="AV167" s="27">
        <f t="shared" si="69"/>
        <v>0</v>
      </c>
      <c r="AW167" s="35">
        <f t="shared" si="70"/>
        <v>0</v>
      </c>
    </row>
    <row r="168" spans="1:120" ht="12" customHeight="1" x14ac:dyDescent="0.2">
      <c r="C168" s="23" t="s">
        <v>244</v>
      </c>
      <c r="D168" s="19">
        <f t="shared" si="65"/>
        <v>62.705405405405415</v>
      </c>
      <c r="E168" s="19" t="e">
        <f t="shared" si="72"/>
        <v>#DIV/0!</v>
      </c>
      <c r="F168">
        <v>15.5</v>
      </c>
      <c r="H168">
        <v>1500</v>
      </c>
      <c r="I168">
        <v>100</v>
      </c>
      <c r="J168">
        <f t="shared" si="59"/>
        <v>728.5</v>
      </c>
      <c r="K168">
        <v>150</v>
      </c>
      <c r="L168">
        <f t="shared" si="60"/>
        <v>564</v>
      </c>
      <c r="M168">
        <v>50</v>
      </c>
      <c r="N168">
        <v>30</v>
      </c>
      <c r="O168">
        <v>250</v>
      </c>
      <c r="P168">
        <f t="shared" si="61"/>
        <v>67.45</v>
      </c>
      <c r="Q168">
        <v>100</v>
      </c>
      <c r="S168">
        <f t="shared" si="62"/>
        <v>3539.95</v>
      </c>
      <c r="U168" s="14">
        <v>4700</v>
      </c>
      <c r="V168" s="46">
        <f t="shared" si="64"/>
        <v>1160.0500000000002</v>
      </c>
      <c r="Y168">
        <v>0</v>
      </c>
      <c r="Z168">
        <f t="shared" si="54"/>
        <v>0</v>
      </c>
      <c r="AA168" s="130"/>
      <c r="AC168" s="8">
        <f t="shared" si="63"/>
        <v>0</v>
      </c>
      <c r="AD168" s="135">
        <v>0</v>
      </c>
      <c r="AE168" s="15">
        <f t="shared" si="57"/>
        <v>0</v>
      </c>
      <c r="AF168" s="43">
        <f t="shared" si="58"/>
        <v>0</v>
      </c>
      <c r="AT168" s="1"/>
      <c r="AU168" s="27">
        <f t="shared" si="68"/>
        <v>0.15400000000000003</v>
      </c>
      <c r="AV168" s="27">
        <f t="shared" si="69"/>
        <v>0</v>
      </c>
      <c r="AW168" s="35">
        <f t="shared" si="70"/>
        <v>0</v>
      </c>
    </row>
    <row r="169" spans="1:120" ht="12" customHeight="1" x14ac:dyDescent="0.2">
      <c r="A169">
        <v>15</v>
      </c>
      <c r="C169" t="s">
        <v>160</v>
      </c>
      <c r="D169" s="19">
        <f t="shared" si="65"/>
        <v>6.2057964071856233</v>
      </c>
      <c r="E169" s="19" t="e">
        <f t="shared" si="72"/>
        <v>#DIV/0!</v>
      </c>
      <c r="F169">
        <v>10.6</v>
      </c>
      <c r="H169">
        <v>4000</v>
      </c>
      <c r="I169">
        <v>100</v>
      </c>
      <c r="J169">
        <f t="shared" si="59"/>
        <v>792.88</v>
      </c>
      <c r="K169">
        <v>150</v>
      </c>
      <c r="L169">
        <f t="shared" si="60"/>
        <v>897.6</v>
      </c>
      <c r="M169">
        <v>50</v>
      </c>
      <c r="N169">
        <v>30</v>
      </c>
      <c r="O169">
        <v>910</v>
      </c>
      <c r="P169">
        <f t="shared" si="61"/>
        <v>138.6096</v>
      </c>
      <c r="Q169">
        <v>100</v>
      </c>
      <c r="S169">
        <f t="shared" si="62"/>
        <v>7169.0896000000002</v>
      </c>
      <c r="T169">
        <f>U169-J169-K169</f>
        <v>6537.12</v>
      </c>
      <c r="U169">
        <v>7480</v>
      </c>
      <c r="V169" s="46">
        <f t="shared" si="64"/>
        <v>310.91039999999975</v>
      </c>
      <c r="X169"/>
      <c r="Z169">
        <f t="shared" si="54"/>
        <v>0</v>
      </c>
      <c r="AA169" s="130"/>
      <c r="AC169" s="8">
        <f t="shared" si="63"/>
        <v>0</v>
      </c>
      <c r="AD169" s="135">
        <v>0</v>
      </c>
      <c r="AE169" s="15">
        <f t="shared" si="57"/>
        <v>0</v>
      </c>
      <c r="AF169" s="43">
        <f t="shared" si="58"/>
        <v>0</v>
      </c>
      <c r="AT169" s="1">
        <v>6</v>
      </c>
      <c r="AU169" s="27">
        <f t="shared" si="68"/>
        <v>0.15400000000000003</v>
      </c>
      <c r="AV169" s="27">
        <f t="shared" si="69"/>
        <v>0.92400000000000015</v>
      </c>
      <c r="AW169" s="35">
        <f t="shared" si="70"/>
        <v>0</v>
      </c>
      <c r="AX169">
        <v>0</v>
      </c>
      <c r="AZ169">
        <v>0</v>
      </c>
      <c r="DP169" t="s">
        <v>161</v>
      </c>
    </row>
    <row r="170" spans="1:120" ht="12" customHeight="1" x14ac:dyDescent="0.2">
      <c r="A170">
        <v>13</v>
      </c>
      <c r="C170" t="s">
        <v>162</v>
      </c>
      <c r="D170" s="19">
        <f t="shared" si="65"/>
        <v>20.222984417818722</v>
      </c>
      <c r="E170" s="19" t="e">
        <f t="shared" si="72"/>
        <v>#DIV/0!</v>
      </c>
      <c r="F170">
        <v>10.6</v>
      </c>
      <c r="H170">
        <v>5500</v>
      </c>
      <c r="I170">
        <v>100</v>
      </c>
      <c r="J170">
        <f t="shared" si="59"/>
        <v>1142.1733199999999</v>
      </c>
      <c r="K170">
        <v>150</v>
      </c>
      <c r="L170">
        <f t="shared" si="60"/>
        <v>1293.0264</v>
      </c>
      <c r="M170">
        <v>50</v>
      </c>
      <c r="N170">
        <v>30</v>
      </c>
      <c r="O170">
        <v>910</v>
      </c>
      <c r="P170">
        <f t="shared" si="61"/>
        <v>183.50399440000001</v>
      </c>
      <c r="Q170">
        <v>100</v>
      </c>
      <c r="S170">
        <f t="shared" si="62"/>
        <v>9458.7037144000005</v>
      </c>
      <c r="T170">
        <f>U170-J170-K170</f>
        <v>9483.0466799999995</v>
      </c>
      <c r="U170">
        <v>10775.22</v>
      </c>
      <c r="V170" s="46">
        <f t="shared" si="64"/>
        <v>1316.5162855999988</v>
      </c>
      <c r="X170"/>
      <c r="Y170">
        <v>0</v>
      </c>
      <c r="Z170">
        <f t="shared" si="54"/>
        <v>0</v>
      </c>
      <c r="AA170" s="130"/>
      <c r="AC170" s="8">
        <f t="shared" si="63"/>
        <v>0</v>
      </c>
      <c r="AD170" s="135">
        <v>0</v>
      </c>
      <c r="AE170" s="15">
        <f t="shared" si="57"/>
        <v>0</v>
      </c>
      <c r="AF170" s="43">
        <f t="shared" si="58"/>
        <v>0</v>
      </c>
      <c r="AT170" s="1">
        <v>6</v>
      </c>
      <c r="AU170" s="27">
        <f t="shared" si="68"/>
        <v>0.15400000000000003</v>
      </c>
      <c r="AV170" s="27">
        <f t="shared" si="69"/>
        <v>0.92400000000000015</v>
      </c>
      <c r="AW170" s="35">
        <f t="shared" si="70"/>
        <v>0</v>
      </c>
      <c r="AX170">
        <v>0</v>
      </c>
      <c r="AZ170">
        <v>0</v>
      </c>
      <c r="CQ170">
        <v>1</v>
      </c>
      <c r="DP170" t="s">
        <v>161</v>
      </c>
    </row>
    <row r="171" spans="1:120" ht="12" customHeight="1" x14ac:dyDescent="0.2">
      <c r="C171" t="s">
        <v>245</v>
      </c>
      <c r="D171" s="19">
        <f t="shared" si="65"/>
        <v>76.017857142857125</v>
      </c>
      <c r="E171" s="19" t="e">
        <f t="shared" si="72"/>
        <v>#DIV/0!</v>
      </c>
      <c r="F171">
        <v>15.5</v>
      </c>
      <c r="H171">
        <v>2000</v>
      </c>
      <c r="I171">
        <v>100</v>
      </c>
      <c r="J171">
        <f t="shared" si="59"/>
        <v>1038.5</v>
      </c>
      <c r="K171">
        <v>150</v>
      </c>
      <c r="L171">
        <f t="shared" si="60"/>
        <v>804</v>
      </c>
      <c r="M171">
        <v>50</v>
      </c>
      <c r="N171">
        <v>30</v>
      </c>
      <c r="O171">
        <v>420</v>
      </c>
      <c r="P171">
        <f t="shared" si="61"/>
        <v>91.850000000000009</v>
      </c>
      <c r="Q171">
        <v>100</v>
      </c>
      <c r="S171">
        <f t="shared" si="62"/>
        <v>4784.3500000000004</v>
      </c>
      <c r="T171">
        <f>U171-J171-K171</f>
        <v>5511.5</v>
      </c>
      <c r="U171" s="14">
        <v>6700</v>
      </c>
      <c r="V171" s="46">
        <f t="shared" si="64"/>
        <v>1915.6499999999996</v>
      </c>
      <c r="Y171">
        <v>0</v>
      </c>
      <c r="Z171">
        <f t="shared" si="54"/>
        <v>0</v>
      </c>
      <c r="AA171" s="130">
        <v>315</v>
      </c>
      <c r="AC171" s="8">
        <f t="shared" si="63"/>
        <v>-315</v>
      </c>
      <c r="AD171" s="135">
        <v>0</v>
      </c>
      <c r="AE171" s="15">
        <f t="shared" si="57"/>
        <v>0</v>
      </c>
      <c r="AF171" s="43">
        <f t="shared" si="58"/>
        <v>-315</v>
      </c>
      <c r="AT171" s="1"/>
      <c r="AU171" s="27">
        <f t="shared" si="68"/>
        <v>0.15400000000000003</v>
      </c>
      <c r="AV171" s="27">
        <f t="shared" si="69"/>
        <v>0</v>
      </c>
      <c r="AW171" s="35">
        <f t="shared" si="70"/>
        <v>0</v>
      </c>
    </row>
    <row r="172" spans="1:120" ht="12" customHeight="1" x14ac:dyDescent="0.2">
      <c r="C172" t="s">
        <v>189</v>
      </c>
      <c r="D172" s="19" t="e">
        <f t="shared" si="65"/>
        <v>#DIV/0!</v>
      </c>
      <c r="E172" s="19" t="e">
        <f t="shared" si="72"/>
        <v>#DIV/0!</v>
      </c>
      <c r="J172">
        <f t="shared" si="59"/>
        <v>0</v>
      </c>
      <c r="K172">
        <v>150</v>
      </c>
      <c r="L172">
        <f t="shared" si="60"/>
        <v>0</v>
      </c>
      <c r="P172">
        <f t="shared" si="61"/>
        <v>3</v>
      </c>
      <c r="S172">
        <f t="shared" si="62"/>
        <v>153</v>
      </c>
      <c r="V172" s="46">
        <f t="shared" si="64"/>
        <v>-153</v>
      </c>
      <c r="Z172">
        <f t="shared" si="54"/>
        <v>0</v>
      </c>
      <c r="AA172" s="130"/>
      <c r="AC172" s="8">
        <f t="shared" si="63"/>
        <v>0</v>
      </c>
      <c r="AD172" s="135">
        <v>0</v>
      </c>
      <c r="AE172" s="15">
        <f t="shared" si="57"/>
        <v>0</v>
      </c>
      <c r="AF172" s="43">
        <f t="shared" si="58"/>
        <v>0</v>
      </c>
      <c r="AT172" s="1"/>
      <c r="AU172" s="27">
        <f t="shared" si="68"/>
        <v>0.15400000000000003</v>
      </c>
      <c r="AV172" s="27">
        <f t="shared" si="69"/>
        <v>0</v>
      </c>
      <c r="AW172" s="35">
        <f t="shared" si="70"/>
        <v>0</v>
      </c>
    </row>
    <row r="173" spans="1:120" ht="12" customHeight="1" x14ac:dyDescent="0.2">
      <c r="J173">
        <f t="shared" si="59"/>
        <v>0</v>
      </c>
      <c r="K173">
        <v>150</v>
      </c>
      <c r="L173">
        <f t="shared" si="60"/>
        <v>0</v>
      </c>
      <c r="P173">
        <f t="shared" si="61"/>
        <v>3</v>
      </c>
      <c r="S173">
        <f t="shared" si="62"/>
        <v>153</v>
      </c>
      <c r="V173" s="46">
        <f t="shared" si="64"/>
        <v>-153</v>
      </c>
      <c r="Z173">
        <f t="shared" si="54"/>
        <v>0</v>
      </c>
      <c r="AA173" s="130"/>
      <c r="AC173" s="8">
        <f t="shared" si="63"/>
        <v>0</v>
      </c>
      <c r="AD173" s="135"/>
      <c r="AE173" s="15">
        <f t="shared" si="57"/>
        <v>0</v>
      </c>
      <c r="AF173" s="43">
        <f t="shared" si="58"/>
        <v>0</v>
      </c>
      <c r="AT173" s="1"/>
      <c r="AU173" s="27">
        <f t="shared" si="68"/>
        <v>0.15400000000000003</v>
      </c>
      <c r="AV173" s="27">
        <f t="shared" si="69"/>
        <v>0</v>
      </c>
      <c r="AW173" s="35">
        <f t="shared" si="70"/>
        <v>0</v>
      </c>
    </row>
    <row r="174" spans="1:120" ht="12" customHeight="1" x14ac:dyDescent="0.2">
      <c r="A174">
        <v>20</v>
      </c>
      <c r="C174" t="s">
        <v>163</v>
      </c>
      <c r="D174">
        <f>V174/((H174+I174+O174)/100)</f>
        <v>4.3575537190082656</v>
      </c>
      <c r="E174" t="e">
        <f>AC174/AD174/(S174/100)</f>
        <v>#DIV/0!</v>
      </c>
      <c r="F174">
        <v>15.6</v>
      </c>
      <c r="H174">
        <v>300</v>
      </c>
      <c r="I174">
        <v>35</v>
      </c>
      <c r="J174">
        <f t="shared" si="59"/>
        <v>209.04</v>
      </c>
      <c r="K174">
        <v>150</v>
      </c>
      <c r="L174">
        <f t="shared" si="60"/>
        <v>160.79999999999998</v>
      </c>
      <c r="M174">
        <v>35</v>
      </c>
      <c r="N174">
        <v>30</v>
      </c>
      <c r="O174">
        <v>270</v>
      </c>
      <c r="P174">
        <f t="shared" si="61"/>
        <v>23.796799999999998</v>
      </c>
      <c r="Q174">
        <v>100</v>
      </c>
      <c r="S174">
        <f t="shared" si="62"/>
        <v>1313.6368</v>
      </c>
      <c r="T174">
        <f>U174-J174-K174</f>
        <v>980.96</v>
      </c>
      <c r="U174">
        <v>1340</v>
      </c>
      <c r="V174" s="46">
        <f t="shared" si="64"/>
        <v>26.363200000000006</v>
      </c>
      <c r="X174"/>
      <c r="Z174">
        <f t="shared" si="54"/>
        <v>0</v>
      </c>
      <c r="AA174" s="130"/>
      <c r="AC174" s="8">
        <f t="shared" si="63"/>
        <v>0</v>
      </c>
      <c r="AD174" s="135">
        <v>0</v>
      </c>
      <c r="AE174" s="15">
        <f t="shared" si="57"/>
        <v>0</v>
      </c>
      <c r="AF174" s="43">
        <f t="shared" si="58"/>
        <v>0</v>
      </c>
      <c r="AT174" s="1">
        <v>6</v>
      </c>
      <c r="AU174" s="27">
        <f t="shared" si="68"/>
        <v>0.15400000000000003</v>
      </c>
      <c r="AV174" s="27">
        <f t="shared" si="69"/>
        <v>0.92400000000000015</v>
      </c>
      <c r="AW174" s="35">
        <f t="shared" si="70"/>
        <v>0</v>
      </c>
      <c r="AX174">
        <v>0</v>
      </c>
      <c r="AZ174">
        <v>0</v>
      </c>
      <c r="CW174" t="s">
        <v>84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P174" t="s">
        <v>164</v>
      </c>
    </row>
    <row r="175" spans="1:120" ht="12" customHeight="1" x14ac:dyDescent="0.2">
      <c r="C175" t="s">
        <v>202</v>
      </c>
      <c r="D175">
        <f>V175/((H175+I175+O175)/100)</f>
        <v>37.880613084112156</v>
      </c>
      <c r="E175" t="e">
        <f>AC175/AD175/(S175/100)</f>
        <v>#DIV/0!</v>
      </c>
      <c r="F175">
        <v>15.6</v>
      </c>
      <c r="H175">
        <v>250</v>
      </c>
      <c r="I175">
        <v>35</v>
      </c>
      <c r="J175">
        <f t="shared" si="59"/>
        <v>231.81599999999997</v>
      </c>
      <c r="K175">
        <v>150</v>
      </c>
      <c r="L175">
        <f t="shared" si="60"/>
        <v>178.32</v>
      </c>
      <c r="M175">
        <v>35</v>
      </c>
      <c r="N175">
        <v>30</v>
      </c>
      <c r="O175">
        <v>250</v>
      </c>
      <c r="P175">
        <f t="shared" si="61"/>
        <v>23.202719999999999</v>
      </c>
      <c r="Q175">
        <v>100</v>
      </c>
      <c r="S175">
        <f t="shared" si="62"/>
        <v>1283.33872</v>
      </c>
      <c r="U175" s="14">
        <v>1486</v>
      </c>
      <c r="V175" s="46">
        <f t="shared" si="64"/>
        <v>202.66128000000003</v>
      </c>
      <c r="Z175">
        <f t="shared" si="54"/>
        <v>0</v>
      </c>
      <c r="AA175" s="130"/>
      <c r="AC175" s="8">
        <f t="shared" si="63"/>
        <v>0</v>
      </c>
      <c r="AD175" s="135">
        <v>0</v>
      </c>
      <c r="AE175" s="15">
        <f t="shared" si="57"/>
        <v>0</v>
      </c>
      <c r="AF175" s="43">
        <f t="shared" si="58"/>
        <v>0</v>
      </c>
      <c r="AT175" s="1"/>
      <c r="AU175" s="27">
        <f t="shared" si="68"/>
        <v>0.15400000000000003</v>
      </c>
      <c r="AV175" s="27">
        <f t="shared" si="69"/>
        <v>0</v>
      </c>
      <c r="AW175" s="35">
        <f t="shared" si="70"/>
        <v>0</v>
      </c>
    </row>
    <row r="176" spans="1:120" ht="12" customHeight="1" x14ac:dyDescent="0.2">
      <c r="C176" t="s">
        <v>265</v>
      </c>
      <c r="E176" t="e">
        <f>AC176/AD176/(S176/100)</f>
        <v>#DIV/0!</v>
      </c>
      <c r="J176">
        <f t="shared" si="59"/>
        <v>0</v>
      </c>
      <c r="K176">
        <v>150</v>
      </c>
      <c r="L176">
        <f t="shared" si="60"/>
        <v>0</v>
      </c>
      <c r="P176">
        <f t="shared" si="61"/>
        <v>3</v>
      </c>
      <c r="S176">
        <f t="shared" si="62"/>
        <v>153</v>
      </c>
      <c r="V176" s="46">
        <f t="shared" si="64"/>
        <v>-153</v>
      </c>
      <c r="Z176">
        <f t="shared" si="54"/>
        <v>0</v>
      </c>
      <c r="AA176" s="130"/>
      <c r="AC176" s="8">
        <f t="shared" si="63"/>
        <v>0</v>
      </c>
      <c r="AD176" s="135">
        <v>0</v>
      </c>
      <c r="AE176" s="15">
        <f t="shared" si="57"/>
        <v>0</v>
      </c>
      <c r="AF176" s="43">
        <f t="shared" si="58"/>
        <v>0</v>
      </c>
      <c r="AT176" s="1"/>
      <c r="AU176" s="27">
        <f t="shared" si="68"/>
        <v>0.15400000000000003</v>
      </c>
      <c r="AV176" s="27">
        <f t="shared" si="69"/>
        <v>0</v>
      </c>
      <c r="AW176" s="35">
        <f t="shared" si="70"/>
        <v>0</v>
      </c>
    </row>
    <row r="177" spans="1:120" ht="12" customHeight="1" x14ac:dyDescent="0.2">
      <c r="C177" s="138" t="s">
        <v>198</v>
      </c>
      <c r="J177">
        <f t="shared" si="59"/>
        <v>0</v>
      </c>
      <c r="K177">
        <v>150</v>
      </c>
      <c r="L177">
        <f t="shared" si="60"/>
        <v>0</v>
      </c>
      <c r="P177">
        <f t="shared" si="61"/>
        <v>3</v>
      </c>
      <c r="S177">
        <f t="shared" si="62"/>
        <v>153</v>
      </c>
      <c r="V177" s="46">
        <f t="shared" si="64"/>
        <v>-153</v>
      </c>
      <c r="Z177">
        <f t="shared" si="54"/>
        <v>0</v>
      </c>
      <c r="AA177" s="130">
        <v>0</v>
      </c>
      <c r="AC177" s="8">
        <f t="shared" si="63"/>
        <v>0</v>
      </c>
      <c r="AD177" s="135">
        <v>0</v>
      </c>
      <c r="AE177" s="15">
        <f t="shared" si="57"/>
        <v>0</v>
      </c>
      <c r="AF177" s="43">
        <f t="shared" si="58"/>
        <v>0</v>
      </c>
      <c r="AT177" s="1"/>
      <c r="AU177" s="27">
        <f t="shared" si="68"/>
        <v>0.15400000000000003</v>
      </c>
      <c r="AV177" s="27">
        <f t="shared" si="69"/>
        <v>0</v>
      </c>
      <c r="AW177" s="35">
        <f t="shared" si="70"/>
        <v>0</v>
      </c>
    </row>
    <row r="178" spans="1:120" ht="12" customHeight="1" x14ac:dyDescent="0.2">
      <c r="C178" t="s">
        <v>264</v>
      </c>
      <c r="J178">
        <f t="shared" si="59"/>
        <v>0</v>
      </c>
      <c r="K178">
        <v>150</v>
      </c>
      <c r="L178">
        <f t="shared" si="60"/>
        <v>0</v>
      </c>
      <c r="P178">
        <f t="shared" si="61"/>
        <v>3</v>
      </c>
      <c r="S178">
        <f t="shared" si="62"/>
        <v>153</v>
      </c>
      <c r="V178" s="46">
        <f t="shared" si="64"/>
        <v>-153</v>
      </c>
      <c r="Z178">
        <f t="shared" si="54"/>
        <v>0</v>
      </c>
      <c r="AA178" s="130"/>
      <c r="AC178" s="8">
        <f t="shared" si="63"/>
        <v>0</v>
      </c>
      <c r="AD178" s="135">
        <v>0</v>
      </c>
      <c r="AE178" s="15">
        <f t="shared" si="57"/>
        <v>0</v>
      </c>
      <c r="AF178" s="43">
        <f t="shared" si="58"/>
        <v>0</v>
      </c>
      <c r="AT178" s="1"/>
      <c r="AU178" s="27">
        <f t="shared" si="68"/>
        <v>0.15400000000000003</v>
      </c>
      <c r="AV178" s="27">
        <f t="shared" si="69"/>
        <v>0</v>
      </c>
      <c r="AW178" s="35">
        <f t="shared" si="70"/>
        <v>0</v>
      </c>
    </row>
    <row r="179" spans="1:120" ht="12" customHeight="1" x14ac:dyDescent="0.2">
      <c r="A179">
        <v>11</v>
      </c>
      <c r="C179" t="s">
        <v>165</v>
      </c>
      <c r="D179">
        <f>V179/((H179+I179+O179)/100)</f>
        <v>-1.30390106183636</v>
      </c>
      <c r="E179" t="e">
        <f>AC179/AD179/(S179/100)</f>
        <v>#DIV/0!</v>
      </c>
      <c r="F179">
        <v>7.6</v>
      </c>
      <c r="H179">
        <v>15000</v>
      </c>
      <c r="I179">
        <v>100</v>
      </c>
      <c r="J179">
        <f t="shared" si="59"/>
        <v>1563.1679999999999</v>
      </c>
      <c r="K179">
        <v>150</v>
      </c>
      <c r="L179">
        <f t="shared" si="60"/>
        <v>2468.16</v>
      </c>
      <c r="M179">
        <v>50</v>
      </c>
      <c r="N179">
        <v>30</v>
      </c>
      <c r="O179">
        <v>910</v>
      </c>
      <c r="P179">
        <f t="shared" si="61"/>
        <v>405.42656000000005</v>
      </c>
      <c r="Q179">
        <v>100</v>
      </c>
      <c r="S179">
        <f t="shared" si="62"/>
        <v>20776.754560000001</v>
      </c>
      <c r="T179">
        <f>U179-J179-K179</f>
        <v>18854.831999999999</v>
      </c>
      <c r="U179">
        <v>20568</v>
      </c>
      <c r="V179" s="46">
        <f t="shared" si="64"/>
        <v>-208.75456000000122</v>
      </c>
      <c r="X179"/>
      <c r="Z179">
        <f t="shared" si="54"/>
        <v>0</v>
      </c>
      <c r="AA179" s="130"/>
      <c r="AC179" s="8">
        <f t="shared" si="63"/>
        <v>0</v>
      </c>
      <c r="AD179" s="135">
        <v>0</v>
      </c>
      <c r="AE179" s="15">
        <f t="shared" si="57"/>
        <v>0</v>
      </c>
      <c r="AF179" s="43">
        <f t="shared" si="58"/>
        <v>0</v>
      </c>
      <c r="AT179" s="1">
        <v>6</v>
      </c>
      <c r="AU179" s="27">
        <f t="shared" si="68"/>
        <v>0.15400000000000003</v>
      </c>
      <c r="AV179" s="27">
        <f t="shared" si="69"/>
        <v>0.92400000000000015</v>
      </c>
      <c r="AW179" s="35">
        <f t="shared" si="70"/>
        <v>0</v>
      </c>
      <c r="AX179">
        <v>0</v>
      </c>
      <c r="AZ179">
        <v>0</v>
      </c>
      <c r="DP179" t="s">
        <v>166</v>
      </c>
    </row>
    <row r="180" spans="1:120" ht="12" customHeight="1" x14ac:dyDescent="0.2">
      <c r="J180">
        <f t="shared" si="59"/>
        <v>0</v>
      </c>
      <c r="K180">
        <v>150</v>
      </c>
      <c r="L180">
        <f t="shared" si="60"/>
        <v>0</v>
      </c>
      <c r="P180">
        <f t="shared" si="61"/>
        <v>3</v>
      </c>
      <c r="S180">
        <f t="shared" si="62"/>
        <v>153</v>
      </c>
      <c r="V180" s="46">
        <f t="shared" si="64"/>
        <v>-153</v>
      </c>
      <c r="Z180">
        <f t="shared" si="54"/>
        <v>0</v>
      </c>
      <c r="AA180" s="130"/>
      <c r="AC180" s="8">
        <f t="shared" si="63"/>
        <v>0</v>
      </c>
      <c r="AD180" s="135"/>
      <c r="AE180" s="15">
        <f t="shared" si="57"/>
        <v>0</v>
      </c>
      <c r="AF180" s="43">
        <f t="shared" si="58"/>
        <v>0</v>
      </c>
      <c r="AT180" s="1"/>
      <c r="AU180" s="27">
        <f t="shared" si="68"/>
        <v>0.15400000000000003</v>
      </c>
      <c r="AV180" s="27">
        <f t="shared" si="69"/>
        <v>0</v>
      </c>
      <c r="AW180" s="35">
        <f t="shared" si="70"/>
        <v>0</v>
      </c>
    </row>
    <row r="181" spans="1:120" ht="12" customHeight="1" x14ac:dyDescent="0.2">
      <c r="C181" t="s">
        <v>191</v>
      </c>
      <c r="J181">
        <f t="shared" si="59"/>
        <v>0</v>
      </c>
      <c r="K181">
        <v>150</v>
      </c>
      <c r="L181">
        <f t="shared" si="60"/>
        <v>0</v>
      </c>
      <c r="P181">
        <f t="shared" si="61"/>
        <v>3</v>
      </c>
      <c r="S181">
        <f t="shared" si="62"/>
        <v>153</v>
      </c>
      <c r="V181" s="46">
        <f t="shared" si="64"/>
        <v>-153</v>
      </c>
      <c r="Z181">
        <f t="shared" si="54"/>
        <v>0</v>
      </c>
      <c r="AA181" s="130">
        <v>0</v>
      </c>
      <c r="AC181" s="8">
        <f t="shared" si="63"/>
        <v>0</v>
      </c>
      <c r="AD181" s="135"/>
      <c r="AE181" s="15">
        <f t="shared" si="57"/>
        <v>0</v>
      </c>
      <c r="AF181" s="43">
        <f t="shared" si="58"/>
        <v>0</v>
      </c>
      <c r="AT181" s="1"/>
      <c r="AU181" s="27">
        <f t="shared" si="68"/>
        <v>0.15400000000000003</v>
      </c>
      <c r="AV181" s="27">
        <f t="shared" si="69"/>
        <v>0</v>
      </c>
      <c r="AW181" s="35">
        <f t="shared" si="70"/>
        <v>0</v>
      </c>
    </row>
    <row r="182" spans="1:120" ht="12" customHeight="1" x14ac:dyDescent="0.2">
      <c r="J182">
        <f t="shared" si="59"/>
        <v>0</v>
      </c>
      <c r="K182">
        <v>150</v>
      </c>
      <c r="L182">
        <f t="shared" si="60"/>
        <v>0</v>
      </c>
      <c r="P182">
        <f t="shared" si="61"/>
        <v>3</v>
      </c>
      <c r="S182">
        <f t="shared" si="62"/>
        <v>153</v>
      </c>
      <c r="V182" s="46">
        <f t="shared" si="64"/>
        <v>-153</v>
      </c>
      <c r="Z182">
        <f t="shared" si="54"/>
        <v>0</v>
      </c>
      <c r="AA182" s="130"/>
      <c r="AC182" s="8">
        <f t="shared" si="63"/>
        <v>0</v>
      </c>
      <c r="AD182" s="135"/>
      <c r="AE182" s="15">
        <f t="shared" si="57"/>
        <v>0</v>
      </c>
      <c r="AF182" s="43">
        <f t="shared" si="58"/>
        <v>0</v>
      </c>
      <c r="AT182" s="1"/>
      <c r="AU182" s="27">
        <f t="shared" si="68"/>
        <v>0.15400000000000003</v>
      </c>
      <c r="AV182" s="27">
        <f t="shared" si="69"/>
        <v>0</v>
      </c>
      <c r="AW182" s="35">
        <f t="shared" si="70"/>
        <v>0</v>
      </c>
    </row>
    <row r="183" spans="1:120" ht="12" customHeight="1" x14ac:dyDescent="0.2">
      <c r="C183" s="23" t="s">
        <v>236</v>
      </c>
      <c r="D183" t="e">
        <f>V183/((H183+I183+O183)/100)</f>
        <v>#DIV/0!</v>
      </c>
      <c r="E183" t="e">
        <f>AC183/AD183/(S183/100)</f>
        <v>#DIV/0!</v>
      </c>
      <c r="J183">
        <f t="shared" si="59"/>
        <v>0</v>
      </c>
      <c r="K183">
        <v>150</v>
      </c>
      <c r="L183">
        <f t="shared" si="60"/>
        <v>0</v>
      </c>
      <c r="P183">
        <f t="shared" si="61"/>
        <v>3</v>
      </c>
      <c r="S183">
        <f t="shared" si="62"/>
        <v>153</v>
      </c>
      <c r="T183">
        <f>U183-J183-K183</f>
        <v>-150</v>
      </c>
      <c r="U183">
        <v>0</v>
      </c>
      <c r="V183" s="46">
        <f t="shared" si="64"/>
        <v>-153</v>
      </c>
      <c r="X183"/>
      <c r="Z183">
        <f t="shared" si="54"/>
        <v>0</v>
      </c>
      <c r="AA183" s="130">
        <v>0</v>
      </c>
      <c r="AC183" s="8">
        <f t="shared" si="63"/>
        <v>0</v>
      </c>
      <c r="AD183" s="135">
        <v>0</v>
      </c>
      <c r="AE183" s="15">
        <f t="shared" si="57"/>
        <v>0</v>
      </c>
      <c r="AF183" s="43">
        <f t="shared" si="58"/>
        <v>0</v>
      </c>
      <c r="AT183" s="1"/>
      <c r="AU183" s="27">
        <f t="shared" si="68"/>
        <v>0.15400000000000003</v>
      </c>
      <c r="AV183" s="27">
        <f t="shared" si="69"/>
        <v>0</v>
      </c>
      <c r="AW183" s="35">
        <f t="shared" si="70"/>
        <v>0</v>
      </c>
    </row>
    <row r="184" spans="1:120" ht="12" customHeight="1" x14ac:dyDescent="0.2">
      <c r="J184">
        <f t="shared" si="59"/>
        <v>0</v>
      </c>
      <c r="K184">
        <v>150</v>
      </c>
      <c r="L184">
        <f t="shared" si="60"/>
        <v>0</v>
      </c>
      <c r="P184">
        <f t="shared" si="61"/>
        <v>3</v>
      </c>
      <c r="S184">
        <f t="shared" si="62"/>
        <v>153</v>
      </c>
      <c r="V184" s="46">
        <f t="shared" si="64"/>
        <v>-153</v>
      </c>
      <c r="Z184">
        <f t="shared" si="54"/>
        <v>0</v>
      </c>
      <c r="AA184" s="130"/>
      <c r="AC184" s="8">
        <f t="shared" si="63"/>
        <v>0</v>
      </c>
      <c r="AD184" s="135"/>
      <c r="AE184" s="15">
        <f t="shared" si="57"/>
        <v>0</v>
      </c>
      <c r="AF184" s="43">
        <f t="shared" si="58"/>
        <v>0</v>
      </c>
      <c r="AT184" s="1"/>
      <c r="AU184" s="27">
        <f t="shared" si="68"/>
        <v>0.15400000000000003</v>
      </c>
      <c r="AV184" s="27">
        <f t="shared" si="69"/>
        <v>0</v>
      </c>
      <c r="AW184" s="35">
        <f t="shared" si="70"/>
        <v>0</v>
      </c>
    </row>
    <row r="185" spans="1:120" ht="12" customHeight="1" x14ac:dyDescent="0.2">
      <c r="C185" s="23" t="s">
        <v>250</v>
      </c>
      <c r="F185">
        <v>15.6</v>
      </c>
      <c r="H185">
        <v>2800</v>
      </c>
      <c r="I185">
        <v>100</v>
      </c>
      <c r="J185">
        <f t="shared" si="59"/>
        <v>1248</v>
      </c>
      <c r="K185">
        <v>150</v>
      </c>
      <c r="L185">
        <f t="shared" si="60"/>
        <v>960</v>
      </c>
      <c r="M185">
        <v>50</v>
      </c>
      <c r="N185">
        <v>30</v>
      </c>
      <c r="O185">
        <v>910</v>
      </c>
      <c r="P185">
        <f t="shared" si="61"/>
        <v>124.96000000000001</v>
      </c>
      <c r="Q185">
        <v>100</v>
      </c>
      <c r="S185">
        <f t="shared" si="62"/>
        <v>6472.96</v>
      </c>
      <c r="U185" s="14">
        <v>8000</v>
      </c>
      <c r="V185" s="46">
        <f t="shared" si="64"/>
        <v>1527.04</v>
      </c>
      <c r="Y185">
        <v>0</v>
      </c>
      <c r="Z185">
        <f t="shared" si="54"/>
        <v>0</v>
      </c>
      <c r="AA185" s="130"/>
      <c r="AC185" s="8">
        <f t="shared" si="63"/>
        <v>0</v>
      </c>
      <c r="AD185" s="135">
        <v>0</v>
      </c>
      <c r="AE185" s="15">
        <f t="shared" si="57"/>
        <v>0</v>
      </c>
      <c r="AF185" s="43">
        <f t="shared" si="58"/>
        <v>0</v>
      </c>
      <c r="AT185" s="1"/>
      <c r="AU185" s="27">
        <f t="shared" si="68"/>
        <v>0.15400000000000003</v>
      </c>
      <c r="AV185" s="27">
        <f t="shared" si="69"/>
        <v>0</v>
      </c>
      <c r="AW185" s="35">
        <f t="shared" si="70"/>
        <v>0</v>
      </c>
    </row>
    <row r="186" spans="1:120" ht="12" customHeight="1" x14ac:dyDescent="0.2">
      <c r="J186">
        <f t="shared" si="59"/>
        <v>0</v>
      </c>
      <c r="K186">
        <v>150</v>
      </c>
      <c r="L186">
        <f t="shared" si="60"/>
        <v>0</v>
      </c>
      <c r="P186">
        <f t="shared" si="61"/>
        <v>3</v>
      </c>
      <c r="S186">
        <f t="shared" si="62"/>
        <v>153</v>
      </c>
      <c r="V186" s="46">
        <f t="shared" si="64"/>
        <v>-153</v>
      </c>
      <c r="Z186">
        <f t="shared" si="54"/>
        <v>0</v>
      </c>
      <c r="AA186" s="130">
        <v>0</v>
      </c>
      <c r="AC186" s="8">
        <f t="shared" si="63"/>
        <v>0</v>
      </c>
      <c r="AD186" s="135"/>
      <c r="AE186" s="15">
        <f t="shared" si="57"/>
        <v>0</v>
      </c>
      <c r="AF186" s="43">
        <f t="shared" si="58"/>
        <v>0</v>
      </c>
      <c r="AT186" s="1"/>
      <c r="AU186" s="27">
        <f t="shared" si="68"/>
        <v>0.15400000000000003</v>
      </c>
      <c r="AV186" s="27">
        <f t="shared" si="69"/>
        <v>0</v>
      </c>
      <c r="AW186" s="35">
        <f t="shared" si="70"/>
        <v>0</v>
      </c>
    </row>
    <row r="187" spans="1:120" ht="12" customHeight="1" x14ac:dyDescent="0.2">
      <c r="C187" t="s">
        <v>20</v>
      </c>
      <c r="D187">
        <f>V187/((H187+I187+O187)/100)</f>
        <v>21.831917258566982</v>
      </c>
      <c r="E187" t="e">
        <f>AC187/AD187/(S187/100)</f>
        <v>#DIV/0!</v>
      </c>
      <c r="F187">
        <v>10.6</v>
      </c>
      <c r="H187">
        <v>15000</v>
      </c>
      <c r="I187">
        <v>50</v>
      </c>
      <c r="J187">
        <f t="shared" si="59"/>
        <v>2783.9839999999995</v>
      </c>
      <c r="K187">
        <v>150</v>
      </c>
      <c r="L187">
        <f t="shared" si="60"/>
        <v>3151.68</v>
      </c>
      <c r="M187">
        <v>50</v>
      </c>
      <c r="N187">
        <v>30</v>
      </c>
      <c r="O187">
        <v>1000</v>
      </c>
      <c r="P187">
        <f t="shared" si="61"/>
        <v>444.31328000000002</v>
      </c>
      <c r="Q187">
        <v>100</v>
      </c>
      <c r="S187">
        <f t="shared" si="62"/>
        <v>22759.977279999999</v>
      </c>
      <c r="T187">
        <f>U187-J187-K187</f>
        <v>23330.016</v>
      </c>
      <c r="U187">
        <v>26264</v>
      </c>
      <c r="V187" s="46">
        <f t="shared" si="64"/>
        <v>3504.0227200000008</v>
      </c>
      <c r="X187"/>
      <c r="Z187">
        <f t="shared" si="54"/>
        <v>0</v>
      </c>
      <c r="AA187" s="130"/>
      <c r="AC187" s="8">
        <f t="shared" si="63"/>
        <v>0</v>
      </c>
      <c r="AD187" s="135">
        <v>0</v>
      </c>
      <c r="AE187" s="15">
        <f t="shared" si="57"/>
        <v>0</v>
      </c>
      <c r="AF187" s="43">
        <f t="shared" si="58"/>
        <v>0</v>
      </c>
      <c r="AT187" s="1">
        <v>6</v>
      </c>
      <c r="AU187" s="27">
        <f t="shared" si="68"/>
        <v>0.15400000000000003</v>
      </c>
      <c r="AV187" s="27">
        <f t="shared" si="69"/>
        <v>0.92400000000000015</v>
      </c>
      <c r="AW187" s="35">
        <f t="shared" si="70"/>
        <v>0</v>
      </c>
    </row>
    <row r="188" spans="1:120" ht="12" customHeight="1" x14ac:dyDescent="0.2">
      <c r="D188" t="e">
        <f t="shared" ref="D188:D218" si="73">V188/((H188+I188+O188)/100)</f>
        <v>#DIV/0!</v>
      </c>
      <c r="E188" t="e">
        <f t="shared" ref="E188:E218" si="74">AC188/AD188/(S188/100)</f>
        <v>#DIV/0!</v>
      </c>
      <c r="J188">
        <f t="shared" si="59"/>
        <v>0</v>
      </c>
      <c r="K188">
        <v>150</v>
      </c>
      <c r="L188">
        <f t="shared" si="60"/>
        <v>0</v>
      </c>
      <c r="P188">
        <f t="shared" si="61"/>
        <v>3</v>
      </c>
      <c r="S188">
        <f t="shared" si="62"/>
        <v>153</v>
      </c>
      <c r="T188">
        <f t="shared" ref="T188:T192" si="75">U188-J188-K188</f>
        <v>-150</v>
      </c>
      <c r="U188"/>
      <c r="V188" s="46">
        <f t="shared" si="64"/>
        <v>-153</v>
      </c>
      <c r="X188"/>
      <c r="Z188">
        <f t="shared" si="54"/>
        <v>0</v>
      </c>
      <c r="AA188" s="130"/>
      <c r="AC188" s="8">
        <f t="shared" si="63"/>
        <v>0</v>
      </c>
      <c r="AD188" s="135"/>
      <c r="AE188" s="15">
        <f t="shared" si="57"/>
        <v>0</v>
      </c>
      <c r="AF188" s="43">
        <f t="shared" si="58"/>
        <v>0</v>
      </c>
      <c r="AT188" s="1"/>
      <c r="AU188" s="27">
        <f t="shared" si="68"/>
        <v>0.15400000000000003</v>
      </c>
      <c r="AV188" s="27">
        <f t="shared" si="69"/>
        <v>0</v>
      </c>
      <c r="AW188" s="35">
        <f t="shared" si="70"/>
        <v>0</v>
      </c>
    </row>
    <row r="189" spans="1:120" ht="12" customHeight="1" x14ac:dyDescent="0.2">
      <c r="D189" t="e">
        <f t="shared" si="73"/>
        <v>#DIV/0!</v>
      </c>
      <c r="E189" t="e">
        <f t="shared" si="74"/>
        <v>#DIV/0!</v>
      </c>
      <c r="J189">
        <f t="shared" si="59"/>
        <v>0</v>
      </c>
      <c r="K189">
        <v>150</v>
      </c>
      <c r="L189">
        <f t="shared" si="60"/>
        <v>0</v>
      </c>
      <c r="P189">
        <f t="shared" si="61"/>
        <v>3</v>
      </c>
      <c r="S189">
        <f t="shared" si="62"/>
        <v>153</v>
      </c>
      <c r="T189">
        <f t="shared" si="75"/>
        <v>-150</v>
      </c>
      <c r="U189"/>
      <c r="V189" s="46">
        <f t="shared" si="64"/>
        <v>-153</v>
      </c>
      <c r="X189"/>
      <c r="Z189">
        <f t="shared" si="54"/>
        <v>0</v>
      </c>
      <c r="AA189" s="130"/>
      <c r="AC189" s="8">
        <f t="shared" si="63"/>
        <v>0</v>
      </c>
      <c r="AD189" s="135"/>
      <c r="AE189" s="15">
        <f t="shared" si="57"/>
        <v>0</v>
      </c>
      <c r="AF189" s="43">
        <f t="shared" si="58"/>
        <v>0</v>
      </c>
      <c r="AT189" s="1"/>
      <c r="AU189" s="27">
        <f t="shared" si="68"/>
        <v>0.15400000000000003</v>
      </c>
      <c r="AV189" s="27">
        <f t="shared" si="69"/>
        <v>0</v>
      </c>
      <c r="AW189" s="35">
        <f t="shared" si="70"/>
        <v>0</v>
      </c>
    </row>
    <row r="190" spans="1:120" ht="12" customHeight="1" x14ac:dyDescent="0.2">
      <c r="C190" t="s">
        <v>205</v>
      </c>
      <c r="D190" t="e">
        <f t="shared" si="73"/>
        <v>#DIV/0!</v>
      </c>
      <c r="E190" t="e">
        <f t="shared" si="74"/>
        <v>#DIV/0!</v>
      </c>
      <c r="F190">
        <v>7.6</v>
      </c>
      <c r="J190">
        <f t="shared" si="59"/>
        <v>744.8</v>
      </c>
      <c r="K190">
        <v>150</v>
      </c>
      <c r="L190">
        <f t="shared" si="60"/>
        <v>1176</v>
      </c>
      <c r="P190">
        <f t="shared" si="61"/>
        <v>41.416000000000004</v>
      </c>
      <c r="S190">
        <f t="shared" si="62"/>
        <v>2112.2160000000003</v>
      </c>
      <c r="T190">
        <f t="shared" si="75"/>
        <v>8905.2000000000007</v>
      </c>
      <c r="U190">
        <v>9800</v>
      </c>
      <c r="V190" s="46">
        <f t="shared" si="64"/>
        <v>7687.7839999999997</v>
      </c>
      <c r="X190"/>
      <c r="Z190">
        <f t="shared" si="54"/>
        <v>0</v>
      </c>
      <c r="AA190" s="130">
        <v>0</v>
      </c>
      <c r="AC190" s="8">
        <f t="shared" si="63"/>
        <v>0</v>
      </c>
      <c r="AD190" s="135">
        <v>0</v>
      </c>
      <c r="AE190" s="15">
        <f t="shared" si="57"/>
        <v>0</v>
      </c>
      <c r="AF190" s="43">
        <f t="shared" si="58"/>
        <v>0</v>
      </c>
      <c r="AT190" s="1"/>
      <c r="AU190" s="27">
        <f t="shared" si="68"/>
        <v>0.15400000000000003</v>
      </c>
      <c r="AV190" s="27">
        <f t="shared" si="69"/>
        <v>0</v>
      </c>
      <c r="AW190" s="35">
        <f t="shared" si="70"/>
        <v>0</v>
      </c>
    </row>
    <row r="191" spans="1:120" ht="12" customHeight="1" x14ac:dyDescent="0.2">
      <c r="C191" s="23" t="s">
        <v>204</v>
      </c>
      <c r="D191">
        <f t="shared" si="73"/>
        <v>36.589633268994575</v>
      </c>
      <c r="E191" t="e">
        <f t="shared" si="74"/>
        <v>#DIV/0!</v>
      </c>
      <c r="F191">
        <v>7.6</v>
      </c>
      <c r="H191">
        <v>4649</v>
      </c>
      <c r="I191">
        <v>50</v>
      </c>
      <c r="J191">
        <f t="shared" si="59"/>
        <v>782.04</v>
      </c>
      <c r="K191">
        <v>150</v>
      </c>
      <c r="L191">
        <f t="shared" si="60"/>
        <v>1234.8</v>
      </c>
      <c r="M191">
        <v>50</v>
      </c>
      <c r="N191">
        <v>30</v>
      </c>
      <c r="O191">
        <v>1000</v>
      </c>
      <c r="P191">
        <f t="shared" si="61"/>
        <v>158.91679999999999</v>
      </c>
      <c r="Q191">
        <v>100</v>
      </c>
      <c r="S191">
        <f t="shared" si="62"/>
        <v>8204.7567999999992</v>
      </c>
      <c r="T191">
        <f t="shared" si="75"/>
        <v>9357.9599999999991</v>
      </c>
      <c r="U191" s="14">
        <v>10290</v>
      </c>
      <c r="V191" s="46">
        <f t="shared" si="64"/>
        <v>2085.2432000000008</v>
      </c>
      <c r="Z191">
        <f t="shared" si="54"/>
        <v>0</v>
      </c>
      <c r="AA191" s="130"/>
      <c r="AC191" s="8">
        <f t="shared" si="63"/>
        <v>0</v>
      </c>
      <c r="AD191" s="81">
        <v>0</v>
      </c>
      <c r="AE191" s="15">
        <f t="shared" si="57"/>
        <v>0</v>
      </c>
      <c r="AF191" s="43">
        <f t="shared" si="58"/>
        <v>0</v>
      </c>
      <c r="AT191" s="1"/>
      <c r="AU191" s="27">
        <f t="shared" si="68"/>
        <v>0.15400000000000003</v>
      </c>
      <c r="AV191" s="27">
        <f t="shared" si="69"/>
        <v>0</v>
      </c>
      <c r="AW191" s="35">
        <f t="shared" si="70"/>
        <v>0</v>
      </c>
    </row>
    <row r="192" spans="1:120" ht="12" customHeight="1" x14ac:dyDescent="0.2">
      <c r="C192" s="23" t="s">
        <v>207</v>
      </c>
      <c r="D192">
        <f t="shared" si="73"/>
        <v>-3.987114590747316</v>
      </c>
      <c r="E192" t="e">
        <f t="shared" si="74"/>
        <v>#DIV/0!</v>
      </c>
      <c r="F192">
        <v>7.6</v>
      </c>
      <c r="H192">
        <v>13000</v>
      </c>
      <c r="I192">
        <v>50</v>
      </c>
      <c r="J192">
        <f t="shared" si="59"/>
        <v>1339.88</v>
      </c>
      <c r="K192">
        <v>150</v>
      </c>
      <c r="L192">
        <f t="shared" si="60"/>
        <v>2115.6</v>
      </c>
      <c r="M192">
        <v>50</v>
      </c>
      <c r="N192">
        <v>30</v>
      </c>
      <c r="O192">
        <v>1000</v>
      </c>
      <c r="P192">
        <f t="shared" si="61"/>
        <v>354.70960000000002</v>
      </c>
      <c r="Q192">
        <v>100</v>
      </c>
      <c r="S192">
        <f t="shared" si="62"/>
        <v>18190.189599999998</v>
      </c>
      <c r="T192">
        <f t="shared" si="75"/>
        <v>16140.119999999999</v>
      </c>
      <c r="U192" s="14">
        <v>17630</v>
      </c>
      <c r="V192" s="46">
        <f t="shared" si="64"/>
        <v>-560.18959999999788</v>
      </c>
      <c r="Z192">
        <f t="shared" si="54"/>
        <v>0</v>
      </c>
      <c r="AA192" s="130">
        <v>0</v>
      </c>
      <c r="AC192" s="8">
        <f t="shared" si="63"/>
        <v>0</v>
      </c>
      <c r="AD192" s="135">
        <v>0</v>
      </c>
      <c r="AE192" s="15">
        <f t="shared" si="57"/>
        <v>0</v>
      </c>
      <c r="AF192" s="43">
        <f t="shared" si="58"/>
        <v>0</v>
      </c>
      <c r="AT192" s="1"/>
      <c r="AU192" s="27">
        <f t="shared" si="68"/>
        <v>0.15400000000000003</v>
      </c>
      <c r="AV192" s="27">
        <f t="shared" si="69"/>
        <v>0</v>
      </c>
      <c r="AW192" s="35">
        <f t="shared" si="70"/>
        <v>0</v>
      </c>
    </row>
    <row r="193" spans="3:52" ht="12" customHeight="1" x14ac:dyDescent="0.2">
      <c r="C193" s="23"/>
      <c r="D193" t="e">
        <f t="shared" si="73"/>
        <v>#DIV/0!</v>
      </c>
      <c r="E193" t="e">
        <f t="shared" si="74"/>
        <v>#DIV/0!</v>
      </c>
      <c r="J193">
        <f t="shared" si="59"/>
        <v>0</v>
      </c>
      <c r="K193">
        <v>150</v>
      </c>
      <c r="L193">
        <f t="shared" si="60"/>
        <v>0</v>
      </c>
      <c r="P193">
        <f t="shared" si="61"/>
        <v>3</v>
      </c>
      <c r="S193">
        <f t="shared" si="62"/>
        <v>153</v>
      </c>
      <c r="V193" s="46">
        <f t="shared" si="64"/>
        <v>-153</v>
      </c>
      <c r="Z193">
        <f t="shared" si="54"/>
        <v>0</v>
      </c>
      <c r="AA193" s="130"/>
      <c r="AC193" s="8">
        <f t="shared" si="63"/>
        <v>0</v>
      </c>
      <c r="AD193" s="135"/>
      <c r="AE193" s="15">
        <f t="shared" si="57"/>
        <v>0</v>
      </c>
      <c r="AF193" s="43">
        <f t="shared" si="58"/>
        <v>0</v>
      </c>
      <c r="AT193" s="1"/>
      <c r="AU193" s="27">
        <f t="shared" si="68"/>
        <v>0.15400000000000003</v>
      </c>
      <c r="AV193" s="27">
        <f t="shared" si="69"/>
        <v>0</v>
      </c>
      <c r="AW193" s="35">
        <f t="shared" si="70"/>
        <v>0</v>
      </c>
    </row>
    <row r="194" spans="3:52" ht="12" customHeight="1" x14ac:dyDescent="0.2">
      <c r="C194" s="23" t="s">
        <v>235</v>
      </c>
      <c r="D194">
        <f t="shared" si="73"/>
        <v>41.450693694442123</v>
      </c>
      <c r="E194" t="e">
        <f t="shared" si="74"/>
        <v>#DIV/0!</v>
      </c>
      <c r="F194">
        <v>7.6</v>
      </c>
      <c r="H194">
        <v>10987</v>
      </c>
      <c r="I194">
        <v>50</v>
      </c>
      <c r="J194">
        <f t="shared" si="59"/>
        <v>1672</v>
      </c>
      <c r="K194">
        <v>150</v>
      </c>
      <c r="L194">
        <f t="shared" si="60"/>
        <v>2640</v>
      </c>
      <c r="M194">
        <v>50</v>
      </c>
      <c r="N194">
        <v>30</v>
      </c>
      <c r="O194">
        <v>1000</v>
      </c>
      <c r="P194">
        <f t="shared" si="61"/>
        <v>331.58</v>
      </c>
      <c r="Q194">
        <v>100</v>
      </c>
      <c r="S194">
        <f t="shared" si="62"/>
        <v>17010.580000000002</v>
      </c>
      <c r="U194" s="14">
        <v>22000</v>
      </c>
      <c r="V194" s="46">
        <f t="shared" si="64"/>
        <v>4989.4199999999983</v>
      </c>
      <c r="Z194">
        <f t="shared" si="54"/>
        <v>0</v>
      </c>
      <c r="AA194" s="130">
        <v>0</v>
      </c>
      <c r="AC194" s="8">
        <f t="shared" si="63"/>
        <v>0</v>
      </c>
      <c r="AD194" s="135">
        <v>0</v>
      </c>
      <c r="AE194" s="15">
        <f t="shared" si="57"/>
        <v>0</v>
      </c>
      <c r="AF194" s="43">
        <f t="shared" si="58"/>
        <v>0</v>
      </c>
      <c r="AT194" s="1"/>
      <c r="AU194" s="27">
        <f t="shared" si="68"/>
        <v>0.15400000000000003</v>
      </c>
      <c r="AV194" s="27">
        <f t="shared" si="69"/>
        <v>0</v>
      </c>
      <c r="AW194" s="35">
        <f t="shared" si="70"/>
        <v>0</v>
      </c>
    </row>
    <row r="195" spans="3:52" ht="12" customHeight="1" x14ac:dyDescent="0.2">
      <c r="C195" s="23"/>
      <c r="D195" t="e">
        <f t="shared" si="73"/>
        <v>#DIV/0!</v>
      </c>
      <c r="E195" t="e">
        <f t="shared" si="74"/>
        <v>#DIV/0!</v>
      </c>
      <c r="J195">
        <f t="shared" si="59"/>
        <v>0</v>
      </c>
      <c r="K195">
        <v>150</v>
      </c>
      <c r="L195">
        <f t="shared" si="60"/>
        <v>0</v>
      </c>
      <c r="P195">
        <f t="shared" si="61"/>
        <v>3</v>
      </c>
      <c r="S195">
        <f t="shared" si="62"/>
        <v>153</v>
      </c>
      <c r="V195" s="46">
        <f t="shared" si="64"/>
        <v>-153</v>
      </c>
      <c r="Z195">
        <f t="shared" ref="Z195:Z218" si="76">(S195-J195-K195)*AD195</f>
        <v>0</v>
      </c>
      <c r="AA195" s="130"/>
      <c r="AC195" s="8">
        <f t="shared" si="63"/>
        <v>0</v>
      </c>
      <c r="AD195" s="135"/>
      <c r="AE195" s="15">
        <f t="shared" si="57"/>
        <v>0</v>
      </c>
      <c r="AF195" s="43">
        <f t="shared" si="58"/>
        <v>0</v>
      </c>
      <c r="AT195" s="1"/>
      <c r="AU195" s="27">
        <f t="shared" si="68"/>
        <v>0.15400000000000003</v>
      </c>
      <c r="AV195" s="27">
        <f t="shared" si="69"/>
        <v>0</v>
      </c>
      <c r="AW195" s="35">
        <f t="shared" si="70"/>
        <v>0</v>
      </c>
    </row>
    <row r="196" spans="3:52" ht="12" customHeight="1" x14ac:dyDescent="0.2">
      <c r="C196" s="23"/>
      <c r="D196" t="e">
        <f t="shared" si="73"/>
        <v>#DIV/0!</v>
      </c>
      <c r="E196" t="e">
        <f t="shared" si="74"/>
        <v>#DIV/0!</v>
      </c>
      <c r="J196">
        <f t="shared" si="59"/>
        <v>0</v>
      </c>
      <c r="K196">
        <v>150</v>
      </c>
      <c r="L196">
        <f t="shared" si="60"/>
        <v>0</v>
      </c>
      <c r="P196">
        <f t="shared" si="61"/>
        <v>3</v>
      </c>
      <c r="S196">
        <f t="shared" si="62"/>
        <v>153</v>
      </c>
      <c r="V196" s="46">
        <f t="shared" si="64"/>
        <v>-153</v>
      </c>
      <c r="Z196">
        <f t="shared" si="76"/>
        <v>0</v>
      </c>
      <c r="AA196" s="130"/>
      <c r="AC196" s="8">
        <f t="shared" si="63"/>
        <v>0</v>
      </c>
      <c r="AD196" s="135"/>
      <c r="AE196" s="15">
        <f t="shared" si="57"/>
        <v>0</v>
      </c>
      <c r="AF196" s="43">
        <f t="shared" si="58"/>
        <v>0</v>
      </c>
      <c r="AT196" s="1"/>
      <c r="AU196" s="27">
        <f t="shared" si="68"/>
        <v>0.15400000000000003</v>
      </c>
      <c r="AV196" s="27">
        <f t="shared" si="69"/>
        <v>0</v>
      </c>
      <c r="AW196" s="35">
        <f t="shared" si="70"/>
        <v>0</v>
      </c>
    </row>
    <row r="197" spans="3:52" ht="12" customHeight="1" x14ac:dyDescent="0.2">
      <c r="C197" t="s">
        <v>183</v>
      </c>
      <c r="D197" t="e">
        <f t="shared" si="73"/>
        <v>#DIV/0!</v>
      </c>
      <c r="E197" t="e">
        <f t="shared" si="74"/>
        <v>#DIV/0!</v>
      </c>
      <c r="J197">
        <f t="shared" si="59"/>
        <v>0</v>
      </c>
      <c r="K197">
        <v>150</v>
      </c>
      <c r="L197">
        <f t="shared" si="60"/>
        <v>0</v>
      </c>
      <c r="P197">
        <f t="shared" si="61"/>
        <v>3</v>
      </c>
      <c r="S197">
        <f t="shared" si="62"/>
        <v>153</v>
      </c>
      <c r="V197" s="46">
        <f t="shared" si="64"/>
        <v>-153</v>
      </c>
      <c r="Z197">
        <f t="shared" si="76"/>
        <v>0</v>
      </c>
      <c r="AA197" s="130">
        <v>0</v>
      </c>
      <c r="AC197" s="8">
        <f t="shared" si="63"/>
        <v>0</v>
      </c>
      <c r="AD197" s="135">
        <v>0</v>
      </c>
      <c r="AE197" s="15">
        <f t="shared" si="57"/>
        <v>0</v>
      </c>
      <c r="AF197" s="43">
        <f t="shared" si="58"/>
        <v>0</v>
      </c>
      <c r="AT197" s="1"/>
      <c r="AU197" s="27">
        <f t="shared" si="68"/>
        <v>0.15400000000000003</v>
      </c>
      <c r="AV197" s="27">
        <f t="shared" si="69"/>
        <v>0</v>
      </c>
      <c r="AW197" s="35">
        <f t="shared" si="70"/>
        <v>0</v>
      </c>
    </row>
    <row r="198" spans="3:52" ht="12" customHeight="1" x14ac:dyDescent="0.2">
      <c r="C198" t="s">
        <v>196</v>
      </c>
      <c r="D198" t="e">
        <f t="shared" si="73"/>
        <v>#DIV/0!</v>
      </c>
      <c r="E198" t="e">
        <f t="shared" si="74"/>
        <v>#DIV/0!</v>
      </c>
      <c r="J198">
        <f t="shared" si="59"/>
        <v>0</v>
      </c>
      <c r="K198">
        <v>150</v>
      </c>
      <c r="L198">
        <f t="shared" si="60"/>
        <v>0</v>
      </c>
      <c r="P198">
        <f t="shared" si="61"/>
        <v>3</v>
      </c>
      <c r="S198">
        <f t="shared" si="62"/>
        <v>153</v>
      </c>
      <c r="U198"/>
      <c r="V198" s="46">
        <f t="shared" si="64"/>
        <v>-153</v>
      </c>
      <c r="X198"/>
      <c r="Z198">
        <f t="shared" si="76"/>
        <v>0</v>
      </c>
      <c r="AA198" s="130">
        <v>0</v>
      </c>
      <c r="AC198" s="8">
        <f t="shared" si="63"/>
        <v>0</v>
      </c>
      <c r="AD198" s="135"/>
      <c r="AE198" s="15">
        <f t="shared" si="57"/>
        <v>0</v>
      </c>
      <c r="AF198" s="43">
        <f t="shared" si="58"/>
        <v>0</v>
      </c>
      <c r="AT198" s="1">
        <v>6</v>
      </c>
      <c r="AU198" s="27">
        <f t="shared" si="68"/>
        <v>0.15400000000000003</v>
      </c>
      <c r="AV198" s="27">
        <f t="shared" si="69"/>
        <v>0.92400000000000015</v>
      </c>
      <c r="AW198" s="35">
        <f t="shared" si="70"/>
        <v>0</v>
      </c>
      <c r="AZ198">
        <v>0</v>
      </c>
    </row>
    <row r="199" spans="3:52" ht="12" customHeight="1" x14ac:dyDescent="0.2">
      <c r="C199" s="23" t="s">
        <v>240</v>
      </c>
      <c r="D199">
        <f t="shared" si="73"/>
        <v>25.397727272727273</v>
      </c>
      <c r="E199" t="e">
        <f t="shared" si="74"/>
        <v>#DIV/0!</v>
      </c>
      <c r="F199">
        <v>15.5</v>
      </c>
      <c r="H199">
        <v>1900</v>
      </c>
      <c r="I199">
        <v>100</v>
      </c>
      <c r="J199">
        <f t="shared" si="59"/>
        <v>736.25</v>
      </c>
      <c r="K199">
        <v>150</v>
      </c>
      <c r="L199">
        <f t="shared" si="60"/>
        <v>570</v>
      </c>
      <c r="M199">
        <v>50</v>
      </c>
      <c r="N199">
        <v>30</v>
      </c>
      <c r="O199">
        <v>420</v>
      </c>
      <c r="P199">
        <f t="shared" si="61"/>
        <v>79.125</v>
      </c>
      <c r="Q199">
        <v>100</v>
      </c>
      <c r="S199">
        <f t="shared" si="62"/>
        <v>4135.375</v>
      </c>
      <c r="U199">
        <v>4750</v>
      </c>
      <c r="V199" s="46">
        <f t="shared" si="64"/>
        <v>614.625</v>
      </c>
      <c r="X199"/>
      <c r="Y199">
        <v>0</v>
      </c>
      <c r="Z199">
        <f t="shared" si="76"/>
        <v>0</v>
      </c>
      <c r="AA199" s="130"/>
      <c r="AC199" s="8">
        <f t="shared" si="63"/>
        <v>0</v>
      </c>
      <c r="AD199" s="135">
        <v>0</v>
      </c>
      <c r="AE199" s="15">
        <f t="shared" si="57"/>
        <v>0</v>
      </c>
      <c r="AF199" s="43">
        <f t="shared" si="58"/>
        <v>0</v>
      </c>
      <c r="AT199" s="1"/>
      <c r="AU199" s="27">
        <f t="shared" si="68"/>
        <v>0.15400000000000003</v>
      </c>
      <c r="AV199" s="27">
        <f t="shared" si="69"/>
        <v>0</v>
      </c>
      <c r="AW199" s="35">
        <f t="shared" si="70"/>
        <v>0</v>
      </c>
    </row>
    <row r="200" spans="3:52" ht="12" customHeight="1" x14ac:dyDescent="0.2">
      <c r="C200" s="23" t="s">
        <v>208</v>
      </c>
      <c r="D200">
        <f t="shared" si="73"/>
        <v>29.679963503649649</v>
      </c>
      <c r="E200" t="e">
        <f t="shared" si="74"/>
        <v>#DIV/0!</v>
      </c>
      <c r="F200">
        <v>15.5</v>
      </c>
      <c r="H200">
        <v>3100</v>
      </c>
      <c r="I200">
        <v>100</v>
      </c>
      <c r="J200">
        <f t="shared" si="59"/>
        <v>1237.9849999999999</v>
      </c>
      <c r="K200">
        <v>150</v>
      </c>
      <c r="L200">
        <f t="shared" si="60"/>
        <v>958.43999999999994</v>
      </c>
      <c r="M200">
        <v>50</v>
      </c>
      <c r="N200">
        <v>30</v>
      </c>
      <c r="O200">
        <v>910</v>
      </c>
      <c r="P200">
        <f t="shared" si="61"/>
        <v>130.7285</v>
      </c>
      <c r="Q200">
        <v>100</v>
      </c>
      <c r="S200">
        <f t="shared" si="62"/>
        <v>6767.1534999999994</v>
      </c>
      <c r="U200">
        <v>7987</v>
      </c>
      <c r="V200" s="46">
        <f t="shared" si="64"/>
        <v>1219.8465000000006</v>
      </c>
      <c r="X200"/>
      <c r="Z200">
        <f t="shared" si="76"/>
        <v>0</v>
      </c>
      <c r="AA200" s="130">
        <v>0</v>
      </c>
      <c r="AC200" s="8">
        <f t="shared" si="63"/>
        <v>0</v>
      </c>
      <c r="AD200" s="135">
        <v>0</v>
      </c>
      <c r="AE200" s="15">
        <f t="shared" si="57"/>
        <v>0</v>
      </c>
      <c r="AF200" s="43">
        <f t="shared" si="58"/>
        <v>0</v>
      </c>
      <c r="AT200" s="1"/>
      <c r="AU200" s="27">
        <f t="shared" si="68"/>
        <v>0.15400000000000003</v>
      </c>
      <c r="AV200" s="27">
        <f t="shared" si="69"/>
        <v>0</v>
      </c>
      <c r="AW200" s="35">
        <f t="shared" si="70"/>
        <v>0</v>
      </c>
    </row>
    <row r="201" spans="3:52" ht="12" customHeight="1" x14ac:dyDescent="0.2">
      <c r="C201" t="s">
        <v>238</v>
      </c>
      <c r="D201">
        <f t="shared" si="73"/>
        <v>24.381720430107528</v>
      </c>
      <c r="E201" t="e">
        <f t="shared" si="74"/>
        <v>#DIV/0!</v>
      </c>
      <c r="F201">
        <v>15.5</v>
      </c>
      <c r="H201">
        <v>5500</v>
      </c>
      <c r="I201">
        <v>100</v>
      </c>
      <c r="J201">
        <f t="shared" si="59"/>
        <v>1844.5</v>
      </c>
      <c r="K201">
        <v>150</v>
      </c>
      <c r="L201">
        <f t="shared" si="60"/>
        <v>1428</v>
      </c>
      <c r="M201">
        <v>50</v>
      </c>
      <c r="N201">
        <v>30</v>
      </c>
      <c r="O201">
        <v>910</v>
      </c>
      <c r="P201">
        <f t="shared" si="61"/>
        <v>200.25</v>
      </c>
      <c r="Q201">
        <v>100</v>
      </c>
      <c r="S201">
        <f t="shared" si="62"/>
        <v>10312.75</v>
      </c>
      <c r="U201">
        <v>11900</v>
      </c>
      <c r="V201" s="46">
        <f t="shared" si="64"/>
        <v>1587.25</v>
      </c>
      <c r="X201"/>
      <c r="Y201">
        <v>0</v>
      </c>
      <c r="Z201">
        <f t="shared" si="76"/>
        <v>0</v>
      </c>
      <c r="AA201" s="130">
        <v>0</v>
      </c>
      <c r="AC201" s="8">
        <f t="shared" si="63"/>
        <v>0</v>
      </c>
      <c r="AD201" s="135">
        <v>0</v>
      </c>
      <c r="AE201" s="15">
        <f t="shared" ref="AE201:AE218" si="77">V201*AD201</f>
        <v>0</v>
      </c>
      <c r="AF201" s="43">
        <f t="shared" ref="AF201:AF218" si="78">(U201-J201-K201)*AD201-AA201</f>
        <v>0</v>
      </c>
      <c r="AT201" s="1"/>
      <c r="AU201" s="27">
        <f t="shared" si="68"/>
        <v>0.15400000000000003</v>
      </c>
      <c r="AV201" s="27">
        <f t="shared" si="69"/>
        <v>0</v>
      </c>
      <c r="AW201" s="35">
        <f t="shared" si="70"/>
        <v>0</v>
      </c>
    </row>
    <row r="202" spans="3:52" ht="12" customHeight="1" x14ac:dyDescent="0.2">
      <c r="C202" t="s">
        <v>182</v>
      </c>
      <c r="D202">
        <f t="shared" si="73"/>
        <v>-255</v>
      </c>
      <c r="E202" t="e">
        <f t="shared" si="74"/>
        <v>#DIV/0!</v>
      </c>
      <c r="F202">
        <v>15.5</v>
      </c>
      <c r="I202">
        <v>100</v>
      </c>
      <c r="J202">
        <f t="shared" si="59"/>
        <v>0</v>
      </c>
      <c r="K202">
        <v>150</v>
      </c>
      <c r="L202">
        <f t="shared" si="60"/>
        <v>0</v>
      </c>
      <c r="P202">
        <f t="shared" si="61"/>
        <v>5</v>
      </c>
      <c r="S202">
        <f t="shared" si="62"/>
        <v>255</v>
      </c>
      <c r="V202" s="46">
        <f t="shared" si="64"/>
        <v>-255</v>
      </c>
      <c r="Z202">
        <f t="shared" si="76"/>
        <v>0</v>
      </c>
      <c r="AA202" s="130"/>
      <c r="AC202" s="8">
        <f t="shared" si="63"/>
        <v>0</v>
      </c>
      <c r="AD202" s="135">
        <v>0</v>
      </c>
      <c r="AE202" s="15">
        <f t="shared" si="77"/>
        <v>0</v>
      </c>
      <c r="AF202" s="43">
        <f t="shared" si="78"/>
        <v>0</v>
      </c>
      <c r="AT202" s="1"/>
      <c r="AU202" s="27">
        <f t="shared" si="68"/>
        <v>0.15400000000000003</v>
      </c>
      <c r="AV202" s="27">
        <f t="shared" si="69"/>
        <v>0</v>
      </c>
      <c r="AW202" s="35">
        <f t="shared" si="70"/>
        <v>0</v>
      </c>
    </row>
    <row r="203" spans="3:52" ht="12" customHeight="1" x14ac:dyDescent="0.2">
      <c r="C203" s="23" t="s">
        <v>248</v>
      </c>
      <c r="D203">
        <f t="shared" si="73"/>
        <v>31.95726495726495</v>
      </c>
      <c r="E203" t="e">
        <f t="shared" si="74"/>
        <v>#DIV/0!</v>
      </c>
      <c r="F203">
        <v>15.5</v>
      </c>
      <c r="H203">
        <v>2500</v>
      </c>
      <c r="I203">
        <v>100</v>
      </c>
      <c r="J203">
        <f t="shared" ref="J203:J218" si="79">U203*(F203+G203)/100</f>
        <v>1085</v>
      </c>
      <c r="K203">
        <v>150</v>
      </c>
      <c r="L203">
        <f t="shared" ref="L203:L218" si="80">U203*0.12</f>
        <v>840</v>
      </c>
      <c r="M203">
        <v>50</v>
      </c>
      <c r="N203">
        <v>30</v>
      </c>
      <c r="O203">
        <v>910</v>
      </c>
      <c r="P203">
        <f t="shared" ref="P203:P218" si="81">(H203+I203+J203+K203+L203+M203+N203+O203)*0.02</f>
        <v>113.3</v>
      </c>
      <c r="Q203">
        <v>100</v>
      </c>
      <c r="S203">
        <f t="shared" ref="S203:S218" si="82">H203+I203+J203+K203+L203+M203+N203+O203+P203+Q203+R203</f>
        <v>5878.3</v>
      </c>
      <c r="U203" s="14">
        <v>7000</v>
      </c>
      <c r="V203" s="46">
        <f t="shared" si="64"/>
        <v>1121.6999999999998</v>
      </c>
      <c r="Y203">
        <v>0</v>
      </c>
      <c r="Z203">
        <f t="shared" si="76"/>
        <v>0</v>
      </c>
      <c r="AA203" s="130"/>
      <c r="AC203" s="8">
        <f t="shared" ref="AC203:AC218" si="83">AF203-Z203-(J203+K203+L203)*Y203</f>
        <v>0</v>
      </c>
      <c r="AD203" s="135">
        <v>0</v>
      </c>
      <c r="AE203" s="15">
        <f t="shared" si="77"/>
        <v>0</v>
      </c>
      <c r="AF203" s="43">
        <f t="shared" si="78"/>
        <v>0</v>
      </c>
      <c r="AT203" s="1"/>
      <c r="AU203" s="27">
        <f t="shared" si="68"/>
        <v>0.15400000000000003</v>
      </c>
      <c r="AV203" s="27">
        <f t="shared" si="69"/>
        <v>0</v>
      </c>
      <c r="AW203" s="35">
        <f t="shared" si="70"/>
        <v>0</v>
      </c>
    </row>
    <row r="204" spans="3:52" ht="12" customHeight="1" x14ac:dyDescent="0.2">
      <c r="C204" s="23" t="s">
        <v>254</v>
      </c>
      <c r="D204">
        <f t="shared" si="73"/>
        <v>44.392740471869324</v>
      </c>
      <c r="E204" t="e">
        <f t="shared" si="74"/>
        <v>#DIV/0!</v>
      </c>
      <c r="F204">
        <v>7.6</v>
      </c>
      <c r="H204">
        <v>4500</v>
      </c>
      <c r="I204">
        <v>100</v>
      </c>
      <c r="J204">
        <f t="shared" si="79"/>
        <v>798</v>
      </c>
      <c r="K204">
        <v>150</v>
      </c>
      <c r="L204">
        <f t="shared" si="80"/>
        <v>1260</v>
      </c>
      <c r="M204">
        <v>50</v>
      </c>
      <c r="N204">
        <v>30</v>
      </c>
      <c r="O204">
        <v>910</v>
      </c>
      <c r="P204">
        <f t="shared" si="81"/>
        <v>155.96</v>
      </c>
      <c r="Q204">
        <v>100</v>
      </c>
      <c r="S204">
        <f t="shared" si="82"/>
        <v>8053.96</v>
      </c>
      <c r="U204" s="14">
        <v>10500</v>
      </c>
      <c r="V204" s="46">
        <f t="shared" ref="V204:V218" si="84">U204-S204</f>
        <v>2446.04</v>
      </c>
      <c r="Y204">
        <v>0</v>
      </c>
      <c r="Z204">
        <f t="shared" si="76"/>
        <v>0</v>
      </c>
      <c r="AA204" s="130">
        <v>141</v>
      </c>
      <c r="AC204" s="8">
        <f t="shared" si="83"/>
        <v>-141</v>
      </c>
      <c r="AD204" s="135">
        <v>0</v>
      </c>
      <c r="AE204" s="15">
        <f t="shared" si="77"/>
        <v>0</v>
      </c>
      <c r="AF204" s="43">
        <f t="shared" si="78"/>
        <v>-141</v>
      </c>
      <c r="AT204" s="1"/>
      <c r="AU204" s="27">
        <f t="shared" si="68"/>
        <v>0.15400000000000003</v>
      </c>
      <c r="AV204" s="27">
        <f t="shared" si="69"/>
        <v>0</v>
      </c>
      <c r="AW204" s="35">
        <f t="shared" si="70"/>
        <v>0</v>
      </c>
    </row>
    <row r="205" spans="3:52" ht="12" customHeight="1" x14ac:dyDescent="0.2">
      <c r="C205" s="30" t="s">
        <v>2</v>
      </c>
      <c r="D205" t="e">
        <f t="shared" si="73"/>
        <v>#DIV/0!</v>
      </c>
      <c r="E205" t="e">
        <f t="shared" si="74"/>
        <v>#DIV/0!</v>
      </c>
      <c r="J205">
        <f t="shared" si="79"/>
        <v>0</v>
      </c>
      <c r="K205">
        <v>150</v>
      </c>
      <c r="L205">
        <f t="shared" si="80"/>
        <v>0</v>
      </c>
      <c r="P205">
        <f t="shared" si="81"/>
        <v>3</v>
      </c>
      <c r="S205">
        <f t="shared" si="82"/>
        <v>153</v>
      </c>
      <c r="V205" s="46">
        <f t="shared" si="84"/>
        <v>-153</v>
      </c>
      <c r="Z205">
        <f t="shared" si="76"/>
        <v>0</v>
      </c>
      <c r="AA205" s="130">
        <v>0</v>
      </c>
      <c r="AC205" s="8">
        <f t="shared" si="83"/>
        <v>0</v>
      </c>
      <c r="AD205" s="135">
        <v>0</v>
      </c>
      <c r="AE205" s="15">
        <f t="shared" si="77"/>
        <v>0</v>
      </c>
      <c r="AF205" s="43">
        <f t="shared" si="78"/>
        <v>0</v>
      </c>
      <c r="AT205" s="1"/>
      <c r="AU205" s="27">
        <f t="shared" si="68"/>
        <v>0.15400000000000003</v>
      </c>
      <c r="AV205" s="27">
        <f t="shared" si="69"/>
        <v>0</v>
      </c>
      <c r="AW205" s="35">
        <f t="shared" si="70"/>
        <v>0</v>
      </c>
    </row>
    <row r="206" spans="3:52" ht="12" customHeight="1" x14ac:dyDescent="0.2">
      <c r="C206" s="30" t="s">
        <v>179</v>
      </c>
      <c r="D206" t="e">
        <f t="shared" si="73"/>
        <v>#DIV/0!</v>
      </c>
      <c r="E206" t="e">
        <f t="shared" si="74"/>
        <v>#DIV/0!</v>
      </c>
      <c r="J206">
        <f t="shared" si="79"/>
        <v>0</v>
      </c>
      <c r="K206">
        <v>150</v>
      </c>
      <c r="L206">
        <f t="shared" si="80"/>
        <v>0</v>
      </c>
      <c r="P206">
        <f t="shared" si="81"/>
        <v>3</v>
      </c>
      <c r="S206">
        <f t="shared" si="82"/>
        <v>153</v>
      </c>
      <c r="V206" s="46">
        <f t="shared" si="84"/>
        <v>-153</v>
      </c>
      <c r="Z206">
        <f t="shared" si="76"/>
        <v>0</v>
      </c>
      <c r="AA206" s="130">
        <v>0</v>
      </c>
      <c r="AC206" s="8">
        <f t="shared" si="83"/>
        <v>0</v>
      </c>
      <c r="AD206" s="135">
        <v>0</v>
      </c>
      <c r="AE206" s="15">
        <f t="shared" si="77"/>
        <v>0</v>
      </c>
      <c r="AF206" s="43">
        <f t="shared" si="78"/>
        <v>0</v>
      </c>
      <c r="AT206" s="1"/>
      <c r="AU206" s="27">
        <f t="shared" si="68"/>
        <v>0.15400000000000003</v>
      </c>
      <c r="AV206" s="27">
        <f t="shared" si="69"/>
        <v>0</v>
      </c>
      <c r="AW206" s="35">
        <f t="shared" si="70"/>
        <v>0</v>
      </c>
    </row>
    <row r="207" spans="3:52" ht="12" customHeight="1" x14ac:dyDescent="0.2">
      <c r="C207" s="30" t="s">
        <v>259</v>
      </c>
      <c r="D207">
        <f t="shared" si="73"/>
        <v>44.415000000000006</v>
      </c>
      <c r="E207" t="e">
        <f t="shared" si="74"/>
        <v>#DIV/0!</v>
      </c>
      <c r="F207">
        <v>15.5</v>
      </c>
      <c r="H207">
        <v>900</v>
      </c>
      <c r="I207">
        <v>100</v>
      </c>
      <c r="J207">
        <f t="shared" si="79"/>
        <v>387.5</v>
      </c>
      <c r="K207">
        <v>150</v>
      </c>
      <c r="L207">
        <f t="shared" si="80"/>
        <v>300</v>
      </c>
      <c r="M207">
        <v>50</v>
      </c>
      <c r="N207">
        <v>30</v>
      </c>
      <c r="P207">
        <f t="shared" si="81"/>
        <v>38.35</v>
      </c>
      <c r="Q207">
        <v>100</v>
      </c>
      <c r="S207">
        <f t="shared" si="82"/>
        <v>2055.85</v>
      </c>
      <c r="U207" s="14">
        <v>2500</v>
      </c>
      <c r="V207" s="46">
        <f t="shared" si="84"/>
        <v>444.15000000000009</v>
      </c>
      <c r="Y207">
        <v>0</v>
      </c>
      <c r="Z207">
        <f t="shared" si="76"/>
        <v>0</v>
      </c>
      <c r="AA207" s="130">
        <v>160</v>
      </c>
      <c r="AC207" s="8">
        <f t="shared" si="83"/>
        <v>-160</v>
      </c>
      <c r="AD207" s="135">
        <v>0</v>
      </c>
      <c r="AE207" s="15">
        <f t="shared" si="77"/>
        <v>0</v>
      </c>
      <c r="AF207" s="43">
        <f t="shared" si="78"/>
        <v>-160</v>
      </c>
      <c r="AT207" s="1"/>
      <c r="AV207" s="19"/>
    </row>
    <row r="208" spans="3:52" ht="12" customHeight="1" x14ac:dyDescent="0.2">
      <c r="C208" s="30"/>
      <c r="D208" t="e">
        <f t="shared" si="73"/>
        <v>#DIV/0!</v>
      </c>
      <c r="E208" t="e">
        <f t="shared" si="74"/>
        <v>#DIV/0!</v>
      </c>
      <c r="J208">
        <f t="shared" si="79"/>
        <v>0</v>
      </c>
      <c r="K208">
        <v>150</v>
      </c>
      <c r="L208">
        <f t="shared" si="80"/>
        <v>0</v>
      </c>
      <c r="P208">
        <f t="shared" si="81"/>
        <v>3</v>
      </c>
      <c r="S208">
        <f t="shared" si="82"/>
        <v>153</v>
      </c>
      <c r="V208" s="46">
        <f t="shared" si="84"/>
        <v>-153</v>
      </c>
      <c r="Z208">
        <f t="shared" si="76"/>
        <v>0</v>
      </c>
      <c r="AA208" s="130"/>
      <c r="AC208" s="8">
        <f t="shared" si="83"/>
        <v>0</v>
      </c>
      <c r="AD208" s="135"/>
      <c r="AE208" s="15">
        <f t="shared" si="77"/>
        <v>0</v>
      </c>
      <c r="AF208" s="43">
        <f t="shared" si="78"/>
        <v>0</v>
      </c>
      <c r="AT208" s="1"/>
      <c r="AV208" s="19"/>
    </row>
    <row r="209" spans="3:98" ht="12" customHeight="1" x14ac:dyDescent="0.2">
      <c r="C209" s="121" t="s">
        <v>212</v>
      </c>
      <c r="D209" t="e">
        <f t="shared" si="73"/>
        <v>#DIV/0!</v>
      </c>
      <c r="E209" t="e">
        <f t="shared" si="74"/>
        <v>#DIV/0!</v>
      </c>
      <c r="J209">
        <f t="shared" si="79"/>
        <v>0</v>
      </c>
      <c r="K209">
        <v>150</v>
      </c>
      <c r="L209">
        <f t="shared" si="80"/>
        <v>0</v>
      </c>
      <c r="P209">
        <f t="shared" si="81"/>
        <v>3</v>
      </c>
      <c r="S209">
        <f t="shared" si="82"/>
        <v>153</v>
      </c>
      <c r="V209" s="46">
        <f t="shared" si="84"/>
        <v>-153</v>
      </c>
      <c r="Z209">
        <f t="shared" si="76"/>
        <v>0</v>
      </c>
      <c r="AA209" s="130">
        <v>0</v>
      </c>
      <c r="AC209" s="8">
        <f t="shared" si="83"/>
        <v>0</v>
      </c>
      <c r="AD209" s="135">
        <v>0</v>
      </c>
      <c r="AE209" s="15">
        <f t="shared" si="77"/>
        <v>0</v>
      </c>
      <c r="AF209" s="43">
        <f t="shared" si="78"/>
        <v>0</v>
      </c>
      <c r="AT209" s="1"/>
      <c r="AV209" s="19"/>
    </row>
    <row r="210" spans="3:98" ht="12" customHeight="1" x14ac:dyDescent="0.2">
      <c r="C210" s="30" t="s">
        <v>246</v>
      </c>
      <c r="D210" t="e">
        <f t="shared" si="73"/>
        <v>#DIV/0!</v>
      </c>
      <c r="E210" t="e">
        <f t="shared" si="74"/>
        <v>#DIV/0!</v>
      </c>
      <c r="J210">
        <f t="shared" si="79"/>
        <v>0</v>
      </c>
      <c r="K210">
        <v>150</v>
      </c>
      <c r="L210">
        <f t="shared" si="80"/>
        <v>0</v>
      </c>
      <c r="P210">
        <f t="shared" si="81"/>
        <v>3</v>
      </c>
      <c r="S210">
        <f t="shared" si="82"/>
        <v>153</v>
      </c>
      <c r="V210" s="46">
        <f t="shared" si="84"/>
        <v>-153</v>
      </c>
      <c r="Z210">
        <f t="shared" si="76"/>
        <v>0</v>
      </c>
      <c r="AA210" s="130"/>
      <c r="AC210" s="8">
        <f t="shared" si="83"/>
        <v>0</v>
      </c>
      <c r="AD210" s="135">
        <v>0</v>
      </c>
      <c r="AE210" s="15">
        <f t="shared" si="77"/>
        <v>0</v>
      </c>
      <c r="AF210" s="43">
        <f t="shared" si="78"/>
        <v>0</v>
      </c>
      <c r="AT210" s="1"/>
      <c r="AV210" s="19"/>
    </row>
    <row r="211" spans="3:98" ht="12" customHeight="1" x14ac:dyDescent="0.2">
      <c r="C211" s="30"/>
      <c r="D211" t="e">
        <f t="shared" si="73"/>
        <v>#DIV/0!</v>
      </c>
      <c r="E211" t="e">
        <f t="shared" si="74"/>
        <v>#DIV/0!</v>
      </c>
      <c r="J211">
        <f t="shared" si="79"/>
        <v>0</v>
      </c>
      <c r="K211">
        <v>150</v>
      </c>
      <c r="L211">
        <f t="shared" si="80"/>
        <v>0</v>
      </c>
      <c r="P211">
        <f t="shared" si="81"/>
        <v>3</v>
      </c>
      <c r="S211">
        <f t="shared" si="82"/>
        <v>153</v>
      </c>
      <c r="V211" s="46">
        <f t="shared" si="84"/>
        <v>-153</v>
      </c>
      <c r="Z211">
        <f t="shared" si="76"/>
        <v>0</v>
      </c>
      <c r="AA211" s="130"/>
      <c r="AC211" s="8">
        <f t="shared" si="83"/>
        <v>0</v>
      </c>
      <c r="AD211" s="135"/>
      <c r="AE211" s="15">
        <f t="shared" si="77"/>
        <v>0</v>
      </c>
      <c r="AF211" s="43">
        <f t="shared" si="78"/>
        <v>0</v>
      </c>
      <c r="AT211" s="1"/>
      <c r="AV211" s="19"/>
    </row>
    <row r="212" spans="3:98" ht="12" customHeight="1" x14ac:dyDescent="0.2">
      <c r="C212" s="30" t="s">
        <v>198</v>
      </c>
      <c r="D212" t="e">
        <f t="shared" si="73"/>
        <v>#DIV/0!</v>
      </c>
      <c r="E212" t="e">
        <f t="shared" si="74"/>
        <v>#DIV/0!</v>
      </c>
      <c r="J212">
        <f t="shared" si="79"/>
        <v>0</v>
      </c>
      <c r="K212">
        <v>150</v>
      </c>
      <c r="L212">
        <f t="shared" si="80"/>
        <v>0</v>
      </c>
      <c r="P212">
        <f t="shared" si="81"/>
        <v>3</v>
      </c>
      <c r="S212">
        <f t="shared" si="82"/>
        <v>153</v>
      </c>
      <c r="V212" s="46">
        <f t="shared" si="84"/>
        <v>-153</v>
      </c>
      <c r="Z212">
        <f t="shared" si="76"/>
        <v>0</v>
      </c>
      <c r="AA212" s="130">
        <v>0</v>
      </c>
      <c r="AC212" s="8">
        <f t="shared" si="83"/>
        <v>0</v>
      </c>
      <c r="AD212" s="135">
        <v>0</v>
      </c>
      <c r="AE212" s="15">
        <f t="shared" si="77"/>
        <v>0</v>
      </c>
      <c r="AF212" s="43">
        <f t="shared" si="78"/>
        <v>0</v>
      </c>
      <c r="AT212" s="1"/>
      <c r="AV212" s="19"/>
    </row>
    <row r="213" spans="3:98" ht="12" customHeight="1" x14ac:dyDescent="0.2">
      <c r="C213" s="30"/>
      <c r="D213" t="e">
        <f t="shared" si="73"/>
        <v>#DIV/0!</v>
      </c>
      <c r="E213" t="e">
        <f t="shared" si="74"/>
        <v>#DIV/0!</v>
      </c>
      <c r="J213">
        <f t="shared" si="79"/>
        <v>0</v>
      </c>
      <c r="K213">
        <v>150</v>
      </c>
      <c r="L213">
        <f t="shared" si="80"/>
        <v>0</v>
      </c>
      <c r="P213">
        <f t="shared" si="81"/>
        <v>3</v>
      </c>
      <c r="S213">
        <f t="shared" si="82"/>
        <v>153</v>
      </c>
      <c r="V213" s="46">
        <f t="shared" si="84"/>
        <v>-153</v>
      </c>
      <c r="Z213">
        <f t="shared" si="76"/>
        <v>0</v>
      </c>
      <c r="AA213" s="130"/>
      <c r="AC213" s="8">
        <f t="shared" si="83"/>
        <v>0</v>
      </c>
      <c r="AD213" s="135"/>
      <c r="AE213" s="15">
        <f t="shared" si="77"/>
        <v>0</v>
      </c>
      <c r="AF213" s="43">
        <f t="shared" si="78"/>
        <v>0</v>
      </c>
      <c r="AT213" s="1"/>
      <c r="AV213" s="19"/>
    </row>
    <row r="214" spans="3:98" ht="12" customHeight="1" x14ac:dyDescent="0.2">
      <c r="C214" t="s">
        <v>214</v>
      </c>
      <c r="D214">
        <f t="shared" si="73"/>
        <v>25.270511779041424</v>
      </c>
      <c r="E214" t="e">
        <f t="shared" si="74"/>
        <v>#DIV/0!</v>
      </c>
      <c r="F214">
        <v>7.6</v>
      </c>
      <c r="H214">
        <v>11300</v>
      </c>
      <c r="I214">
        <v>100</v>
      </c>
      <c r="J214">
        <f t="shared" si="79"/>
        <v>1520</v>
      </c>
      <c r="K214">
        <v>150</v>
      </c>
      <c r="L214">
        <f t="shared" si="80"/>
        <v>2400</v>
      </c>
      <c r="M214">
        <v>50</v>
      </c>
      <c r="N214">
        <v>30</v>
      </c>
      <c r="O214">
        <v>910</v>
      </c>
      <c r="P214">
        <f t="shared" si="81"/>
        <v>329.2</v>
      </c>
      <c r="Q214">
        <v>100</v>
      </c>
      <c r="S214">
        <f t="shared" si="82"/>
        <v>16889.2</v>
      </c>
      <c r="U214" s="14">
        <v>20000</v>
      </c>
      <c r="V214" s="46">
        <f t="shared" si="84"/>
        <v>3110.7999999999993</v>
      </c>
      <c r="Z214">
        <f t="shared" si="76"/>
        <v>0</v>
      </c>
      <c r="AA214" s="130">
        <v>0</v>
      </c>
      <c r="AC214" s="8">
        <f t="shared" si="83"/>
        <v>0</v>
      </c>
      <c r="AD214" s="135">
        <v>0</v>
      </c>
      <c r="AE214" s="15">
        <f t="shared" si="77"/>
        <v>0</v>
      </c>
      <c r="AF214" s="43">
        <f t="shared" si="78"/>
        <v>0</v>
      </c>
      <c r="AT214" s="1"/>
      <c r="AV214" s="19"/>
    </row>
    <row r="215" spans="3:98" ht="12" customHeight="1" x14ac:dyDescent="0.2">
      <c r="C215" s="30" t="s">
        <v>256</v>
      </c>
      <c r="D215">
        <f t="shared" si="73"/>
        <v>38.465266558966086</v>
      </c>
      <c r="E215" t="e">
        <f t="shared" si="74"/>
        <v>#DIV/0!</v>
      </c>
      <c r="F215">
        <v>7.6</v>
      </c>
      <c r="H215" s="30">
        <v>13846</v>
      </c>
      <c r="I215">
        <v>100</v>
      </c>
      <c r="J215">
        <f t="shared" si="79"/>
        <v>2014</v>
      </c>
      <c r="K215">
        <v>150</v>
      </c>
      <c r="L215">
        <f t="shared" si="80"/>
        <v>3180</v>
      </c>
      <c r="M215">
        <v>50</v>
      </c>
      <c r="N215">
        <v>30</v>
      </c>
      <c r="O215">
        <v>910</v>
      </c>
      <c r="P215">
        <f t="shared" si="81"/>
        <v>405.6</v>
      </c>
      <c r="Q215">
        <v>100</v>
      </c>
      <c r="S215">
        <f t="shared" si="82"/>
        <v>20785.599999999999</v>
      </c>
      <c r="U215" s="14">
        <v>26500</v>
      </c>
      <c r="V215" s="46">
        <f t="shared" si="84"/>
        <v>5714.4000000000015</v>
      </c>
      <c r="Y215">
        <v>0</v>
      </c>
      <c r="Z215">
        <f t="shared" si="76"/>
        <v>0</v>
      </c>
      <c r="AA215" s="130"/>
      <c r="AC215" s="8">
        <f t="shared" si="83"/>
        <v>0</v>
      </c>
      <c r="AD215" s="135">
        <v>0</v>
      </c>
      <c r="AE215" s="15">
        <f t="shared" si="77"/>
        <v>0</v>
      </c>
      <c r="AF215" s="43">
        <f t="shared" si="78"/>
        <v>0</v>
      </c>
      <c r="AT215" s="1"/>
      <c r="AV215" s="19"/>
    </row>
    <row r="216" spans="3:98" ht="12" customHeight="1" x14ac:dyDescent="0.2">
      <c r="C216" s="30" t="s">
        <v>234</v>
      </c>
      <c r="D216">
        <f t="shared" si="73"/>
        <v>35.79930795847752</v>
      </c>
      <c r="E216" t="e">
        <f t="shared" si="74"/>
        <v>#DIV/0!</v>
      </c>
      <c r="F216">
        <v>15.5</v>
      </c>
      <c r="H216">
        <v>2500</v>
      </c>
      <c r="I216">
        <v>100</v>
      </c>
      <c r="J216">
        <f t="shared" si="79"/>
        <v>930</v>
      </c>
      <c r="K216">
        <v>150</v>
      </c>
      <c r="L216">
        <f t="shared" si="80"/>
        <v>720</v>
      </c>
      <c r="M216">
        <v>50</v>
      </c>
      <c r="N216">
        <v>30</v>
      </c>
      <c r="O216">
        <v>290</v>
      </c>
      <c r="P216">
        <f t="shared" si="81"/>
        <v>95.4</v>
      </c>
      <c r="Q216">
        <v>100</v>
      </c>
      <c r="S216">
        <f t="shared" si="82"/>
        <v>4965.3999999999996</v>
      </c>
      <c r="U216" s="14">
        <v>6000</v>
      </c>
      <c r="V216" s="46">
        <f t="shared" si="84"/>
        <v>1034.6000000000004</v>
      </c>
      <c r="Z216">
        <f t="shared" si="76"/>
        <v>0</v>
      </c>
      <c r="AA216" s="130">
        <v>221</v>
      </c>
      <c r="AC216" s="8">
        <f t="shared" si="83"/>
        <v>-221</v>
      </c>
      <c r="AD216" s="135">
        <v>0</v>
      </c>
      <c r="AE216" s="15">
        <f t="shared" si="77"/>
        <v>0</v>
      </c>
      <c r="AF216" s="43">
        <f t="shared" si="78"/>
        <v>-221</v>
      </c>
      <c r="AT216" s="1"/>
      <c r="AV216" s="19"/>
    </row>
    <row r="217" spans="3:98" ht="12" customHeight="1" x14ac:dyDescent="0.2">
      <c r="C217" s="30" t="s">
        <v>257</v>
      </c>
      <c r="D217">
        <f t="shared" si="73"/>
        <v>57.246636771300444</v>
      </c>
      <c r="E217" t="e">
        <f t="shared" si="74"/>
        <v>#DIV/0!</v>
      </c>
      <c r="F217">
        <v>15.5</v>
      </c>
      <c r="H217">
        <v>1120</v>
      </c>
      <c r="I217">
        <v>100</v>
      </c>
      <c r="J217">
        <f t="shared" si="79"/>
        <v>607.6</v>
      </c>
      <c r="K217">
        <v>150</v>
      </c>
      <c r="L217">
        <f t="shared" si="80"/>
        <v>470.4</v>
      </c>
      <c r="M217">
        <v>50</v>
      </c>
      <c r="N217">
        <v>30</v>
      </c>
      <c r="O217">
        <v>341</v>
      </c>
      <c r="P217">
        <f t="shared" si="81"/>
        <v>57.38</v>
      </c>
      <c r="Q217">
        <v>100</v>
      </c>
      <c r="S217">
        <f t="shared" si="82"/>
        <v>3026.38</v>
      </c>
      <c r="U217" s="14">
        <v>3920</v>
      </c>
      <c r="V217" s="46">
        <f t="shared" si="84"/>
        <v>893.61999999999989</v>
      </c>
      <c r="Y217">
        <v>0</v>
      </c>
      <c r="Z217">
        <f t="shared" si="76"/>
        <v>0</v>
      </c>
      <c r="AA217" s="126">
        <v>233</v>
      </c>
      <c r="AC217" s="8">
        <f t="shared" si="83"/>
        <v>-233</v>
      </c>
      <c r="AD217" s="81">
        <v>0</v>
      </c>
      <c r="AE217" s="15">
        <f t="shared" si="77"/>
        <v>0</v>
      </c>
      <c r="AF217" s="43">
        <f t="shared" si="78"/>
        <v>-233</v>
      </c>
      <c r="AT217" s="1"/>
      <c r="AV217" s="19"/>
    </row>
    <row r="218" spans="3:98" ht="12" customHeight="1" thickBot="1" x14ac:dyDescent="0.25">
      <c r="C218" s="139" t="s">
        <v>258</v>
      </c>
      <c r="D218">
        <f t="shared" si="73"/>
        <v>60.733333333333327</v>
      </c>
      <c r="E218" t="e">
        <f t="shared" si="74"/>
        <v>#DIV/0!</v>
      </c>
      <c r="F218">
        <v>15.5</v>
      </c>
      <c r="H218">
        <v>4500</v>
      </c>
      <c r="I218">
        <v>100</v>
      </c>
      <c r="J218">
        <f t="shared" si="79"/>
        <v>1860</v>
      </c>
      <c r="K218">
        <v>150</v>
      </c>
      <c r="L218">
        <f t="shared" si="80"/>
        <v>1440</v>
      </c>
      <c r="M218">
        <v>50</v>
      </c>
      <c r="N218">
        <v>30</v>
      </c>
      <c r="O218">
        <v>500</v>
      </c>
      <c r="P218">
        <f t="shared" si="81"/>
        <v>172.6</v>
      </c>
      <c r="Q218">
        <v>100</v>
      </c>
      <c r="S218">
        <f t="shared" si="82"/>
        <v>8902.6</v>
      </c>
      <c r="U218" s="14">
        <v>12000</v>
      </c>
      <c r="V218" s="46">
        <f t="shared" si="84"/>
        <v>3097.3999999999996</v>
      </c>
      <c r="Y218">
        <v>0</v>
      </c>
      <c r="Z218">
        <f t="shared" si="76"/>
        <v>0</v>
      </c>
      <c r="AA218" s="130">
        <v>0</v>
      </c>
      <c r="AC218" s="8">
        <f t="shared" si="83"/>
        <v>0</v>
      </c>
      <c r="AD218" s="135">
        <v>0</v>
      </c>
      <c r="AE218" s="15">
        <f t="shared" si="77"/>
        <v>0</v>
      </c>
      <c r="AF218" s="43">
        <f t="shared" si="78"/>
        <v>0</v>
      </c>
      <c r="AT218" s="1"/>
      <c r="AV218" s="19"/>
    </row>
    <row r="219" spans="3:98" ht="15" customHeight="1" thickBot="1" x14ac:dyDescent="0.25">
      <c r="C219" s="4" t="s">
        <v>93</v>
      </c>
      <c r="D219" t="e">
        <f>V219/((H219+I219+O219)/100)</f>
        <v>#VALUE!</v>
      </c>
      <c r="E219" t="e">
        <f>AC219/AD219/(S219/100)</f>
        <v>#VALUE!</v>
      </c>
      <c r="J219">
        <f>U219*(F219+G219)/100</f>
        <v>0</v>
      </c>
      <c r="L219">
        <f>U219*0.115</f>
        <v>0</v>
      </c>
      <c r="O219" t="s">
        <v>0</v>
      </c>
      <c r="P219" t="e">
        <f>(H219+I219+J219+K219+L219+M219+N219+O219)*0.015</f>
        <v>#VALUE!</v>
      </c>
      <c r="S219" t="e">
        <f>H219+I219+J219+K219+L219+M219+N219+O219+P219+Q219+R219</f>
        <v>#VALUE!</v>
      </c>
      <c r="T219">
        <f>U219-J219-K219</f>
        <v>0</v>
      </c>
      <c r="U219"/>
      <c r="V219" s="46" t="e">
        <f>U219-S219</f>
        <v>#VALUE!</v>
      </c>
      <c r="X219"/>
      <c r="Y219">
        <f>SUM(Y2:Y218)</f>
        <v>0</v>
      </c>
      <c r="Z219" t="e">
        <f>(S219-J219-K219)*AD219</f>
        <v>#VALUE!</v>
      </c>
      <c r="AA219" s="47">
        <f>SUM(AA2:AA218)</f>
        <v>74770</v>
      </c>
      <c r="AB219" s="86">
        <f>SUM(AB2:AB218)</f>
        <v>74220.965440000058</v>
      </c>
      <c r="AC219" s="20">
        <f>SUM(AC2:AC218)</f>
        <v>74220.965440000044</v>
      </c>
      <c r="AD219" s="73">
        <f>SUM(AD2:AD218)</f>
        <v>53</v>
      </c>
      <c r="AE219" s="48">
        <f>SUM(AE2:AE205)</f>
        <v>148990.96544000003</v>
      </c>
      <c r="AF219" s="74">
        <f>SUM(AF2:AF218)</f>
        <v>633118.03199999989</v>
      </c>
      <c r="AS219" s="4">
        <f>SUM(AS2:AS206)</f>
        <v>23</v>
      </c>
      <c r="AW219" s="4">
        <f>SUM(AW2:AW206)</f>
        <v>84.084000000000003</v>
      </c>
      <c r="AX219">
        <v>3</v>
      </c>
      <c r="AY219">
        <v>0</v>
      </c>
      <c r="AZ219">
        <v>27</v>
      </c>
      <c r="CQ219">
        <v>0</v>
      </c>
      <c r="CT219">
        <v>27</v>
      </c>
    </row>
    <row r="220" spans="3:98" ht="12" customHeight="1" x14ac:dyDescent="0.2">
      <c r="V220" s="14"/>
      <c r="AA220" s="14"/>
      <c r="AB220" s="14"/>
      <c r="AC220" s="14"/>
      <c r="AD220" s="14"/>
      <c r="AE220" s="15"/>
      <c r="AF220" s="14"/>
    </row>
    <row r="221" spans="3:98" ht="12" customHeight="1" x14ac:dyDescent="0.2">
      <c r="V221" s="14"/>
      <c r="AA221" s="14"/>
      <c r="AB221" s="14"/>
      <c r="AC221" s="14"/>
      <c r="AD221" s="14"/>
      <c r="AE221" s="15"/>
      <c r="AF221" s="14"/>
    </row>
    <row r="222" spans="3:98" ht="12" customHeight="1" x14ac:dyDescent="0.2">
      <c r="V222" s="14"/>
      <c r="AA222" s="14"/>
      <c r="AB222" s="14"/>
      <c r="AC222" s="14"/>
      <c r="AD222" s="14"/>
      <c r="AE222" s="15"/>
      <c r="AF222" s="14"/>
    </row>
    <row r="223" spans="3:98" ht="12" customHeight="1" x14ac:dyDescent="0.2"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</row>
    <row r="224" spans="3:98" ht="12" customHeight="1" x14ac:dyDescent="0.2"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5"/>
      <c r="AF224" s="14"/>
    </row>
    <row r="225" spans="4:32" ht="12" customHeight="1" x14ac:dyDescent="0.2"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5"/>
      <c r="AF225" s="14"/>
    </row>
    <row r="226" spans="4:32" ht="12" customHeight="1" x14ac:dyDescent="0.2"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5"/>
      <c r="AF226" s="14"/>
    </row>
    <row r="227" spans="4:32" ht="12" customHeight="1" x14ac:dyDescent="0.2"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</row>
    <row r="228" spans="4:32" ht="12" customHeight="1" x14ac:dyDescent="0.2"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5"/>
      <c r="AF228" s="14"/>
    </row>
    <row r="229" spans="4:32" ht="12" customHeight="1" x14ac:dyDescent="0.2"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5"/>
      <c r="AF229" s="14"/>
    </row>
    <row r="230" spans="4:32" ht="12" customHeight="1" x14ac:dyDescent="0.2"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5"/>
      <c r="AF230" s="14"/>
    </row>
    <row r="231" spans="4:32" ht="12" customHeight="1" x14ac:dyDescent="0.2"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</row>
    <row r="232" spans="4:32" ht="12" customHeight="1" x14ac:dyDescent="0.2"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5"/>
      <c r="AF232" s="14"/>
    </row>
    <row r="233" spans="4:32" ht="12" customHeight="1" x14ac:dyDescent="0.2"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5"/>
      <c r="AF233" s="14"/>
    </row>
    <row r="234" spans="4:32" ht="12" customHeight="1" x14ac:dyDescent="0.2"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5"/>
      <c r="AF234" s="14"/>
    </row>
    <row r="235" spans="4:32" ht="12" customHeight="1" x14ac:dyDescent="0.2"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</row>
    <row r="236" spans="4:32" ht="12" customHeight="1" x14ac:dyDescent="0.2"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5"/>
      <c r="AF236" s="14"/>
    </row>
    <row r="237" spans="4:32" ht="12" customHeight="1" x14ac:dyDescent="0.2"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5"/>
      <c r="AF237" s="14"/>
    </row>
    <row r="238" spans="4:32" ht="12" customHeight="1" x14ac:dyDescent="0.2"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5"/>
      <c r="AF238" s="14"/>
    </row>
    <row r="239" spans="4:32" ht="12" customHeight="1" x14ac:dyDescent="0.2"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</row>
    <row r="240" spans="4:32" ht="12" customHeight="1" x14ac:dyDescent="0.2"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5"/>
      <c r="AF240" s="14"/>
    </row>
    <row r="241" spans="4:50" ht="12" customHeight="1" x14ac:dyDescent="0.2"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5"/>
      <c r="AF241" s="14"/>
    </row>
    <row r="242" spans="4:50" ht="12" customHeight="1" x14ac:dyDescent="0.2"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5"/>
      <c r="AF242" s="14"/>
    </row>
    <row r="243" spans="4:50" ht="12" customHeight="1" x14ac:dyDescent="0.2"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X243">
        <v>1</v>
      </c>
    </row>
    <row r="244" spans="4:50" ht="12" customHeight="1" x14ac:dyDescent="0.2"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5"/>
      <c r="AF244" s="14"/>
    </row>
    <row r="245" spans="4:50" ht="12" customHeight="1" x14ac:dyDescent="0.2"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5"/>
      <c r="AF245" s="14"/>
    </row>
    <row r="246" spans="4:50" ht="12" customHeight="1" x14ac:dyDescent="0.2"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5"/>
      <c r="AF246" s="14"/>
    </row>
    <row r="247" spans="4:50" ht="12" customHeight="1" x14ac:dyDescent="0.2"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X247">
        <v>2</v>
      </c>
    </row>
    <row r="248" spans="4:50" ht="12" customHeight="1" x14ac:dyDescent="0.2"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5"/>
      <c r="AF248" s="14"/>
    </row>
    <row r="249" spans="4:50" ht="12" customHeight="1" x14ac:dyDescent="0.2"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5"/>
      <c r="AF249" s="14"/>
    </row>
    <row r="250" spans="4:50" ht="12" customHeight="1" x14ac:dyDescent="0.2"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5"/>
      <c r="AF250" s="14"/>
    </row>
    <row r="251" spans="4:50" ht="12" customHeight="1" x14ac:dyDescent="0.2"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X251">
        <v>0</v>
      </c>
    </row>
    <row r="252" spans="4:50" ht="12" customHeight="1" x14ac:dyDescent="0.2"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5"/>
      <c r="AF252" s="14"/>
    </row>
    <row r="253" spans="4:50" ht="12" customHeight="1" x14ac:dyDescent="0.2"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5"/>
      <c r="AF253" s="14"/>
    </row>
    <row r="254" spans="4:50" ht="12" customHeight="1" x14ac:dyDescent="0.2"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5"/>
      <c r="AF254" s="14"/>
    </row>
    <row r="255" spans="4:50" ht="12" customHeight="1" x14ac:dyDescent="0.2"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</row>
    <row r="256" spans="4:50" ht="12" customHeight="1" x14ac:dyDescent="0.2"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5"/>
      <c r="AF256" s="14"/>
    </row>
    <row r="257" spans="4:32" ht="12" customHeight="1" x14ac:dyDescent="0.2"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5"/>
      <c r="AF257" s="14"/>
    </row>
    <row r="258" spans="4:32" ht="12" customHeight="1" x14ac:dyDescent="0.2"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5"/>
      <c r="AF258" s="14"/>
    </row>
    <row r="259" spans="4:32" ht="12" customHeight="1" x14ac:dyDescent="0.2"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V259" s="14"/>
      <c r="W259" s="14"/>
      <c r="X259" s="14"/>
      <c r="Y259" s="14"/>
      <c r="Z259" s="14"/>
      <c r="AE259" s="14"/>
    </row>
    <row r="260" spans="4:32" ht="12" customHeight="1" x14ac:dyDescent="0.2"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V260" s="14"/>
      <c r="W260" s="14"/>
      <c r="X260" s="14"/>
      <c r="Y260" s="14"/>
      <c r="Z260" s="14"/>
      <c r="AE260" s="15"/>
    </row>
    <row r="261" spans="4:32" ht="12" customHeight="1" x14ac:dyDescent="0.2"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V261" s="14"/>
      <c r="W261" s="14"/>
      <c r="X261" s="14"/>
      <c r="Y261" s="14"/>
      <c r="Z261" s="14"/>
      <c r="AE261" s="15"/>
    </row>
    <row r="262" spans="4:32" ht="12" customHeight="1" x14ac:dyDescent="0.2"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V262" s="14"/>
      <c r="W262" s="14"/>
      <c r="X262" s="14"/>
      <c r="Y262" s="14"/>
      <c r="Z262" s="14"/>
      <c r="AE262" s="15"/>
    </row>
    <row r="263" spans="4:32" ht="12" customHeight="1" x14ac:dyDescent="0.2"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V263" s="14"/>
      <c r="W263" s="14"/>
      <c r="X263" s="14"/>
      <c r="Y263" s="14"/>
      <c r="Z263" s="14"/>
      <c r="AE263" s="14"/>
    </row>
    <row r="264" spans="4:32" ht="12" customHeight="1" x14ac:dyDescent="0.2"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V264" s="14"/>
      <c r="W264" s="14"/>
      <c r="X264" s="14"/>
      <c r="Y264" s="14"/>
      <c r="Z264" s="14"/>
      <c r="AE264" s="15"/>
    </row>
    <row r="265" spans="4:32" ht="12" customHeight="1" x14ac:dyDescent="0.2"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V265" s="14"/>
      <c r="W265" s="14"/>
      <c r="X265" s="14"/>
      <c r="Y265" s="14"/>
      <c r="Z265" s="14"/>
      <c r="AE265" s="15"/>
    </row>
    <row r="266" spans="4:32" x14ac:dyDescent="0.2"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V266" s="14"/>
      <c r="W266" s="14"/>
      <c r="X266" s="14"/>
      <c r="Y266" s="14"/>
      <c r="Z266" s="14"/>
      <c r="AE266" s="15"/>
    </row>
    <row r="267" spans="4:32" x14ac:dyDescent="0.2"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V267" s="14"/>
      <c r="W267" s="14"/>
      <c r="X267" s="14"/>
      <c r="Y267" s="14"/>
      <c r="Z267" s="14"/>
      <c r="AE267" s="14"/>
    </row>
    <row r="268" spans="4:32" x14ac:dyDescent="0.2"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V268" s="14"/>
      <c r="W268" s="14"/>
      <c r="X268" s="14"/>
      <c r="Y268" s="14"/>
      <c r="Z268" s="14"/>
      <c r="AE268" s="15"/>
    </row>
    <row r="269" spans="4:32" ht="15" customHeight="1" x14ac:dyDescent="0.2"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V269" s="14"/>
      <c r="W269" s="14"/>
      <c r="X269" s="14"/>
      <c r="Y269" s="14"/>
      <c r="Z269" s="14"/>
      <c r="AE269" s="15"/>
    </row>
    <row r="270" spans="4:32" ht="15" customHeight="1" x14ac:dyDescent="0.2"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V270" s="14"/>
      <c r="W270" s="14"/>
      <c r="X270" s="14"/>
      <c r="Y270" s="14"/>
      <c r="Z270" s="14"/>
      <c r="AE270" s="15"/>
    </row>
    <row r="271" spans="4:32" x14ac:dyDescent="0.2"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V271" s="14"/>
      <c r="W271" s="14"/>
      <c r="X271" s="14"/>
      <c r="Y271" s="14"/>
      <c r="Z271" s="14"/>
      <c r="AE271" s="14"/>
    </row>
    <row r="272" spans="4:32" x14ac:dyDescent="0.2"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V272" s="14"/>
      <c r="W272" s="14"/>
      <c r="X272" s="14"/>
      <c r="Y272" s="14"/>
      <c r="Z272" s="14"/>
      <c r="AE272" s="15"/>
    </row>
    <row r="273" spans="1:120" x14ac:dyDescent="0.2"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V273" s="14"/>
      <c r="W273" s="14"/>
      <c r="X273" s="14"/>
      <c r="Y273" s="14"/>
      <c r="Z273" s="14"/>
      <c r="AE273" s="15"/>
    </row>
    <row r="274" spans="1:120" x14ac:dyDescent="0.2"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V274" s="14"/>
      <c r="W274" s="14"/>
      <c r="X274" s="14"/>
      <c r="Y274" s="14"/>
      <c r="Z274" s="14"/>
      <c r="AE274" s="15"/>
    </row>
    <row r="275" spans="1:120" s="4" customFormat="1" x14ac:dyDescent="0.2">
      <c r="A275"/>
      <c r="B275"/>
      <c r="C275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50"/>
      <c r="AB275" s="11"/>
      <c r="AC275" s="7"/>
      <c r="AD275" s="1"/>
      <c r="AE275" s="14"/>
      <c r="AF275" s="43"/>
      <c r="AG275"/>
      <c r="AH275"/>
      <c r="AI275"/>
      <c r="AJ275"/>
      <c r="AK275"/>
      <c r="AL275"/>
      <c r="AM275"/>
      <c r="AN275"/>
      <c r="AO275"/>
      <c r="AP275"/>
      <c r="AQ275"/>
      <c r="AR275">
        <v>4</v>
      </c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</row>
    <row r="276" spans="1:120" s="4" customFormat="1" x14ac:dyDescent="0.2"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77"/>
      <c r="AB276" s="86"/>
      <c r="AC276" s="8"/>
      <c r="AD276" s="51"/>
      <c r="AE276" s="15"/>
      <c r="AF276" s="76"/>
    </row>
    <row r="277" spans="1:120" s="4" customFormat="1" x14ac:dyDescent="0.2"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77"/>
      <c r="AB277" s="86"/>
      <c r="AC277" s="8"/>
      <c r="AD277" s="51"/>
      <c r="AE277" s="15"/>
      <c r="AF277" s="76"/>
    </row>
    <row r="278" spans="1:120" s="4" customFormat="1" x14ac:dyDescent="0.2"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77"/>
      <c r="AB278" s="86"/>
      <c r="AC278" s="8"/>
      <c r="AD278" s="51"/>
      <c r="AE278" s="15"/>
      <c r="AF278" s="76"/>
    </row>
    <row r="279" spans="1:120" x14ac:dyDescent="0.2"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V279" s="14"/>
      <c r="W279" s="14"/>
      <c r="X279" s="14"/>
      <c r="Y279" s="14"/>
      <c r="Z279" s="14"/>
      <c r="AE279" s="14"/>
      <c r="AR279">
        <v>2917</v>
      </c>
    </row>
    <row r="280" spans="1:120" x14ac:dyDescent="0.2"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V280" s="14"/>
      <c r="W280" s="14"/>
      <c r="X280" s="14"/>
      <c r="Y280" s="14"/>
      <c r="Z280" s="14"/>
      <c r="AE280" s="15"/>
    </row>
    <row r="281" spans="1:120" x14ac:dyDescent="0.2"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V281" s="14"/>
      <c r="W281" s="14"/>
      <c r="X281" s="14"/>
      <c r="Y281" s="14"/>
      <c r="Z281" s="14"/>
      <c r="AE281" s="15"/>
    </row>
    <row r="282" spans="1:120" x14ac:dyDescent="0.2"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V282" s="14"/>
      <c r="W282" s="14"/>
      <c r="X282" s="14"/>
      <c r="Y282" s="14"/>
      <c r="Z282" s="14"/>
      <c r="AE282" s="15"/>
    </row>
    <row r="283" spans="1:120" x14ac:dyDescent="0.2"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V283" s="14"/>
      <c r="W283" s="14"/>
      <c r="X283" s="14"/>
      <c r="Y283" s="14"/>
      <c r="Z283" s="14"/>
      <c r="AE283" s="14"/>
      <c r="AR283">
        <v>4804</v>
      </c>
      <c r="CQ283">
        <v>5</v>
      </c>
    </row>
    <row r="284" spans="1:120" x14ac:dyDescent="0.2"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V284" s="14"/>
      <c r="W284" s="14"/>
      <c r="X284" s="14"/>
      <c r="Y284" s="14"/>
      <c r="Z284" s="14"/>
      <c r="AE284" s="15"/>
    </row>
    <row r="285" spans="1:120" x14ac:dyDescent="0.2"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V285" s="14"/>
      <c r="W285" s="14"/>
      <c r="X285" s="14"/>
      <c r="Y285" s="14"/>
      <c r="Z285" s="14"/>
      <c r="AE285" s="15"/>
    </row>
    <row r="286" spans="1:120" x14ac:dyDescent="0.2"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V286" s="14"/>
      <c r="W286" s="14"/>
      <c r="X286" s="14"/>
      <c r="Y286" s="14"/>
      <c r="Z286" s="14"/>
      <c r="AE286" s="15"/>
    </row>
    <row r="287" spans="1:120" x14ac:dyDescent="0.2"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V287" s="14"/>
      <c r="W287" s="14"/>
      <c r="X287" s="14"/>
      <c r="Y287" s="14"/>
      <c r="Z287" s="14"/>
      <c r="AE287" s="14"/>
      <c r="AR287">
        <v>19</v>
      </c>
    </row>
    <row r="288" spans="1:120" x14ac:dyDescent="0.2"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V288" s="14"/>
      <c r="W288" s="14"/>
      <c r="X288" s="14"/>
      <c r="Y288" s="14"/>
      <c r="Z288" s="14"/>
      <c r="AE288" s="15"/>
    </row>
    <row r="289" spans="4:44" x14ac:dyDescent="0.2"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V289" s="14"/>
      <c r="W289" s="14"/>
      <c r="X289" s="14"/>
      <c r="Y289" s="14"/>
      <c r="Z289" s="14"/>
      <c r="AE289" s="15"/>
    </row>
    <row r="290" spans="4:44" x14ac:dyDescent="0.2"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V290" s="14"/>
      <c r="W290" s="14"/>
      <c r="X290" s="14"/>
      <c r="Y290" s="14"/>
      <c r="Z290" s="14"/>
      <c r="AE290" s="15"/>
    </row>
    <row r="291" spans="4:44" x14ac:dyDescent="0.2"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V291" s="14"/>
      <c r="W291" s="14"/>
      <c r="X291" s="14"/>
      <c r="Y291" s="14"/>
      <c r="Z291" s="14"/>
      <c r="AE291" s="14"/>
      <c r="AR291">
        <v>0</v>
      </c>
    </row>
    <row r="292" spans="4:44" x14ac:dyDescent="0.2"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V292" s="14"/>
      <c r="W292" s="14"/>
      <c r="X292" s="14"/>
      <c r="Y292" s="14"/>
      <c r="Z292" s="14"/>
      <c r="AE292" s="15"/>
    </row>
    <row r="293" spans="4:44" x14ac:dyDescent="0.2"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V293" s="14"/>
      <c r="W293" s="14"/>
      <c r="X293" s="14"/>
      <c r="Y293" s="14"/>
      <c r="Z293" s="14"/>
      <c r="AE293" s="15"/>
    </row>
    <row r="294" spans="4:44" x14ac:dyDescent="0.2"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V294" s="14"/>
      <c r="W294" s="14"/>
      <c r="X294" s="14"/>
      <c r="Y294" s="14"/>
      <c r="Z294" s="14"/>
      <c r="AE294" s="15"/>
    </row>
    <row r="295" spans="4:44" x14ac:dyDescent="0.2"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V295" s="14"/>
      <c r="W295" s="14"/>
      <c r="X295" s="14"/>
      <c r="Y295" s="14"/>
      <c r="Z295" s="14"/>
      <c r="AE295" s="14"/>
      <c r="AR295">
        <v>0</v>
      </c>
    </row>
    <row r="296" spans="4:44" x14ac:dyDescent="0.2"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V296" s="14"/>
      <c r="W296" s="14"/>
      <c r="X296" s="14"/>
      <c r="Y296" s="14"/>
      <c r="Z296" s="14"/>
      <c r="AE296" s="15"/>
    </row>
    <row r="297" spans="4:44" x14ac:dyDescent="0.2"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V297" s="14"/>
      <c r="W297" s="14"/>
      <c r="X297" s="14"/>
      <c r="Y297" s="14"/>
      <c r="Z297" s="14"/>
      <c r="AE297" s="15"/>
    </row>
    <row r="298" spans="4:44" x14ac:dyDescent="0.2"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V298" s="14"/>
      <c r="W298" s="14"/>
      <c r="X298" s="14"/>
      <c r="Y298" s="14"/>
      <c r="Z298" s="14"/>
      <c r="AE298" s="15"/>
    </row>
    <row r="299" spans="4:44" x14ac:dyDescent="0.2"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V299" s="14"/>
      <c r="W299" s="14"/>
      <c r="X299" s="14"/>
      <c r="Y299" s="14"/>
      <c r="Z299" s="14"/>
      <c r="AE299" s="14"/>
    </row>
    <row r="300" spans="4:44" x14ac:dyDescent="0.2"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V300" s="14"/>
      <c r="W300" s="14"/>
      <c r="X300" s="14"/>
      <c r="Y300" s="14"/>
      <c r="Z300" s="14"/>
      <c r="AE300" s="15"/>
    </row>
    <row r="301" spans="4:44" x14ac:dyDescent="0.2"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V301" s="14"/>
      <c r="W301" s="14"/>
      <c r="X301" s="14"/>
      <c r="Y301" s="14"/>
      <c r="Z301" s="14"/>
      <c r="AE301" s="15"/>
    </row>
    <row r="302" spans="4:44" x14ac:dyDescent="0.2"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V302" s="14"/>
      <c r="W302" s="14"/>
      <c r="X302" s="14"/>
      <c r="Y302" s="14"/>
      <c r="Z302" s="14"/>
      <c r="AE302" s="15"/>
    </row>
    <row r="303" spans="4:44" x14ac:dyDescent="0.2"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V303" s="14"/>
      <c r="W303" s="14"/>
      <c r="X303" s="14"/>
      <c r="Y303" s="14"/>
      <c r="Z303" s="14"/>
      <c r="AE303" s="14"/>
      <c r="AR303">
        <v>1321</v>
      </c>
    </row>
    <row r="304" spans="4:44" x14ac:dyDescent="0.2"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V304" s="14"/>
      <c r="W304" s="14"/>
      <c r="X304" s="14"/>
      <c r="Y304" s="14"/>
      <c r="Z304" s="14"/>
      <c r="AE304" s="15"/>
    </row>
    <row r="305" spans="4:44" x14ac:dyDescent="0.2"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V305" s="14"/>
      <c r="W305" s="14"/>
      <c r="X305" s="14"/>
      <c r="Y305" s="14"/>
      <c r="Z305" s="14"/>
      <c r="AE305" s="15"/>
    </row>
    <row r="306" spans="4:44" x14ac:dyDescent="0.2"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V306" s="14"/>
      <c r="W306" s="14"/>
      <c r="X306" s="14"/>
      <c r="Y306" s="14"/>
      <c r="Z306" s="14"/>
      <c r="AE306" s="15"/>
    </row>
    <row r="307" spans="4:44" x14ac:dyDescent="0.2"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V307" s="14"/>
      <c r="W307" s="14"/>
      <c r="X307" s="14"/>
      <c r="Y307" s="14"/>
      <c r="Z307" s="14"/>
      <c r="AE307" s="14"/>
    </row>
    <row r="308" spans="4:44" x14ac:dyDescent="0.2"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V308" s="14"/>
      <c r="W308" s="14"/>
      <c r="X308" s="14"/>
      <c r="Y308" s="14"/>
      <c r="Z308" s="14"/>
      <c r="AE308" s="15"/>
    </row>
    <row r="309" spans="4:44" x14ac:dyDescent="0.2"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V309" s="14"/>
      <c r="W309" s="14"/>
      <c r="X309" s="14"/>
      <c r="Y309" s="14"/>
      <c r="Z309" s="14"/>
      <c r="AE309" s="15"/>
    </row>
    <row r="310" spans="4:44" x14ac:dyDescent="0.2"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V310" s="14"/>
      <c r="W310" s="14"/>
      <c r="X310" s="14"/>
      <c r="Y310" s="14"/>
      <c r="Z310" s="14"/>
      <c r="AE310" s="15"/>
    </row>
    <row r="311" spans="4:44" x14ac:dyDescent="0.2"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V311" s="14"/>
      <c r="W311" s="14"/>
      <c r="X311" s="14"/>
      <c r="Y311" s="14"/>
      <c r="Z311" s="14"/>
      <c r="AE311" s="14"/>
      <c r="AR311">
        <v>405</v>
      </c>
    </row>
    <row r="312" spans="4:44" x14ac:dyDescent="0.2"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V312" s="14"/>
      <c r="W312" s="14"/>
      <c r="X312" s="14"/>
      <c r="Y312" s="14"/>
      <c r="Z312" s="14"/>
      <c r="AE312" s="15"/>
    </row>
    <row r="313" spans="4:44" x14ac:dyDescent="0.2"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V313" s="14"/>
      <c r="W313" s="14"/>
      <c r="X313" s="14"/>
      <c r="Y313" s="14"/>
      <c r="Z313" s="14"/>
      <c r="AE313" s="15"/>
    </row>
    <row r="314" spans="4:44" x14ac:dyDescent="0.2"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V314" s="14"/>
      <c r="W314" s="14"/>
      <c r="X314" s="14"/>
      <c r="Y314" s="14"/>
      <c r="Z314" s="14"/>
      <c r="AE314" s="15"/>
    </row>
    <row r="315" spans="4:44" x14ac:dyDescent="0.2"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V315" s="14"/>
      <c r="W315" s="14"/>
      <c r="X315" s="14"/>
      <c r="Y315" s="14"/>
      <c r="Z315" s="14"/>
      <c r="AE315" s="14"/>
    </row>
    <row r="316" spans="4:44" x14ac:dyDescent="0.2"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V316" s="14"/>
      <c r="W316" s="14"/>
      <c r="X316" s="14"/>
      <c r="Y316" s="14"/>
      <c r="Z316" s="14"/>
      <c r="AE316" s="15"/>
    </row>
    <row r="317" spans="4:44" x14ac:dyDescent="0.2"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V317" s="14"/>
      <c r="W317" s="14"/>
      <c r="X317" s="14"/>
      <c r="Y317" s="14"/>
      <c r="Z317" s="14"/>
      <c r="AE317" s="15"/>
    </row>
    <row r="318" spans="4:44" x14ac:dyDescent="0.2"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V318" s="14"/>
      <c r="W318" s="14"/>
      <c r="X318" s="14"/>
      <c r="Y318" s="14"/>
      <c r="Z318" s="14"/>
      <c r="AE318" s="15"/>
    </row>
    <row r="319" spans="4:44" x14ac:dyDescent="0.2"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V319" s="14"/>
      <c r="W319" s="14"/>
      <c r="X319" s="14"/>
      <c r="Y319" s="14"/>
      <c r="Z319" s="14"/>
      <c r="AE319" s="14"/>
    </row>
    <row r="320" spans="4:44" x14ac:dyDescent="0.2"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V320" s="14"/>
      <c r="W320" s="14"/>
      <c r="X320" s="14"/>
      <c r="Y320" s="14"/>
      <c r="Z320" s="14"/>
      <c r="AE320" s="15"/>
    </row>
    <row r="321" spans="4:44" x14ac:dyDescent="0.2"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V321" s="14"/>
      <c r="W321" s="14"/>
      <c r="X321" s="14"/>
      <c r="Y321" s="14"/>
      <c r="Z321" s="14"/>
      <c r="AE321" s="15"/>
    </row>
    <row r="322" spans="4:44" x14ac:dyDescent="0.2"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V322" s="14"/>
      <c r="W322" s="14"/>
      <c r="X322" s="14"/>
      <c r="Y322" s="14"/>
      <c r="Z322" s="14"/>
      <c r="AE322" s="15"/>
    </row>
    <row r="323" spans="4:44" x14ac:dyDescent="0.2"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V323" s="14"/>
      <c r="W323" s="14"/>
      <c r="X323" s="14"/>
      <c r="Y323" s="14"/>
      <c r="Z323" s="14"/>
      <c r="AE323" s="14"/>
    </row>
    <row r="324" spans="4:44" x14ac:dyDescent="0.2"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V324" s="14"/>
      <c r="W324" s="14"/>
      <c r="X324" s="14"/>
      <c r="Y324" s="14"/>
      <c r="Z324" s="14"/>
      <c r="AE324" s="15"/>
    </row>
    <row r="325" spans="4:44" x14ac:dyDescent="0.2"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V325" s="14"/>
      <c r="W325" s="14"/>
      <c r="X325" s="14"/>
      <c r="Y325" s="14"/>
      <c r="Z325" s="14"/>
      <c r="AE325" s="15"/>
    </row>
    <row r="326" spans="4:44" x14ac:dyDescent="0.2"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V326" s="14"/>
      <c r="W326" s="14"/>
      <c r="X326" s="14"/>
      <c r="Y326" s="14"/>
      <c r="Z326" s="14"/>
      <c r="AE326" s="15"/>
    </row>
    <row r="327" spans="4:44" x14ac:dyDescent="0.2"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V327" s="14"/>
      <c r="W327" s="14"/>
      <c r="X327" s="14"/>
      <c r="Y327" s="14"/>
      <c r="Z327" s="14"/>
      <c r="AE327" s="14"/>
      <c r="AR327">
        <v>370</v>
      </c>
    </row>
    <row r="328" spans="4:44" x14ac:dyDescent="0.2"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V328" s="14"/>
      <c r="W328" s="14"/>
      <c r="X328" s="14"/>
      <c r="Y328" s="14"/>
      <c r="Z328" s="14"/>
      <c r="AE328" s="15"/>
    </row>
    <row r="329" spans="4:44" x14ac:dyDescent="0.2"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V329" s="14"/>
      <c r="W329" s="14"/>
      <c r="X329" s="14"/>
      <c r="Y329" s="14"/>
      <c r="Z329" s="14"/>
      <c r="AE329" s="15"/>
    </row>
    <row r="330" spans="4:44" x14ac:dyDescent="0.2"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V330" s="14"/>
      <c r="W330" s="14"/>
      <c r="X330" s="14"/>
      <c r="Y330" s="14"/>
      <c r="Z330" s="14"/>
      <c r="AE330" s="15"/>
    </row>
    <row r="331" spans="4:44" x14ac:dyDescent="0.2"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V331" s="14"/>
      <c r="W331" s="14"/>
      <c r="X331" s="14"/>
      <c r="Y331" s="14"/>
      <c r="Z331" s="14"/>
      <c r="AE331" s="14"/>
    </row>
    <row r="332" spans="4:44" x14ac:dyDescent="0.2"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V332" s="14"/>
      <c r="W332" s="14"/>
      <c r="X332" s="14"/>
      <c r="Y332" s="14"/>
      <c r="Z332" s="14"/>
      <c r="AE332" s="15"/>
    </row>
    <row r="333" spans="4:44" x14ac:dyDescent="0.2"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V333" s="14"/>
      <c r="W333" s="14"/>
      <c r="X333" s="14"/>
      <c r="Y333" s="14"/>
      <c r="Z333" s="14"/>
      <c r="AE333" s="15"/>
    </row>
    <row r="334" spans="4:44" x14ac:dyDescent="0.2"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V334" s="14"/>
      <c r="W334" s="14"/>
      <c r="X334" s="14"/>
      <c r="Y334" s="14"/>
      <c r="Z334" s="14"/>
      <c r="AE334" s="15"/>
    </row>
    <row r="335" spans="4:44" x14ac:dyDescent="0.2"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V335" s="14"/>
      <c r="W335" s="14"/>
      <c r="X335" s="14"/>
      <c r="Y335" s="14"/>
      <c r="Z335" s="14"/>
      <c r="AE335" s="14"/>
    </row>
    <row r="336" spans="4:44" x14ac:dyDescent="0.2"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V336" s="14"/>
      <c r="W336" s="14"/>
      <c r="X336" s="14"/>
      <c r="Y336" s="14"/>
      <c r="Z336" s="14"/>
      <c r="AE336" s="15"/>
    </row>
    <row r="337" spans="4:50" x14ac:dyDescent="0.2"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V337" s="14"/>
      <c r="W337" s="14"/>
      <c r="X337" s="14"/>
      <c r="Y337" s="14"/>
      <c r="Z337" s="14"/>
      <c r="AE337" s="15"/>
    </row>
    <row r="338" spans="4:50" x14ac:dyDescent="0.2"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V338" s="14"/>
      <c r="W338" s="14"/>
      <c r="X338" s="14"/>
      <c r="Y338" s="14"/>
      <c r="Z338" s="14"/>
      <c r="AE338" s="15"/>
    </row>
    <row r="339" spans="4:50" x14ac:dyDescent="0.2"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V339" s="14"/>
      <c r="W339" s="14"/>
      <c r="X339" s="14"/>
      <c r="Y339" s="14"/>
      <c r="Z339" s="14"/>
      <c r="AE339" s="14"/>
      <c r="AR339">
        <v>0</v>
      </c>
    </row>
    <row r="340" spans="4:50" x14ac:dyDescent="0.2"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V340" s="14"/>
      <c r="W340" s="14"/>
      <c r="X340" s="14"/>
      <c r="Y340" s="14"/>
      <c r="Z340" s="14"/>
      <c r="AE340" s="15"/>
    </row>
    <row r="341" spans="4:50" x14ac:dyDescent="0.2"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V341" s="14"/>
      <c r="W341" s="14"/>
      <c r="X341" s="14"/>
      <c r="Y341" s="14"/>
      <c r="Z341" s="14"/>
      <c r="AE341" s="15"/>
    </row>
    <row r="342" spans="4:50" x14ac:dyDescent="0.2"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V342" s="14"/>
      <c r="W342" s="14"/>
      <c r="X342" s="14"/>
      <c r="Y342" s="14"/>
      <c r="Z342" s="14"/>
      <c r="AE342" s="15"/>
    </row>
    <row r="343" spans="4:50" x14ac:dyDescent="0.2"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V343" s="14"/>
      <c r="W343" s="14"/>
      <c r="X343" s="14"/>
      <c r="Y343" s="14"/>
      <c r="Z343" s="14"/>
      <c r="AE343" s="14"/>
      <c r="AR343">
        <v>3081</v>
      </c>
    </row>
    <row r="344" spans="4:50" x14ac:dyDescent="0.2"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V344" s="14"/>
      <c r="W344" s="14"/>
      <c r="X344" s="14"/>
      <c r="Y344" s="14"/>
      <c r="Z344" s="14"/>
      <c r="AE344" s="15"/>
    </row>
    <row r="345" spans="4:50" x14ac:dyDescent="0.2"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V345" s="14"/>
      <c r="W345" s="14"/>
      <c r="X345" s="14"/>
      <c r="Y345" s="14"/>
      <c r="Z345" s="14"/>
      <c r="AE345" s="15"/>
    </row>
    <row r="346" spans="4:50" x14ac:dyDescent="0.2"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V346" s="14"/>
      <c r="W346" s="14"/>
      <c r="X346" s="14"/>
      <c r="Y346" s="14"/>
      <c r="Z346" s="14"/>
      <c r="AE346" s="15"/>
    </row>
    <row r="347" spans="4:50" x14ac:dyDescent="0.2"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V347" s="14"/>
      <c r="W347" s="14"/>
      <c r="X347" s="14"/>
      <c r="Y347" s="14"/>
      <c r="Z347" s="14"/>
      <c r="AE347" s="14"/>
      <c r="AR347">
        <v>0</v>
      </c>
    </row>
    <row r="348" spans="4:50" x14ac:dyDescent="0.2"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V348" s="14"/>
      <c r="W348" s="14"/>
      <c r="X348" s="14"/>
      <c r="Y348" s="14"/>
      <c r="Z348" s="14"/>
      <c r="AE348" s="15"/>
    </row>
    <row r="349" spans="4:50" x14ac:dyDescent="0.2"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V349" s="14"/>
      <c r="W349" s="14"/>
      <c r="X349" s="14"/>
      <c r="Y349" s="14"/>
      <c r="Z349" s="14"/>
      <c r="AE349" s="15"/>
    </row>
    <row r="350" spans="4:50" x14ac:dyDescent="0.2"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V350" s="14"/>
      <c r="W350" s="14"/>
      <c r="X350" s="14"/>
      <c r="Y350" s="14"/>
      <c r="Z350" s="14"/>
      <c r="AE350" s="15"/>
    </row>
    <row r="351" spans="4:50" x14ac:dyDescent="0.2"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V351" s="14"/>
      <c r="W351" s="14"/>
      <c r="X351" s="14"/>
      <c r="Y351" s="14"/>
      <c r="Z351" s="14"/>
      <c r="AE351" s="14"/>
      <c r="AX351">
        <v>0</v>
      </c>
    </row>
    <row r="352" spans="4:50" x14ac:dyDescent="0.2"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V352" s="14"/>
      <c r="W352" s="14"/>
      <c r="X352" s="14"/>
      <c r="Y352" s="14"/>
      <c r="Z352" s="14"/>
      <c r="AE352" s="15"/>
    </row>
    <row r="353" spans="1:120" x14ac:dyDescent="0.2"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V353" s="14"/>
      <c r="W353" s="14"/>
      <c r="X353" s="14"/>
      <c r="Y353" s="14"/>
      <c r="Z353" s="14"/>
      <c r="AE353" s="15"/>
    </row>
    <row r="354" spans="1:120" x14ac:dyDescent="0.2"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V354" s="14"/>
      <c r="W354" s="14"/>
      <c r="X354" s="14"/>
      <c r="Y354" s="14"/>
      <c r="Z354" s="14"/>
      <c r="AE354" s="15"/>
    </row>
    <row r="355" spans="1:120" x14ac:dyDescent="0.2"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V355" s="14"/>
      <c r="W355" s="14"/>
      <c r="X355" s="14"/>
      <c r="Y355" s="14"/>
      <c r="Z355" s="14"/>
      <c r="AE355" s="14"/>
      <c r="AX355">
        <v>0</v>
      </c>
    </row>
    <row r="356" spans="1:120" x14ac:dyDescent="0.2"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V356" s="14"/>
      <c r="W356" s="14"/>
      <c r="X356" s="14"/>
      <c r="Y356" s="14"/>
      <c r="Z356" s="14"/>
      <c r="AE356" s="15"/>
    </row>
    <row r="357" spans="1:120" x14ac:dyDescent="0.2"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V357" s="14"/>
      <c r="W357" s="14"/>
      <c r="X357" s="14"/>
      <c r="Y357" s="14"/>
      <c r="Z357" s="14"/>
      <c r="AE357" s="15"/>
    </row>
    <row r="358" spans="1:120" x14ac:dyDescent="0.2"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V358" s="14"/>
      <c r="W358" s="14"/>
      <c r="X358" s="14"/>
      <c r="Y358" s="14"/>
      <c r="Z358" s="14"/>
      <c r="AE358" s="15"/>
    </row>
    <row r="359" spans="1:120" x14ac:dyDescent="0.2"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V359" s="14"/>
      <c r="W359" s="14"/>
      <c r="X359" s="14"/>
      <c r="Y359" s="14"/>
      <c r="Z359" s="14"/>
      <c r="AE359" s="14"/>
    </row>
    <row r="360" spans="1:120" x14ac:dyDescent="0.2"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V360" s="14"/>
      <c r="W360" s="14"/>
      <c r="X360" s="14"/>
      <c r="Y360" s="14"/>
      <c r="Z360" s="14"/>
      <c r="AE360" s="15"/>
    </row>
    <row r="361" spans="1:120" x14ac:dyDescent="0.2"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V361" s="14"/>
      <c r="W361" s="14"/>
      <c r="X361" s="14"/>
      <c r="Y361" s="14"/>
      <c r="Z361" s="14"/>
      <c r="AE361" s="15"/>
    </row>
    <row r="362" spans="1:120" x14ac:dyDescent="0.2"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V362" s="14"/>
      <c r="W362" s="14"/>
      <c r="X362" s="14"/>
      <c r="Y362" s="14"/>
      <c r="Z362" s="14"/>
      <c r="AE362" s="15"/>
    </row>
    <row r="363" spans="1:120" x14ac:dyDescent="0.2"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V363" s="14"/>
      <c r="W363" s="14"/>
      <c r="X363" s="14"/>
      <c r="Y363" s="14"/>
      <c r="Z363" s="14"/>
      <c r="AE363" s="14"/>
    </row>
    <row r="364" spans="1:120" x14ac:dyDescent="0.2"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V364" s="14"/>
      <c r="W364" s="14"/>
      <c r="X364" s="14"/>
      <c r="Y364" s="14"/>
      <c r="Z364" s="14"/>
      <c r="AE364" s="15"/>
    </row>
    <row r="365" spans="1:120" x14ac:dyDescent="0.2"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V365" s="14"/>
      <c r="W365" s="14"/>
      <c r="X365" s="14"/>
      <c r="Y365" s="14"/>
      <c r="Z365" s="14"/>
      <c r="AE365" s="15"/>
    </row>
    <row r="366" spans="1:120" x14ac:dyDescent="0.2"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V366" s="14"/>
      <c r="W366" s="14"/>
      <c r="X366" s="14"/>
      <c r="Y366" s="14"/>
      <c r="Z366" s="14"/>
      <c r="AE366" s="15"/>
    </row>
    <row r="367" spans="1:120" s="43" customFormat="1" x14ac:dyDescent="0.2">
      <c r="A367"/>
      <c r="B367"/>
      <c r="C367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50"/>
      <c r="AB367" s="11"/>
      <c r="AC367" s="7"/>
      <c r="AD367" s="1"/>
      <c r="AE367" s="14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</row>
    <row r="368" spans="1:120" s="43" customFormat="1" x14ac:dyDescent="0.2">
      <c r="A368"/>
      <c r="B368"/>
      <c r="C368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50"/>
      <c r="AB368" s="11"/>
      <c r="AC368" s="7"/>
      <c r="AD368" s="1"/>
      <c r="AE368" s="15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</row>
    <row r="369" spans="1:120" s="43" customFormat="1" x14ac:dyDescent="0.2">
      <c r="A369"/>
      <c r="B369"/>
      <c r="C369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50"/>
      <c r="AB369" s="11"/>
      <c r="AC369" s="7"/>
      <c r="AD369" s="1"/>
      <c r="AE369" s="15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</row>
    <row r="370" spans="1:120" s="43" customFormat="1" x14ac:dyDescent="0.2">
      <c r="A370"/>
      <c r="B370"/>
      <c r="C370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50"/>
      <c r="AB370" s="11"/>
      <c r="AC370" s="7"/>
      <c r="AD370" s="1"/>
      <c r="AE370" s="15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</row>
    <row r="371" spans="1:120" s="43" customFormat="1" x14ac:dyDescent="0.2">
      <c r="A371"/>
      <c r="B371"/>
      <c r="C371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50"/>
      <c r="AB371" s="11"/>
      <c r="AC371" s="7"/>
      <c r="AD371" s="1"/>
      <c r="AE371" s="14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</row>
    <row r="372" spans="1:120" s="43" customFormat="1" x14ac:dyDescent="0.2">
      <c r="A372"/>
      <c r="B372"/>
      <c r="C372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50"/>
      <c r="AB372" s="11"/>
      <c r="AC372" s="7"/>
      <c r="AD372" s="1"/>
      <c r="AE372" s="15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</row>
    <row r="373" spans="1:120" s="43" customFormat="1" x14ac:dyDescent="0.2">
      <c r="A373"/>
      <c r="B373"/>
      <c r="C373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50"/>
      <c r="AB373" s="11"/>
      <c r="AC373" s="7"/>
      <c r="AD373" s="1"/>
      <c r="AE373" s="15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</row>
    <row r="374" spans="1:120" s="43" customFormat="1" x14ac:dyDescent="0.2">
      <c r="A374"/>
      <c r="B374"/>
      <c r="C37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50"/>
      <c r="AB374" s="11"/>
      <c r="AC374" s="7"/>
      <c r="AD374" s="1"/>
      <c r="AE374" s="15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</row>
    <row r="375" spans="1:120" s="43" customFormat="1" x14ac:dyDescent="0.2">
      <c r="A375"/>
      <c r="B375"/>
      <c r="C375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50"/>
      <c r="AB375" s="11"/>
      <c r="AC375" s="7"/>
      <c r="AD375" s="1"/>
      <c r="AE375" s="14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</row>
    <row r="376" spans="1:120" s="43" customFormat="1" x14ac:dyDescent="0.2">
      <c r="A376"/>
      <c r="B376"/>
      <c r="C376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50"/>
      <c r="AB376" s="11"/>
      <c r="AC376" s="7"/>
      <c r="AD376" s="1"/>
      <c r="AE376" s="15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</row>
    <row r="377" spans="1:120" s="43" customFormat="1" x14ac:dyDescent="0.2">
      <c r="A377"/>
      <c r="B377"/>
      <c r="C377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50"/>
      <c r="AB377" s="11"/>
      <c r="AC377" s="7"/>
      <c r="AD377" s="1"/>
      <c r="AE377" s="15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</row>
    <row r="378" spans="1:120" s="43" customFormat="1" x14ac:dyDescent="0.2">
      <c r="A378"/>
      <c r="B378"/>
      <c r="C378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50"/>
      <c r="AB378" s="11"/>
      <c r="AC378" s="7"/>
      <c r="AD378" s="1"/>
      <c r="AE378" s="15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</row>
    <row r="379" spans="1:120" s="43" customFormat="1" x14ac:dyDescent="0.2">
      <c r="A379"/>
      <c r="B379"/>
      <c r="C379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50"/>
      <c r="AB379" s="11"/>
      <c r="AC379" s="7"/>
      <c r="AD379" s="1"/>
      <c r="AE379" s="14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</row>
    <row r="380" spans="1:120" s="43" customFormat="1" x14ac:dyDescent="0.2">
      <c r="A380"/>
      <c r="B380"/>
      <c r="C380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50"/>
      <c r="AB380" s="11"/>
      <c r="AC380" s="7"/>
      <c r="AD380" s="1"/>
      <c r="AE380" s="15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</row>
    <row r="381" spans="1:120" s="43" customFormat="1" x14ac:dyDescent="0.2">
      <c r="A381"/>
      <c r="B381"/>
      <c r="C381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50"/>
      <c r="AB381" s="11"/>
      <c r="AC381" s="7"/>
      <c r="AD381" s="1"/>
      <c r="AE381" s="15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</row>
    <row r="382" spans="1:120" s="43" customFormat="1" x14ac:dyDescent="0.2">
      <c r="A382"/>
      <c r="B382"/>
      <c r="C382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50"/>
      <c r="AB382" s="11"/>
      <c r="AC382" s="7"/>
      <c r="AD382" s="1"/>
      <c r="AE382" s="15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</row>
    <row r="383" spans="1:120" x14ac:dyDescent="0.2"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V383" s="14"/>
      <c r="W383" s="14"/>
      <c r="X383" s="14"/>
      <c r="Y383" s="14"/>
      <c r="Z383" s="14"/>
      <c r="AE383" s="14"/>
      <c r="AR383">
        <v>0</v>
      </c>
    </row>
    <row r="384" spans="1:120" x14ac:dyDescent="0.2"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V384" s="14"/>
      <c r="W384" s="14"/>
      <c r="X384" s="14"/>
      <c r="Y384" s="14"/>
      <c r="Z384" s="14"/>
      <c r="AE384" s="15"/>
    </row>
    <row r="385" spans="4:44" x14ac:dyDescent="0.2"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V385" s="14"/>
      <c r="W385" s="14"/>
      <c r="X385" s="14"/>
      <c r="Y385" s="14"/>
      <c r="Z385" s="14"/>
      <c r="AE385" s="15"/>
    </row>
    <row r="386" spans="4:44" x14ac:dyDescent="0.2"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V386" s="14"/>
      <c r="W386" s="14"/>
      <c r="X386" s="14"/>
      <c r="Y386" s="14"/>
      <c r="Z386" s="14"/>
      <c r="AE386" s="15"/>
    </row>
    <row r="387" spans="4:44" x14ac:dyDescent="0.2"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V387" s="14"/>
      <c r="W387" s="14"/>
      <c r="X387" s="14"/>
      <c r="Y387" s="14"/>
      <c r="Z387" s="14"/>
      <c r="AE387" s="14"/>
      <c r="AR387">
        <v>0</v>
      </c>
    </row>
    <row r="388" spans="4:44" x14ac:dyDescent="0.2"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V388" s="14"/>
      <c r="W388" s="14"/>
      <c r="X388" s="14"/>
      <c r="Y388" s="14"/>
      <c r="Z388" s="14"/>
      <c r="AE388" s="15"/>
    </row>
    <row r="389" spans="4:44" x14ac:dyDescent="0.2"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V389" s="14"/>
      <c r="W389" s="14"/>
      <c r="X389" s="14"/>
      <c r="Y389" s="14"/>
      <c r="Z389" s="14"/>
      <c r="AE389" s="15"/>
    </row>
    <row r="390" spans="4:44" x14ac:dyDescent="0.2"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V390" s="14"/>
      <c r="W390" s="14"/>
      <c r="X390" s="14"/>
      <c r="Y390" s="14"/>
      <c r="Z390" s="14"/>
      <c r="AE390" s="15"/>
    </row>
    <row r="391" spans="4:44" x14ac:dyDescent="0.2"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V391" s="14"/>
      <c r="W391" s="14"/>
      <c r="X391" s="14"/>
      <c r="Y391" s="14"/>
      <c r="Z391" s="14"/>
      <c r="AE391" s="14"/>
      <c r="AR391">
        <v>0</v>
      </c>
    </row>
    <row r="392" spans="4:44" x14ac:dyDescent="0.2"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V392" s="14"/>
      <c r="W392" s="14"/>
      <c r="X392" s="14"/>
      <c r="Y392" s="14"/>
      <c r="Z392" s="14"/>
      <c r="AE392" s="15"/>
    </row>
    <row r="393" spans="4:44" x14ac:dyDescent="0.2"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V393" s="14"/>
      <c r="W393" s="14"/>
      <c r="X393" s="14"/>
      <c r="Y393" s="14"/>
      <c r="Z393" s="14"/>
      <c r="AE393" s="15"/>
    </row>
    <row r="394" spans="4:44" x14ac:dyDescent="0.2"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V394" s="14"/>
      <c r="W394" s="14"/>
      <c r="X394" s="14"/>
      <c r="Y394" s="14"/>
      <c r="Z394" s="14"/>
      <c r="AE394" s="15"/>
    </row>
    <row r="395" spans="4:44" x14ac:dyDescent="0.2"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V395" s="14"/>
      <c r="W395" s="14"/>
      <c r="X395" s="14"/>
      <c r="Y395" s="14"/>
      <c r="Z395" s="14"/>
      <c r="AE395" s="14"/>
      <c r="AR395">
        <v>3</v>
      </c>
    </row>
    <row r="396" spans="4:44" x14ac:dyDescent="0.2"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V396" s="14"/>
      <c r="W396" s="14"/>
      <c r="X396" s="14"/>
      <c r="Y396" s="14"/>
      <c r="Z396" s="14"/>
      <c r="AE396" s="15"/>
    </row>
    <row r="397" spans="4:44" x14ac:dyDescent="0.2"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V397" s="14"/>
      <c r="W397" s="14"/>
      <c r="X397" s="14"/>
      <c r="Y397" s="14"/>
      <c r="Z397" s="14"/>
      <c r="AE397" s="15"/>
    </row>
    <row r="398" spans="4:44" x14ac:dyDescent="0.2"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V398" s="14"/>
      <c r="W398" s="14"/>
      <c r="X398" s="14"/>
      <c r="Y398" s="14"/>
      <c r="Z398" s="14"/>
      <c r="AE398" s="15"/>
    </row>
    <row r="399" spans="4:44" x14ac:dyDescent="0.2"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V399" s="14"/>
      <c r="W399" s="14"/>
      <c r="X399" s="14"/>
      <c r="Y399" s="14"/>
      <c r="Z399" s="14"/>
      <c r="AE399" s="14"/>
      <c r="AR399">
        <v>0</v>
      </c>
    </row>
    <row r="400" spans="4:44" x14ac:dyDescent="0.2"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V400" s="14"/>
      <c r="W400" s="14"/>
      <c r="X400" s="14"/>
      <c r="Y400" s="14"/>
      <c r="Z400" s="14"/>
      <c r="AE400" s="15"/>
    </row>
    <row r="401" spans="4:44" x14ac:dyDescent="0.2"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V401" s="14"/>
      <c r="W401" s="14"/>
      <c r="X401" s="14"/>
      <c r="Y401" s="14"/>
      <c r="Z401" s="14"/>
      <c r="AE401" s="15"/>
    </row>
    <row r="402" spans="4:44" x14ac:dyDescent="0.2"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V402" s="14"/>
      <c r="W402" s="14"/>
      <c r="X402" s="14"/>
      <c r="Y402" s="14"/>
      <c r="Z402" s="14"/>
      <c r="AE402" s="15"/>
    </row>
    <row r="403" spans="4:44" x14ac:dyDescent="0.2"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V403" s="14"/>
      <c r="W403" s="14"/>
      <c r="X403" s="14"/>
      <c r="Y403" s="14"/>
      <c r="Z403" s="14"/>
      <c r="AE403" s="14"/>
      <c r="AR403">
        <v>0</v>
      </c>
    </row>
    <row r="404" spans="4:44" x14ac:dyDescent="0.2"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V404" s="14"/>
      <c r="W404" s="14"/>
      <c r="X404" s="14"/>
      <c r="Y404" s="14"/>
      <c r="Z404" s="14"/>
      <c r="AE404" s="15"/>
    </row>
    <row r="405" spans="4:44" x14ac:dyDescent="0.2"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V405" s="14"/>
      <c r="W405" s="14"/>
      <c r="X405" s="14"/>
      <c r="Y405" s="14"/>
      <c r="Z405" s="14"/>
      <c r="AE405" s="15"/>
    </row>
    <row r="406" spans="4:44" x14ac:dyDescent="0.2"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V406" s="14"/>
      <c r="W406" s="14"/>
      <c r="X406" s="14"/>
      <c r="Y406" s="14"/>
      <c r="Z406" s="14"/>
      <c r="AE406" s="15"/>
    </row>
    <row r="407" spans="4:44" x14ac:dyDescent="0.2"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V407" s="14"/>
      <c r="W407" s="14"/>
      <c r="X407" s="14"/>
      <c r="Y407" s="14"/>
      <c r="Z407" s="14"/>
      <c r="AE407" s="14"/>
      <c r="AR407">
        <v>0</v>
      </c>
    </row>
    <row r="408" spans="4:44" x14ac:dyDescent="0.2"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V408" s="14"/>
      <c r="W408" s="14"/>
      <c r="X408" s="14"/>
      <c r="Y408" s="14"/>
      <c r="Z408" s="14"/>
      <c r="AE408" s="15"/>
    </row>
    <row r="409" spans="4:44" x14ac:dyDescent="0.2"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V409" s="14"/>
      <c r="W409" s="14"/>
      <c r="X409" s="14"/>
      <c r="Y409" s="14"/>
      <c r="Z409" s="14"/>
      <c r="AE409" s="15"/>
    </row>
    <row r="410" spans="4:44" x14ac:dyDescent="0.2"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V410" s="14"/>
      <c r="W410" s="14"/>
      <c r="X410" s="14"/>
      <c r="Y410" s="14"/>
      <c r="Z410" s="14"/>
      <c r="AE410" s="15"/>
    </row>
    <row r="411" spans="4:44" x14ac:dyDescent="0.2"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V411" s="14"/>
      <c r="W411" s="14"/>
      <c r="X411" s="14"/>
      <c r="Y411" s="14"/>
      <c r="Z411" s="14"/>
      <c r="AE411" s="14"/>
      <c r="AR411">
        <v>0</v>
      </c>
    </row>
    <row r="412" spans="4:44" x14ac:dyDescent="0.2"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V412" s="14"/>
      <c r="W412" s="14"/>
      <c r="X412" s="14"/>
      <c r="Y412" s="14"/>
      <c r="Z412" s="14"/>
      <c r="AE412" s="15"/>
    </row>
    <row r="413" spans="4:44" x14ac:dyDescent="0.2"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V413" s="14"/>
      <c r="W413" s="14"/>
      <c r="X413" s="14"/>
      <c r="Y413" s="14"/>
      <c r="Z413" s="14"/>
      <c r="AE413" s="15"/>
    </row>
    <row r="414" spans="4:44" x14ac:dyDescent="0.2"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V414" s="14"/>
      <c r="W414" s="14"/>
      <c r="X414" s="14"/>
      <c r="Y414" s="14"/>
      <c r="Z414" s="14"/>
      <c r="AE414" s="15"/>
    </row>
    <row r="415" spans="4:44" x14ac:dyDescent="0.2"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V415" s="14"/>
      <c r="W415" s="14"/>
      <c r="X415" s="14"/>
      <c r="Y415" s="14"/>
      <c r="Z415" s="14"/>
      <c r="AE415" s="14"/>
      <c r="AR415">
        <v>0</v>
      </c>
    </row>
    <row r="416" spans="4:44" x14ac:dyDescent="0.2"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V416" s="14"/>
      <c r="W416" s="14"/>
      <c r="X416" s="14"/>
      <c r="Y416" s="14"/>
      <c r="Z416" s="14"/>
      <c r="AE416" s="15"/>
    </row>
    <row r="417" spans="4:44" x14ac:dyDescent="0.2"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V417" s="14"/>
      <c r="W417" s="14"/>
      <c r="X417" s="14"/>
      <c r="Y417" s="14"/>
      <c r="Z417" s="14"/>
      <c r="AE417" s="15"/>
    </row>
    <row r="418" spans="4:44" x14ac:dyDescent="0.2"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V418" s="14"/>
      <c r="W418" s="14"/>
      <c r="X418" s="14"/>
      <c r="Y418" s="14"/>
      <c r="Z418" s="14"/>
      <c r="AE418" s="15"/>
    </row>
    <row r="419" spans="4:44" x14ac:dyDescent="0.2"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V419" s="14"/>
      <c r="W419" s="14"/>
      <c r="X419" s="14"/>
      <c r="Y419" s="14"/>
      <c r="Z419" s="14"/>
      <c r="AE419" s="14"/>
      <c r="AR419">
        <v>0</v>
      </c>
    </row>
    <row r="420" spans="4:44" x14ac:dyDescent="0.2"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V420" s="14"/>
      <c r="W420" s="14"/>
      <c r="X420" s="14"/>
      <c r="Y420" s="14"/>
      <c r="Z420" s="14"/>
      <c r="AE420" s="15"/>
    </row>
    <row r="421" spans="4:44" x14ac:dyDescent="0.2"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V421" s="14"/>
      <c r="W421" s="14"/>
      <c r="X421" s="14"/>
      <c r="Y421" s="14"/>
      <c r="Z421" s="14"/>
      <c r="AE421" s="15"/>
    </row>
    <row r="422" spans="4:44" x14ac:dyDescent="0.2"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V422" s="14"/>
      <c r="W422" s="14"/>
      <c r="X422" s="14"/>
      <c r="Y422" s="14"/>
      <c r="Z422" s="14"/>
      <c r="AE422" s="15"/>
    </row>
    <row r="423" spans="4:44" x14ac:dyDescent="0.2"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V423" s="14"/>
      <c r="W423" s="14"/>
      <c r="X423" s="14"/>
      <c r="Y423" s="14"/>
      <c r="Z423" s="14"/>
      <c r="AE423" s="14"/>
    </row>
    <row r="424" spans="4:44" x14ac:dyDescent="0.2"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V424" s="14"/>
      <c r="W424" s="14"/>
      <c r="X424" s="14"/>
      <c r="Y424" s="14"/>
      <c r="Z424" s="14"/>
      <c r="AE424" s="15"/>
    </row>
    <row r="425" spans="4:44" x14ac:dyDescent="0.2"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V425" s="14"/>
      <c r="W425" s="14"/>
      <c r="X425" s="14"/>
      <c r="Y425" s="14"/>
      <c r="Z425" s="14"/>
      <c r="AE425" s="15"/>
    </row>
    <row r="426" spans="4:44" x14ac:dyDescent="0.2"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V426" s="14"/>
      <c r="W426" s="14"/>
      <c r="X426" s="14"/>
      <c r="Y426" s="14"/>
      <c r="Z426" s="14"/>
      <c r="AE426" s="15"/>
    </row>
    <row r="427" spans="4:44" x14ac:dyDescent="0.2"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V427" s="14"/>
      <c r="W427" s="14"/>
      <c r="X427" s="14"/>
      <c r="Y427" s="14"/>
      <c r="Z427" s="14"/>
      <c r="AE427" s="14"/>
      <c r="AR427">
        <v>0</v>
      </c>
    </row>
    <row r="428" spans="4:44" x14ac:dyDescent="0.2"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V428" s="14"/>
      <c r="W428" s="14"/>
      <c r="X428" s="14"/>
      <c r="Y428" s="14"/>
      <c r="Z428" s="14"/>
      <c r="AE428" s="15"/>
    </row>
    <row r="429" spans="4:44" x14ac:dyDescent="0.2"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V429" s="14"/>
      <c r="W429" s="14"/>
      <c r="X429" s="14"/>
      <c r="Y429" s="14"/>
      <c r="Z429" s="14"/>
      <c r="AE429" s="15"/>
    </row>
    <row r="430" spans="4:44" x14ac:dyDescent="0.2"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V430" s="14"/>
      <c r="W430" s="14"/>
      <c r="X430" s="14"/>
      <c r="Y430" s="14"/>
      <c r="Z430" s="14"/>
      <c r="AE430" s="15"/>
    </row>
    <row r="431" spans="4:44" x14ac:dyDescent="0.2"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V431" s="14"/>
      <c r="W431" s="14"/>
      <c r="X431" s="14"/>
      <c r="Y431" s="14"/>
      <c r="Z431" s="14"/>
      <c r="AE431" s="14"/>
      <c r="AR431">
        <v>741</v>
      </c>
    </row>
    <row r="432" spans="4:44" x14ac:dyDescent="0.2"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V432" s="14"/>
      <c r="W432" s="14"/>
      <c r="X432" s="14"/>
      <c r="Y432" s="14"/>
      <c r="Z432" s="14"/>
      <c r="AE432" s="15"/>
    </row>
    <row r="433" spans="4:44" x14ac:dyDescent="0.2"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V433" s="14"/>
      <c r="W433" s="14"/>
      <c r="X433" s="14"/>
      <c r="Y433" s="14"/>
      <c r="Z433" s="14"/>
      <c r="AE433" s="15"/>
    </row>
    <row r="434" spans="4:44" x14ac:dyDescent="0.2"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V434" s="14"/>
      <c r="W434" s="14"/>
      <c r="X434" s="14"/>
      <c r="Y434" s="14"/>
      <c r="Z434" s="14"/>
      <c r="AE434" s="15"/>
    </row>
    <row r="435" spans="4:44" x14ac:dyDescent="0.2"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V435" s="14"/>
      <c r="W435" s="14"/>
      <c r="X435" s="14"/>
      <c r="Y435" s="14"/>
      <c r="Z435" s="14"/>
      <c r="AE435" s="14"/>
    </row>
    <row r="436" spans="4:44" x14ac:dyDescent="0.2"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V436" s="14"/>
      <c r="W436" s="14"/>
      <c r="X436" s="14"/>
      <c r="Y436" s="14"/>
      <c r="Z436" s="14"/>
      <c r="AE436" s="15"/>
    </row>
    <row r="437" spans="4:44" x14ac:dyDescent="0.2"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V437" s="14"/>
      <c r="W437" s="14"/>
      <c r="X437" s="14"/>
      <c r="Y437" s="14"/>
      <c r="Z437" s="14"/>
      <c r="AE437" s="15"/>
    </row>
    <row r="438" spans="4:44" x14ac:dyDescent="0.2"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V438" s="14"/>
      <c r="W438" s="14"/>
      <c r="X438" s="14"/>
      <c r="Y438" s="14"/>
      <c r="Z438" s="14"/>
      <c r="AE438" s="15"/>
    </row>
    <row r="439" spans="4:44" x14ac:dyDescent="0.2"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V439" s="14"/>
      <c r="W439" s="14"/>
      <c r="X439" s="14"/>
      <c r="Y439" s="14"/>
      <c r="Z439" s="14"/>
      <c r="AE439" s="14"/>
      <c r="AR439">
        <v>711</v>
      </c>
    </row>
    <row r="440" spans="4:44" x14ac:dyDescent="0.2"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V440" s="14"/>
      <c r="W440" s="14"/>
      <c r="X440" s="14"/>
      <c r="Y440" s="14"/>
      <c r="Z440" s="14"/>
      <c r="AE440" s="15"/>
    </row>
    <row r="441" spans="4:44" x14ac:dyDescent="0.2"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V441" s="14"/>
      <c r="W441" s="14"/>
      <c r="X441" s="14"/>
      <c r="Y441" s="14"/>
      <c r="Z441" s="14"/>
      <c r="AE441" s="15"/>
    </row>
    <row r="442" spans="4:44" x14ac:dyDescent="0.2"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V442" s="14"/>
      <c r="W442" s="14"/>
      <c r="X442" s="14"/>
      <c r="Y442" s="14"/>
      <c r="Z442" s="14"/>
      <c r="AE442" s="15"/>
    </row>
    <row r="443" spans="4:44" x14ac:dyDescent="0.2"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V443" s="14"/>
      <c r="W443" s="14"/>
      <c r="X443" s="14"/>
      <c r="Y443" s="14"/>
      <c r="Z443" s="14"/>
      <c r="AE443" s="14"/>
    </row>
    <row r="444" spans="4:44" x14ac:dyDescent="0.2"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V444" s="14"/>
      <c r="W444" s="14"/>
      <c r="X444" s="14"/>
      <c r="Y444" s="14"/>
      <c r="Z444" s="14"/>
      <c r="AE444" s="15"/>
    </row>
    <row r="445" spans="4:44" x14ac:dyDescent="0.2"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V445" s="14"/>
      <c r="W445" s="14"/>
      <c r="X445" s="14"/>
      <c r="Y445" s="14"/>
      <c r="Z445" s="14"/>
      <c r="AE445" s="15"/>
    </row>
    <row r="446" spans="4:44" x14ac:dyDescent="0.2"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V446" s="14"/>
      <c r="W446" s="14"/>
      <c r="X446" s="14"/>
      <c r="Y446" s="14"/>
      <c r="Z446" s="14"/>
      <c r="AE446" s="15"/>
    </row>
    <row r="447" spans="4:44" x14ac:dyDescent="0.2"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V447" s="14"/>
      <c r="W447" s="14"/>
      <c r="X447" s="14"/>
      <c r="Y447" s="14"/>
      <c r="Z447" s="14"/>
      <c r="AE447" s="14"/>
    </row>
    <row r="448" spans="4:44" x14ac:dyDescent="0.2"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V448" s="14"/>
      <c r="W448" s="14"/>
      <c r="X448" s="14"/>
      <c r="Y448" s="14"/>
      <c r="Z448" s="14"/>
      <c r="AE448" s="15"/>
    </row>
    <row r="449" spans="4:44" x14ac:dyDescent="0.2"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V449" s="14"/>
      <c r="W449" s="14"/>
      <c r="X449" s="14"/>
      <c r="Y449" s="14"/>
      <c r="Z449" s="14"/>
      <c r="AE449" s="15"/>
    </row>
    <row r="450" spans="4:44" x14ac:dyDescent="0.2"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V450" s="14"/>
      <c r="W450" s="14"/>
      <c r="X450" s="14"/>
      <c r="Y450" s="14"/>
      <c r="Z450" s="14"/>
      <c r="AE450" s="15"/>
    </row>
    <row r="451" spans="4:44" x14ac:dyDescent="0.2"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V451" s="14"/>
      <c r="W451" s="14"/>
      <c r="X451" s="14"/>
      <c r="Y451" s="14"/>
      <c r="Z451" s="14"/>
      <c r="AE451" s="14"/>
      <c r="AR451">
        <v>0</v>
      </c>
    </row>
    <row r="452" spans="4:44" x14ac:dyDescent="0.2"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V452" s="14"/>
      <c r="W452" s="14"/>
      <c r="X452" s="14"/>
      <c r="Y452" s="14"/>
      <c r="Z452" s="14"/>
      <c r="AE452" s="15"/>
    </row>
    <row r="453" spans="4:44" x14ac:dyDescent="0.2"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V453" s="14"/>
      <c r="W453" s="14"/>
      <c r="X453" s="14"/>
      <c r="Y453" s="14"/>
      <c r="Z453" s="14"/>
      <c r="AE453" s="15"/>
    </row>
    <row r="454" spans="4:44" x14ac:dyDescent="0.2"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V454" s="14"/>
      <c r="W454" s="14"/>
      <c r="X454" s="14"/>
      <c r="Y454" s="14"/>
      <c r="Z454" s="14"/>
      <c r="AE454" s="15"/>
    </row>
    <row r="455" spans="4:44" x14ac:dyDescent="0.2"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V455" s="14"/>
      <c r="W455" s="14"/>
      <c r="X455" s="14"/>
      <c r="Y455" s="14"/>
      <c r="Z455" s="14"/>
      <c r="AE455" s="14"/>
      <c r="AR455">
        <v>0</v>
      </c>
    </row>
    <row r="456" spans="4:44" x14ac:dyDescent="0.2"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V456" s="14"/>
      <c r="W456" s="14"/>
      <c r="X456" s="14"/>
      <c r="Y456" s="14"/>
      <c r="Z456" s="14"/>
      <c r="AE456" s="15"/>
    </row>
    <row r="457" spans="4:44" x14ac:dyDescent="0.2"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V457" s="14"/>
      <c r="W457" s="14"/>
      <c r="X457" s="14"/>
      <c r="Y457" s="14"/>
      <c r="Z457" s="14"/>
      <c r="AE457" s="15"/>
    </row>
    <row r="458" spans="4:44" x14ac:dyDescent="0.2"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V458" s="14"/>
      <c r="W458" s="14"/>
      <c r="X458" s="14"/>
      <c r="Y458" s="14"/>
      <c r="Z458" s="14"/>
      <c r="AE458" s="15"/>
    </row>
    <row r="459" spans="4:44" x14ac:dyDescent="0.2"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V459" s="14"/>
      <c r="W459" s="14"/>
      <c r="X459" s="14"/>
      <c r="Y459" s="14"/>
      <c r="Z459" s="14"/>
      <c r="AE459" s="14"/>
    </row>
    <row r="460" spans="4:44" x14ac:dyDescent="0.2"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V460" s="14"/>
      <c r="W460" s="14"/>
      <c r="X460" s="14"/>
      <c r="Y460" s="14"/>
      <c r="Z460" s="14"/>
      <c r="AE460" s="15"/>
    </row>
    <row r="461" spans="4:44" x14ac:dyDescent="0.2"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V461" s="14"/>
      <c r="W461" s="14"/>
      <c r="X461" s="14"/>
      <c r="Y461" s="14"/>
      <c r="Z461" s="14"/>
      <c r="AE461" s="15"/>
    </row>
    <row r="462" spans="4:44" x14ac:dyDescent="0.2"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V462" s="14"/>
      <c r="W462" s="14"/>
      <c r="X462" s="14"/>
      <c r="Y462" s="14"/>
      <c r="Z462" s="14"/>
      <c r="AE462" s="15"/>
    </row>
    <row r="463" spans="4:44" x14ac:dyDescent="0.2"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V463" s="14"/>
      <c r="W463" s="14"/>
      <c r="X463" s="14"/>
      <c r="Y463" s="14"/>
      <c r="Z463" s="14"/>
      <c r="AE463" s="14"/>
      <c r="AR463">
        <v>0</v>
      </c>
    </row>
    <row r="464" spans="4:44" x14ac:dyDescent="0.2"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V464" s="14"/>
      <c r="W464" s="14"/>
      <c r="X464" s="14"/>
      <c r="Y464" s="14"/>
      <c r="Z464" s="14"/>
      <c r="AE464" s="15"/>
    </row>
    <row r="465" spans="4:97" x14ac:dyDescent="0.2"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V465" s="14"/>
      <c r="W465" s="14"/>
      <c r="X465" s="14"/>
      <c r="Y465" s="14"/>
      <c r="Z465" s="14"/>
      <c r="AE465" s="15"/>
    </row>
    <row r="466" spans="4:97" x14ac:dyDescent="0.2"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V466" s="14"/>
      <c r="W466" s="14"/>
      <c r="X466" s="14"/>
      <c r="Y466" s="14"/>
      <c r="Z466" s="14"/>
      <c r="AE466" s="15"/>
    </row>
    <row r="467" spans="4:97" x14ac:dyDescent="0.2"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V467" s="14"/>
      <c r="W467" s="14"/>
      <c r="X467" s="14"/>
      <c r="Y467" s="14"/>
      <c r="Z467" s="14"/>
      <c r="AE467" s="14"/>
    </row>
    <row r="468" spans="4:97" x14ac:dyDescent="0.2"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V468" s="14"/>
      <c r="W468" s="14"/>
      <c r="X468" s="14"/>
      <c r="Y468" s="14"/>
      <c r="Z468" s="14"/>
      <c r="AE468" s="15"/>
    </row>
    <row r="469" spans="4:97" x14ac:dyDescent="0.2"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V469" s="14"/>
      <c r="W469" s="14"/>
      <c r="X469" s="14"/>
      <c r="Y469" s="14"/>
      <c r="Z469" s="14"/>
      <c r="AE469" s="15"/>
    </row>
    <row r="470" spans="4:97" x14ac:dyDescent="0.2"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V470" s="14"/>
      <c r="W470" s="14"/>
      <c r="X470" s="14"/>
      <c r="Y470" s="14"/>
      <c r="Z470" s="14"/>
      <c r="AE470" s="15"/>
    </row>
    <row r="471" spans="4:97" x14ac:dyDescent="0.2"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V471" s="14"/>
      <c r="W471" s="14"/>
      <c r="X471" s="14"/>
      <c r="Y471" s="14"/>
      <c r="Z471" s="14"/>
      <c r="AE471" s="14"/>
      <c r="CS471">
        <v>1878</v>
      </c>
    </row>
    <row r="472" spans="4:97" x14ac:dyDescent="0.2"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V472" s="14"/>
      <c r="W472" s="14"/>
      <c r="X472" s="14"/>
      <c r="Y472" s="14"/>
      <c r="Z472" s="14"/>
      <c r="AE472" s="15"/>
    </row>
    <row r="473" spans="4:97" x14ac:dyDescent="0.2"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V473" s="14"/>
      <c r="W473" s="14"/>
      <c r="X473" s="14"/>
      <c r="Y473" s="14"/>
      <c r="Z473" s="14"/>
      <c r="AE473" s="15"/>
    </row>
    <row r="474" spans="4:97" x14ac:dyDescent="0.2"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V474" s="14"/>
      <c r="W474" s="14"/>
      <c r="X474" s="14"/>
      <c r="Y474" s="14"/>
      <c r="Z474" s="14"/>
      <c r="AE474" s="15"/>
    </row>
    <row r="475" spans="4:97" x14ac:dyDescent="0.2"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V475" s="14"/>
      <c r="W475" s="14"/>
      <c r="X475" s="14"/>
      <c r="Y475" s="14"/>
      <c r="Z475" s="14"/>
      <c r="AE475" s="14"/>
      <c r="AR475">
        <v>2143</v>
      </c>
    </row>
    <row r="476" spans="4:97" x14ac:dyDescent="0.2"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V476" s="14"/>
      <c r="W476" s="14"/>
      <c r="X476" s="14"/>
      <c r="Y476" s="14"/>
      <c r="Z476" s="14"/>
      <c r="AE476" s="15"/>
    </row>
    <row r="477" spans="4:97" x14ac:dyDescent="0.2"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V477" s="14"/>
      <c r="W477" s="14"/>
      <c r="X477" s="14"/>
      <c r="Y477" s="14"/>
      <c r="Z477" s="14"/>
      <c r="AE477" s="15"/>
    </row>
    <row r="478" spans="4:97" x14ac:dyDescent="0.2"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V478" s="14"/>
      <c r="W478" s="14"/>
      <c r="X478" s="14"/>
      <c r="Y478" s="14"/>
      <c r="Z478" s="14"/>
      <c r="AE478" s="15"/>
    </row>
    <row r="479" spans="4:97" x14ac:dyDescent="0.2"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V479" s="14"/>
      <c r="W479" s="14"/>
      <c r="X479" s="14"/>
      <c r="Y479" s="14"/>
      <c r="Z479" s="14"/>
      <c r="AE479" s="14"/>
    </row>
    <row r="480" spans="4:97" x14ac:dyDescent="0.2"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V480" s="14"/>
      <c r="W480" s="14"/>
      <c r="X480" s="14"/>
      <c r="Y480" s="14"/>
      <c r="Z480" s="14"/>
      <c r="AE480" s="15"/>
    </row>
    <row r="481" spans="4:44" x14ac:dyDescent="0.2"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V481" s="14"/>
      <c r="W481" s="14"/>
      <c r="X481" s="14"/>
      <c r="Y481" s="14"/>
      <c r="Z481" s="14"/>
      <c r="AE481" s="15"/>
    </row>
    <row r="482" spans="4:44" x14ac:dyDescent="0.2"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V482" s="14"/>
      <c r="W482" s="14"/>
      <c r="X482" s="14"/>
      <c r="Y482" s="14"/>
      <c r="Z482" s="14"/>
      <c r="AE482" s="15"/>
    </row>
    <row r="483" spans="4:44" x14ac:dyDescent="0.2"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V483" s="14"/>
      <c r="W483" s="14"/>
      <c r="X483" s="14"/>
      <c r="Y483" s="14"/>
      <c r="Z483" s="14"/>
      <c r="AE483" s="14"/>
      <c r="AR483">
        <v>0</v>
      </c>
    </row>
    <row r="484" spans="4:44" x14ac:dyDescent="0.2"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V484" s="14"/>
      <c r="W484" s="14"/>
      <c r="X484" s="14"/>
      <c r="Y484" s="14"/>
      <c r="Z484" s="14"/>
      <c r="AE484" s="15"/>
    </row>
    <row r="485" spans="4:44" x14ac:dyDescent="0.2"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V485" s="14"/>
      <c r="W485" s="14"/>
      <c r="X485" s="14"/>
      <c r="Y485" s="14"/>
      <c r="Z485" s="14"/>
      <c r="AE485" s="15"/>
    </row>
    <row r="486" spans="4:44" x14ac:dyDescent="0.2"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V486" s="14"/>
      <c r="W486" s="14"/>
      <c r="X486" s="14"/>
      <c r="Y486" s="14"/>
      <c r="Z486" s="14"/>
      <c r="AE486" s="15"/>
    </row>
    <row r="487" spans="4:44" x14ac:dyDescent="0.2"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V487" s="14"/>
      <c r="W487" s="14"/>
      <c r="X487" s="14"/>
      <c r="Y487" s="14"/>
      <c r="Z487" s="14"/>
      <c r="AE487" s="14"/>
    </row>
    <row r="488" spans="4:44" x14ac:dyDescent="0.2"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V488" s="14"/>
      <c r="W488" s="14"/>
      <c r="X488" s="14"/>
      <c r="Y488" s="14"/>
      <c r="Z488" s="14"/>
      <c r="AE488" s="15"/>
    </row>
    <row r="489" spans="4:44" x14ac:dyDescent="0.2"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V489" s="14"/>
      <c r="W489" s="14"/>
      <c r="X489" s="14"/>
      <c r="Y489" s="14"/>
      <c r="Z489" s="14"/>
      <c r="AE489" s="15"/>
    </row>
    <row r="490" spans="4:44" x14ac:dyDescent="0.2"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V490" s="14"/>
      <c r="W490" s="14"/>
      <c r="X490" s="14"/>
      <c r="Y490" s="14"/>
      <c r="Z490" s="14"/>
      <c r="AE490" s="15"/>
    </row>
    <row r="491" spans="4:44" x14ac:dyDescent="0.2"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V491" s="14"/>
      <c r="W491" s="14"/>
      <c r="X491" s="14"/>
      <c r="Y491" s="14"/>
      <c r="Z491" s="14"/>
      <c r="AE491" s="14"/>
      <c r="AR491">
        <v>1486</v>
      </c>
    </row>
    <row r="492" spans="4:44" x14ac:dyDescent="0.2"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V492" s="14"/>
      <c r="W492" s="14"/>
      <c r="X492" s="14"/>
      <c r="Y492" s="14"/>
      <c r="Z492" s="14"/>
      <c r="AE492" s="15"/>
    </row>
    <row r="493" spans="4:44" x14ac:dyDescent="0.2"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V493" s="14"/>
      <c r="W493" s="14"/>
      <c r="X493" s="14"/>
      <c r="Y493" s="14"/>
      <c r="Z493" s="14"/>
      <c r="AE493" s="15"/>
    </row>
    <row r="494" spans="4:44" x14ac:dyDescent="0.2"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V494" s="14"/>
      <c r="W494" s="14"/>
      <c r="X494" s="14"/>
      <c r="Y494" s="14"/>
      <c r="Z494" s="14"/>
      <c r="AE494" s="15"/>
    </row>
    <row r="495" spans="4:44" x14ac:dyDescent="0.2"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V495" s="14"/>
      <c r="W495" s="14"/>
      <c r="X495" s="14"/>
      <c r="Y495" s="14"/>
      <c r="Z495" s="14"/>
      <c r="AE495" s="14"/>
      <c r="AR495">
        <v>1022</v>
      </c>
    </row>
    <row r="496" spans="4:44" x14ac:dyDescent="0.2"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V496" s="14"/>
      <c r="W496" s="14"/>
      <c r="X496" s="14"/>
      <c r="Y496" s="14"/>
      <c r="Z496" s="14"/>
      <c r="AE496" s="15"/>
    </row>
    <row r="497" spans="4:44" x14ac:dyDescent="0.2"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V497" s="14"/>
      <c r="W497" s="14"/>
      <c r="X497" s="14"/>
      <c r="Y497" s="14"/>
      <c r="Z497" s="14"/>
      <c r="AE497" s="15"/>
    </row>
    <row r="498" spans="4:44" x14ac:dyDescent="0.2"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V498" s="14"/>
      <c r="W498" s="14"/>
      <c r="X498" s="14"/>
      <c r="Y498" s="14"/>
      <c r="Z498" s="14"/>
      <c r="AE498" s="15"/>
    </row>
    <row r="499" spans="4:44" x14ac:dyDescent="0.2"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V499" s="14"/>
      <c r="W499" s="14"/>
      <c r="X499" s="14"/>
      <c r="Y499" s="14"/>
      <c r="Z499" s="14"/>
      <c r="AE499" s="14"/>
      <c r="AR499">
        <v>171</v>
      </c>
    </row>
    <row r="500" spans="4:44" x14ac:dyDescent="0.2"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V500" s="14"/>
      <c r="W500" s="14"/>
      <c r="X500" s="14"/>
      <c r="Y500" s="14"/>
      <c r="Z500" s="14"/>
      <c r="AE500" s="15"/>
    </row>
    <row r="501" spans="4:44" x14ac:dyDescent="0.2"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V501" s="14"/>
      <c r="W501" s="14"/>
      <c r="X501" s="14"/>
      <c r="Y501" s="14"/>
      <c r="Z501" s="14"/>
      <c r="AE501" s="15"/>
    </row>
    <row r="502" spans="4:44" x14ac:dyDescent="0.2"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V502" s="14"/>
      <c r="W502" s="14"/>
      <c r="X502" s="14"/>
      <c r="Y502" s="14"/>
      <c r="Z502" s="14"/>
      <c r="AE502" s="15"/>
    </row>
    <row r="503" spans="4:44" x14ac:dyDescent="0.2"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V503" s="14"/>
      <c r="W503" s="14"/>
      <c r="X503" s="14"/>
      <c r="Y503" s="14"/>
      <c r="Z503" s="14"/>
      <c r="AE503" s="14"/>
      <c r="AR503">
        <v>0</v>
      </c>
    </row>
    <row r="504" spans="4:44" x14ac:dyDescent="0.2"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V504" s="14"/>
      <c r="W504" s="14"/>
      <c r="X504" s="14"/>
      <c r="Y504" s="14"/>
      <c r="Z504" s="14"/>
      <c r="AE504" s="15"/>
    </row>
    <row r="505" spans="4:44" x14ac:dyDescent="0.2"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V505" s="14"/>
      <c r="W505" s="14"/>
      <c r="X505" s="14"/>
      <c r="Y505" s="14"/>
      <c r="Z505" s="14"/>
      <c r="AE505" s="15"/>
    </row>
    <row r="506" spans="4:44" x14ac:dyDescent="0.2"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V506" s="14"/>
      <c r="W506" s="14"/>
      <c r="X506" s="14"/>
      <c r="Y506" s="14"/>
      <c r="Z506" s="14"/>
      <c r="AE506" s="15"/>
    </row>
    <row r="507" spans="4:44" x14ac:dyDescent="0.2"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V507" s="14"/>
      <c r="W507" s="14"/>
      <c r="X507" s="14"/>
      <c r="Y507" s="14"/>
      <c r="Z507" s="14"/>
      <c r="AE507" s="14"/>
    </row>
    <row r="508" spans="4:44" x14ac:dyDescent="0.2"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V508" s="14"/>
      <c r="W508" s="14"/>
      <c r="X508" s="14"/>
      <c r="Y508" s="14"/>
      <c r="Z508" s="14"/>
      <c r="AE508" s="15"/>
    </row>
    <row r="509" spans="4:44" x14ac:dyDescent="0.2"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V509" s="14"/>
      <c r="W509" s="14"/>
      <c r="X509" s="14"/>
      <c r="Y509" s="14"/>
      <c r="Z509" s="14"/>
      <c r="AE509" s="15"/>
    </row>
    <row r="510" spans="4:44" x14ac:dyDescent="0.2"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V510" s="14"/>
      <c r="W510" s="14"/>
      <c r="X510" s="14"/>
      <c r="Y510" s="14"/>
      <c r="Z510" s="14"/>
      <c r="AE510" s="15"/>
    </row>
    <row r="511" spans="4:44" x14ac:dyDescent="0.2"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V511" s="14"/>
      <c r="W511" s="14"/>
      <c r="X511" s="14"/>
      <c r="Y511" s="14"/>
      <c r="Z511" s="14"/>
      <c r="AE511" s="14"/>
    </row>
    <row r="512" spans="4:44" x14ac:dyDescent="0.2"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V512" s="14"/>
      <c r="W512" s="14"/>
      <c r="X512" s="14"/>
      <c r="Y512" s="14"/>
      <c r="Z512" s="14"/>
      <c r="AE512" s="15"/>
    </row>
    <row r="513" spans="4:44" x14ac:dyDescent="0.2"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V513" s="14"/>
      <c r="W513" s="14"/>
      <c r="X513" s="14"/>
      <c r="Y513" s="14"/>
      <c r="Z513" s="14"/>
      <c r="AE513" s="15"/>
    </row>
    <row r="514" spans="4:44" x14ac:dyDescent="0.2"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V514" s="14"/>
      <c r="W514" s="14"/>
      <c r="X514" s="14"/>
      <c r="Y514" s="14"/>
      <c r="Z514" s="14"/>
      <c r="AE514" s="15"/>
    </row>
    <row r="515" spans="4:44" x14ac:dyDescent="0.2"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V515" s="14"/>
      <c r="W515" s="14"/>
      <c r="X515" s="14"/>
      <c r="Y515" s="14"/>
      <c r="Z515" s="14"/>
      <c r="AE515" s="14"/>
      <c r="AR515">
        <v>3</v>
      </c>
    </row>
    <row r="516" spans="4:44" x14ac:dyDescent="0.2"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V516" s="14"/>
      <c r="W516" s="14"/>
      <c r="X516" s="14"/>
      <c r="Y516" s="14"/>
      <c r="Z516" s="14"/>
      <c r="AE516" s="15"/>
    </row>
    <row r="517" spans="4:44" x14ac:dyDescent="0.2"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V517" s="14"/>
      <c r="W517" s="14"/>
      <c r="X517" s="14"/>
      <c r="Y517" s="14"/>
      <c r="Z517" s="14"/>
      <c r="AE517" s="15"/>
    </row>
    <row r="518" spans="4:44" x14ac:dyDescent="0.2"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V518" s="14"/>
      <c r="W518" s="14"/>
      <c r="X518" s="14"/>
      <c r="Y518" s="14"/>
      <c r="Z518" s="14"/>
      <c r="AE518" s="15"/>
    </row>
    <row r="519" spans="4:44" x14ac:dyDescent="0.2"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V519" s="14"/>
      <c r="W519" s="14"/>
      <c r="X519" s="14"/>
      <c r="Y519" s="14"/>
      <c r="Z519" s="14"/>
      <c r="AE519" s="14"/>
      <c r="AR519">
        <v>2241</v>
      </c>
    </row>
    <row r="520" spans="4:44" x14ac:dyDescent="0.2"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V520" s="14"/>
      <c r="W520" s="14"/>
      <c r="X520" s="14"/>
      <c r="Y520" s="14"/>
      <c r="Z520" s="14"/>
      <c r="AE520" s="15"/>
    </row>
    <row r="521" spans="4:44" x14ac:dyDescent="0.2"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V521" s="14"/>
      <c r="W521" s="14"/>
      <c r="X521" s="14"/>
      <c r="Y521" s="14"/>
      <c r="Z521" s="14"/>
      <c r="AE521" s="15"/>
    </row>
    <row r="522" spans="4:44" x14ac:dyDescent="0.2"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V522" s="14"/>
      <c r="W522" s="14"/>
      <c r="X522" s="14"/>
      <c r="Y522" s="14"/>
      <c r="Z522" s="14"/>
      <c r="AE522" s="15"/>
    </row>
    <row r="523" spans="4:44" x14ac:dyDescent="0.2"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V523" s="14"/>
      <c r="W523" s="14"/>
      <c r="X523" s="14"/>
      <c r="Y523" s="14"/>
      <c r="Z523" s="14"/>
      <c r="AE523" s="14"/>
    </row>
    <row r="524" spans="4:44" x14ac:dyDescent="0.2"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V524" s="14"/>
      <c r="W524" s="14"/>
      <c r="X524" s="14"/>
      <c r="Y524" s="14"/>
      <c r="Z524" s="14"/>
      <c r="AE524" s="15"/>
    </row>
    <row r="525" spans="4:44" x14ac:dyDescent="0.2"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V525" s="14"/>
      <c r="W525" s="14"/>
      <c r="X525" s="14"/>
      <c r="Y525" s="14"/>
      <c r="Z525" s="14"/>
      <c r="AE525" s="15"/>
    </row>
    <row r="526" spans="4:44" x14ac:dyDescent="0.2"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V526" s="14"/>
      <c r="W526" s="14"/>
      <c r="X526" s="14"/>
      <c r="Y526" s="14"/>
      <c r="Z526" s="14"/>
      <c r="AE526" s="15"/>
    </row>
    <row r="527" spans="4:44" x14ac:dyDescent="0.2"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V527" s="14"/>
      <c r="W527" s="14"/>
      <c r="X527" s="14"/>
      <c r="Y527" s="14"/>
      <c r="Z527" s="14"/>
      <c r="AE527" s="14"/>
      <c r="AR527">
        <v>0</v>
      </c>
    </row>
    <row r="528" spans="4:44" x14ac:dyDescent="0.2"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V528" s="14"/>
      <c r="W528" s="14"/>
      <c r="X528" s="14"/>
      <c r="Y528" s="14"/>
      <c r="Z528" s="14"/>
      <c r="AE528" s="15"/>
    </row>
    <row r="529" spans="4:44" x14ac:dyDescent="0.2"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V529" s="14"/>
      <c r="W529" s="14"/>
      <c r="X529" s="14"/>
      <c r="Y529" s="14"/>
      <c r="Z529" s="14"/>
      <c r="AE529" s="15"/>
    </row>
    <row r="530" spans="4:44" x14ac:dyDescent="0.2"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V530" s="14"/>
      <c r="W530" s="14"/>
      <c r="X530" s="14"/>
      <c r="Y530" s="14"/>
      <c r="Z530" s="14"/>
      <c r="AE530" s="15"/>
    </row>
    <row r="531" spans="4:44" x14ac:dyDescent="0.2"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V531" s="14"/>
      <c r="W531" s="14"/>
      <c r="X531" s="14"/>
      <c r="Y531" s="14"/>
      <c r="Z531" s="14"/>
      <c r="AE531" s="14"/>
      <c r="AR531">
        <v>1</v>
      </c>
    </row>
    <row r="532" spans="4:44" x14ac:dyDescent="0.2"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V532" s="14"/>
      <c r="W532" s="14"/>
      <c r="X532" s="14"/>
      <c r="Y532" s="14"/>
      <c r="Z532" s="14"/>
      <c r="AE532" s="15"/>
    </row>
    <row r="533" spans="4:44" x14ac:dyDescent="0.2"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V533" s="14"/>
      <c r="W533" s="14"/>
      <c r="X533" s="14"/>
      <c r="Y533" s="14"/>
      <c r="Z533" s="14"/>
      <c r="AE533" s="15"/>
    </row>
    <row r="534" spans="4:44" x14ac:dyDescent="0.2"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V534" s="14"/>
      <c r="W534" s="14"/>
      <c r="X534" s="14"/>
      <c r="Y534" s="14"/>
      <c r="Z534" s="14"/>
      <c r="AE534" s="15"/>
    </row>
    <row r="535" spans="4:44" x14ac:dyDescent="0.2"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V535" s="14"/>
      <c r="W535" s="14"/>
      <c r="X535" s="14"/>
      <c r="Y535" s="14"/>
      <c r="Z535" s="14"/>
      <c r="AE535" s="14"/>
    </row>
    <row r="536" spans="4:44" x14ac:dyDescent="0.2"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V536" s="14"/>
      <c r="W536" s="14"/>
      <c r="X536" s="14"/>
      <c r="Y536" s="14"/>
      <c r="Z536" s="14"/>
      <c r="AE536" s="15"/>
    </row>
    <row r="537" spans="4:44" x14ac:dyDescent="0.2"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V537" s="14"/>
      <c r="W537" s="14"/>
      <c r="X537" s="14"/>
      <c r="Y537" s="14"/>
      <c r="Z537" s="14"/>
      <c r="AE537" s="15"/>
    </row>
    <row r="538" spans="4:44" x14ac:dyDescent="0.2"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V538" s="14"/>
      <c r="W538" s="14"/>
      <c r="X538" s="14"/>
      <c r="Y538" s="14"/>
      <c r="Z538" s="14"/>
      <c r="AE538" s="15"/>
    </row>
    <row r="539" spans="4:44" x14ac:dyDescent="0.2"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V539" s="14"/>
      <c r="W539" s="14"/>
      <c r="X539" s="14"/>
      <c r="Y539" s="14"/>
      <c r="Z539" s="14"/>
      <c r="AE539" s="14"/>
    </row>
    <row r="540" spans="4:44" x14ac:dyDescent="0.2"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V540" s="14"/>
      <c r="W540" s="14"/>
      <c r="X540" s="14"/>
      <c r="Y540" s="14"/>
      <c r="Z540" s="14"/>
      <c r="AE540" s="15"/>
    </row>
    <row r="541" spans="4:44" x14ac:dyDescent="0.2"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V541" s="14"/>
      <c r="W541" s="14"/>
      <c r="X541" s="14"/>
      <c r="Y541" s="14"/>
      <c r="Z541" s="14"/>
      <c r="AE541" s="15"/>
    </row>
    <row r="542" spans="4:44" x14ac:dyDescent="0.2"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V542" s="14"/>
      <c r="W542" s="14"/>
      <c r="X542" s="14"/>
      <c r="Y542" s="14"/>
      <c r="Z542" s="14"/>
      <c r="AE542" s="15"/>
    </row>
    <row r="543" spans="4:44" x14ac:dyDescent="0.2"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V543" s="14"/>
      <c r="W543" s="14"/>
      <c r="X543" s="14"/>
      <c r="Y543" s="14"/>
      <c r="Z543" s="14"/>
      <c r="AE543" s="14"/>
    </row>
    <row r="544" spans="4:44" x14ac:dyDescent="0.2"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V544" s="14"/>
      <c r="W544" s="14"/>
      <c r="X544" s="14"/>
      <c r="Y544" s="14"/>
      <c r="Z544" s="14"/>
      <c r="AE544" s="15"/>
    </row>
    <row r="545" spans="1:120" x14ac:dyDescent="0.2"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V545" s="14"/>
      <c r="W545" s="14"/>
      <c r="X545" s="14"/>
      <c r="Y545" s="14"/>
      <c r="Z545" s="14"/>
      <c r="AE545" s="15"/>
    </row>
    <row r="546" spans="1:120" x14ac:dyDescent="0.2"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V546" s="14"/>
      <c r="W546" s="14"/>
      <c r="X546" s="14"/>
      <c r="Y546" s="14"/>
      <c r="Z546" s="14"/>
      <c r="AE546" s="15"/>
    </row>
    <row r="547" spans="1:120" x14ac:dyDescent="0.2"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V547" s="14"/>
      <c r="W547" s="14"/>
      <c r="X547" s="14"/>
      <c r="Y547" s="14"/>
      <c r="Z547" s="14"/>
      <c r="AE547" s="14"/>
      <c r="AR547">
        <v>984</v>
      </c>
    </row>
    <row r="548" spans="1:120" x14ac:dyDescent="0.2"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V548" s="14"/>
      <c r="W548" s="14"/>
      <c r="X548" s="14"/>
      <c r="Y548" s="14"/>
      <c r="Z548" s="14"/>
      <c r="AE548" s="15"/>
    </row>
    <row r="549" spans="1:120" x14ac:dyDescent="0.2"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V549" s="14"/>
      <c r="W549" s="14"/>
      <c r="X549" s="14"/>
      <c r="Y549" s="14"/>
      <c r="Z549" s="14"/>
      <c r="AE549" s="15"/>
    </row>
    <row r="550" spans="1:120" x14ac:dyDescent="0.2"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V550" s="14"/>
      <c r="W550" s="14"/>
      <c r="X550" s="14"/>
      <c r="Y550" s="14"/>
      <c r="Z550" s="14"/>
      <c r="AE550" s="15"/>
    </row>
    <row r="551" spans="1:120" x14ac:dyDescent="0.2"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V551" s="14"/>
      <c r="W551" s="14"/>
      <c r="X551" s="14"/>
      <c r="Y551" s="14"/>
      <c r="Z551" s="14"/>
      <c r="AE551" s="14"/>
      <c r="AR551">
        <v>490</v>
      </c>
    </row>
    <row r="552" spans="1:120" x14ac:dyDescent="0.2"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V552" s="14"/>
      <c r="W552" s="14"/>
      <c r="X552" s="14"/>
      <c r="Y552" s="14"/>
      <c r="Z552" s="14"/>
      <c r="AE552" s="15"/>
    </row>
    <row r="553" spans="1:120" x14ac:dyDescent="0.2"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V553" s="14"/>
      <c r="W553" s="14"/>
      <c r="X553" s="14"/>
      <c r="Y553" s="14"/>
      <c r="Z553" s="14"/>
      <c r="AE553" s="15"/>
    </row>
    <row r="554" spans="1:120" x14ac:dyDescent="0.2"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V554" s="14"/>
      <c r="W554" s="14"/>
      <c r="X554" s="14"/>
      <c r="Y554" s="14"/>
      <c r="Z554" s="14"/>
      <c r="AE554" s="15"/>
    </row>
    <row r="555" spans="1:120" x14ac:dyDescent="0.2"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V555" s="14"/>
      <c r="W555" s="14"/>
      <c r="X555" s="14"/>
      <c r="Y555" s="14"/>
      <c r="Z555" s="14"/>
      <c r="AE555" s="14"/>
    </row>
    <row r="556" spans="1:120" x14ac:dyDescent="0.2"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V556" s="14"/>
      <c r="W556" s="14"/>
      <c r="X556" s="14"/>
      <c r="Y556" s="14"/>
      <c r="Z556" s="14"/>
      <c r="AE556" s="15"/>
    </row>
    <row r="557" spans="1:120" x14ac:dyDescent="0.2"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V557" s="14"/>
      <c r="W557" s="14"/>
      <c r="X557" s="14"/>
      <c r="Y557" s="14"/>
      <c r="Z557" s="14"/>
      <c r="AE557" s="15"/>
    </row>
    <row r="558" spans="1:120" x14ac:dyDescent="0.2"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V558" s="14"/>
      <c r="W558" s="14"/>
      <c r="X558" s="14"/>
      <c r="Y558" s="14"/>
      <c r="Z558" s="14"/>
      <c r="AE558" s="15"/>
    </row>
    <row r="559" spans="1:120" s="43" customFormat="1" x14ac:dyDescent="0.2">
      <c r="A559"/>
      <c r="B559"/>
      <c r="C559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50"/>
      <c r="AB559" s="11"/>
      <c r="AC559" s="7"/>
      <c r="AD559" s="1"/>
      <c r="AE559" s="14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  <c r="CC559"/>
      <c r="CD559"/>
      <c r="CE559"/>
      <c r="CF559"/>
      <c r="CG559"/>
      <c r="CH559"/>
      <c r="CI559"/>
      <c r="CJ559"/>
      <c r="CK559"/>
      <c r="CL559"/>
      <c r="CM559"/>
      <c r="CN559"/>
      <c r="CO559"/>
      <c r="CP559"/>
      <c r="CQ559"/>
      <c r="CR559"/>
      <c r="CS559"/>
      <c r="CT559"/>
      <c r="CU559"/>
      <c r="CV559"/>
      <c r="CW559"/>
      <c r="CX559"/>
      <c r="CY559"/>
      <c r="CZ559"/>
      <c r="DA559"/>
      <c r="DB559"/>
      <c r="DC559"/>
      <c r="DD559"/>
      <c r="DE559"/>
      <c r="DF559"/>
      <c r="DG559"/>
      <c r="DH559"/>
      <c r="DI559"/>
      <c r="DJ559"/>
      <c r="DK559"/>
      <c r="DL559"/>
      <c r="DM559"/>
      <c r="DN559"/>
      <c r="DO559"/>
      <c r="DP559"/>
    </row>
    <row r="560" spans="1:120" s="43" customFormat="1" x14ac:dyDescent="0.2">
      <c r="A560"/>
      <c r="B560"/>
      <c r="C560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50"/>
      <c r="AB560" s="11"/>
      <c r="AC560" s="7"/>
      <c r="AD560" s="1"/>
      <c r="AE560" s="15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  <c r="CI560"/>
      <c r="CJ560"/>
      <c r="CK560"/>
      <c r="CL560"/>
      <c r="CM560"/>
      <c r="CN560"/>
      <c r="CO560"/>
      <c r="CP560"/>
      <c r="CQ560"/>
      <c r="CR560"/>
      <c r="CS560"/>
      <c r="CT560"/>
      <c r="CU560"/>
      <c r="CV560"/>
      <c r="CW560"/>
      <c r="CX560"/>
      <c r="CY560"/>
      <c r="CZ560"/>
      <c r="DA560"/>
      <c r="DB560"/>
      <c r="DC560"/>
      <c r="DD560"/>
      <c r="DE560"/>
      <c r="DF560"/>
      <c r="DG560"/>
      <c r="DH560"/>
      <c r="DI560"/>
      <c r="DJ560"/>
      <c r="DK560"/>
      <c r="DL560"/>
      <c r="DM560"/>
      <c r="DN560"/>
      <c r="DO560"/>
      <c r="DP560"/>
    </row>
    <row r="561" spans="1:120" s="43" customFormat="1" x14ac:dyDescent="0.2">
      <c r="A561"/>
      <c r="B561"/>
      <c r="C561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50"/>
      <c r="AB561" s="11"/>
      <c r="AC561" s="7"/>
      <c r="AD561" s="1"/>
      <c r="AE561" s="15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  <c r="CI561"/>
      <c r="CJ561"/>
      <c r="CK561"/>
      <c r="CL561"/>
      <c r="CM561"/>
      <c r="CN561"/>
      <c r="CO561"/>
      <c r="CP561"/>
      <c r="CQ561"/>
      <c r="CR561"/>
      <c r="CS561"/>
      <c r="CT561"/>
      <c r="CU561"/>
      <c r="CV561"/>
      <c r="CW561"/>
      <c r="CX561"/>
      <c r="CY561"/>
      <c r="CZ561"/>
      <c r="DA561"/>
      <c r="DB561"/>
      <c r="DC561"/>
      <c r="DD561"/>
      <c r="DE561"/>
      <c r="DF561"/>
      <c r="DG561"/>
      <c r="DH561"/>
      <c r="DI561"/>
      <c r="DJ561"/>
      <c r="DK561"/>
      <c r="DL561"/>
      <c r="DM561"/>
      <c r="DN561"/>
      <c r="DO561"/>
      <c r="DP561"/>
    </row>
    <row r="562" spans="1:120" s="43" customFormat="1" x14ac:dyDescent="0.2">
      <c r="A562"/>
      <c r="B562"/>
      <c r="C562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50"/>
      <c r="AB562" s="11"/>
      <c r="AC562" s="7"/>
      <c r="AD562" s="1"/>
      <c r="AE562" s="15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  <c r="CD562"/>
      <c r="CE562"/>
      <c r="CF562"/>
      <c r="CG562"/>
      <c r="CH562"/>
      <c r="CI562"/>
      <c r="CJ562"/>
      <c r="CK562"/>
      <c r="CL562"/>
      <c r="CM562"/>
      <c r="CN562"/>
      <c r="CO562"/>
      <c r="CP562"/>
      <c r="CQ562"/>
      <c r="CR562"/>
      <c r="CS562"/>
      <c r="CT562"/>
      <c r="CU562"/>
      <c r="CV562"/>
      <c r="CW562"/>
      <c r="CX562"/>
      <c r="CY562"/>
      <c r="CZ562"/>
      <c r="DA562"/>
      <c r="DB562"/>
      <c r="DC562"/>
      <c r="DD562"/>
      <c r="DE562"/>
      <c r="DF562"/>
      <c r="DG562"/>
      <c r="DH562"/>
      <c r="DI562"/>
      <c r="DJ562"/>
      <c r="DK562"/>
      <c r="DL562"/>
      <c r="DM562"/>
      <c r="DN562"/>
      <c r="DO562"/>
      <c r="DP562"/>
    </row>
    <row r="563" spans="1:120" s="43" customFormat="1" x14ac:dyDescent="0.2">
      <c r="A563"/>
      <c r="B563"/>
      <c r="C563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50"/>
      <c r="AB563" s="11"/>
      <c r="AC563" s="7"/>
      <c r="AD563" s="1"/>
      <c r="AE563" s="14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CA563"/>
      <c r="CB563"/>
      <c r="CC563"/>
      <c r="CD563"/>
      <c r="CE563"/>
      <c r="CF563"/>
      <c r="CG563"/>
      <c r="CH563"/>
      <c r="CI563"/>
      <c r="CJ563"/>
      <c r="CK563"/>
      <c r="CL563"/>
      <c r="CM563"/>
      <c r="CN563"/>
      <c r="CO563"/>
      <c r="CP563"/>
      <c r="CQ563"/>
      <c r="CR563"/>
      <c r="CS563"/>
      <c r="CT563"/>
      <c r="CU563"/>
      <c r="CV563"/>
      <c r="CW563"/>
      <c r="CX563"/>
      <c r="CY563"/>
      <c r="CZ563"/>
      <c r="DA563"/>
      <c r="DB563"/>
      <c r="DC563"/>
      <c r="DD563"/>
      <c r="DE563"/>
      <c r="DF563"/>
      <c r="DG563"/>
      <c r="DH563"/>
      <c r="DI563"/>
      <c r="DJ563"/>
      <c r="DK563"/>
      <c r="DL563"/>
      <c r="DM563"/>
      <c r="DN563"/>
      <c r="DO563"/>
      <c r="DP563"/>
    </row>
    <row r="564" spans="1:120" s="43" customFormat="1" x14ac:dyDescent="0.2">
      <c r="A564"/>
      <c r="B564"/>
      <c r="C56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50"/>
      <c r="AB564" s="11"/>
      <c r="AC564" s="7"/>
      <c r="AD564" s="1"/>
      <c r="AE564" s="15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  <c r="BY564"/>
      <c r="BZ564"/>
      <c r="CA564"/>
      <c r="CB564"/>
      <c r="CC564"/>
      <c r="CD564"/>
      <c r="CE564"/>
      <c r="CF564"/>
      <c r="CG564"/>
      <c r="CH564"/>
      <c r="CI564"/>
      <c r="CJ564"/>
      <c r="CK564"/>
      <c r="CL564"/>
      <c r="CM564"/>
      <c r="CN564"/>
      <c r="CO564"/>
      <c r="CP564"/>
      <c r="CQ564"/>
      <c r="CR564"/>
      <c r="CS564"/>
      <c r="CT564"/>
      <c r="CU564"/>
      <c r="CV564"/>
      <c r="CW564"/>
      <c r="CX564"/>
      <c r="CY564"/>
      <c r="CZ564"/>
      <c r="DA564"/>
      <c r="DB564"/>
      <c r="DC564"/>
      <c r="DD564"/>
      <c r="DE564"/>
      <c r="DF564"/>
      <c r="DG564"/>
      <c r="DH564"/>
      <c r="DI564"/>
      <c r="DJ564"/>
      <c r="DK564"/>
      <c r="DL564"/>
      <c r="DM564"/>
      <c r="DN564"/>
      <c r="DO564"/>
      <c r="DP564"/>
    </row>
    <row r="565" spans="1:120" s="43" customFormat="1" x14ac:dyDescent="0.2">
      <c r="A565"/>
      <c r="B565"/>
      <c r="C565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50"/>
      <c r="AB565" s="11"/>
      <c r="AC565" s="7"/>
      <c r="AD565" s="1"/>
      <c r="AE565" s="1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  <c r="BW565"/>
      <c r="BX565"/>
      <c r="BY565"/>
      <c r="BZ565"/>
      <c r="CA565"/>
      <c r="CB565"/>
      <c r="CC565"/>
      <c r="CD565"/>
      <c r="CE565"/>
      <c r="CF565"/>
      <c r="CG565"/>
      <c r="CH565"/>
      <c r="CI565"/>
      <c r="CJ565"/>
      <c r="CK565"/>
      <c r="CL565"/>
      <c r="CM565"/>
      <c r="CN565"/>
      <c r="CO565"/>
      <c r="CP565"/>
      <c r="CQ565"/>
      <c r="CR565"/>
      <c r="CS565"/>
      <c r="CT565"/>
      <c r="CU565"/>
      <c r="CV565"/>
      <c r="CW565"/>
      <c r="CX565"/>
      <c r="CY565"/>
      <c r="CZ565"/>
      <c r="DA565"/>
      <c r="DB565"/>
      <c r="DC565"/>
      <c r="DD565"/>
      <c r="DE565"/>
      <c r="DF565"/>
      <c r="DG565"/>
      <c r="DH565"/>
      <c r="DI565"/>
      <c r="DJ565"/>
      <c r="DK565"/>
      <c r="DL565"/>
      <c r="DM565"/>
      <c r="DN565"/>
      <c r="DO565"/>
      <c r="DP565"/>
    </row>
    <row r="566" spans="1:120" s="43" customFormat="1" x14ac:dyDescent="0.2">
      <c r="A566"/>
      <c r="B566"/>
      <c r="C566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50"/>
      <c r="AB566" s="11"/>
      <c r="AC566" s="7"/>
      <c r="AD566" s="1"/>
      <c r="AE566" s="15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  <c r="BW566"/>
      <c r="BX566"/>
      <c r="BY566"/>
      <c r="BZ566"/>
      <c r="CA566"/>
      <c r="CB566"/>
      <c r="CC566"/>
      <c r="CD566"/>
      <c r="CE566"/>
      <c r="CF566"/>
      <c r="CG566"/>
      <c r="CH566"/>
      <c r="CI566"/>
      <c r="CJ566"/>
      <c r="CK566"/>
      <c r="CL566"/>
      <c r="CM566"/>
      <c r="CN566"/>
      <c r="CO566"/>
      <c r="CP566"/>
      <c r="CQ566"/>
      <c r="CR566"/>
      <c r="CS566"/>
      <c r="CT566"/>
      <c r="CU566"/>
      <c r="CV566"/>
      <c r="CW566"/>
      <c r="CX566"/>
      <c r="CY566"/>
      <c r="CZ566"/>
      <c r="DA566"/>
      <c r="DB566"/>
      <c r="DC566"/>
      <c r="DD566"/>
      <c r="DE566"/>
      <c r="DF566"/>
      <c r="DG566"/>
      <c r="DH566"/>
      <c r="DI566"/>
      <c r="DJ566"/>
      <c r="DK566"/>
      <c r="DL566"/>
      <c r="DM566"/>
      <c r="DN566"/>
      <c r="DO566"/>
      <c r="DP566"/>
    </row>
    <row r="567" spans="1:120" s="43" customFormat="1" x14ac:dyDescent="0.2">
      <c r="A567"/>
      <c r="B567"/>
      <c r="C567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50"/>
      <c r="AB567" s="11"/>
      <c r="AC567" s="7"/>
      <c r="AD567" s="1"/>
      <c r="AE567" s="14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  <c r="BW567"/>
      <c r="BX567"/>
      <c r="BY567"/>
      <c r="BZ567"/>
      <c r="CA567"/>
      <c r="CB567"/>
      <c r="CC567"/>
      <c r="CD567"/>
      <c r="CE567"/>
      <c r="CF567"/>
      <c r="CG567"/>
      <c r="CH567"/>
      <c r="CI567"/>
      <c r="CJ567"/>
      <c r="CK567"/>
      <c r="CL567"/>
      <c r="CM567"/>
      <c r="CN567"/>
      <c r="CO567"/>
      <c r="CP567"/>
      <c r="CQ567"/>
      <c r="CR567"/>
      <c r="CS567"/>
      <c r="CT567"/>
      <c r="CU567"/>
      <c r="CV567"/>
      <c r="CW567"/>
      <c r="CX567"/>
      <c r="CY567"/>
      <c r="CZ567"/>
      <c r="DA567"/>
      <c r="DB567"/>
      <c r="DC567"/>
      <c r="DD567"/>
      <c r="DE567"/>
      <c r="DF567"/>
      <c r="DG567"/>
      <c r="DH567"/>
      <c r="DI567"/>
      <c r="DJ567"/>
      <c r="DK567"/>
      <c r="DL567"/>
      <c r="DM567"/>
      <c r="DN567"/>
      <c r="DO567"/>
      <c r="DP567"/>
    </row>
    <row r="568" spans="1:120" s="43" customFormat="1" x14ac:dyDescent="0.2">
      <c r="A568"/>
      <c r="B568"/>
      <c r="C568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50"/>
      <c r="AB568" s="11"/>
      <c r="AC568" s="7"/>
      <c r="AD568" s="1"/>
      <c r="AE568" s="15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  <c r="BW568"/>
      <c r="BX568"/>
      <c r="BY568"/>
      <c r="BZ568"/>
      <c r="CA568"/>
      <c r="CB568"/>
      <c r="CC568"/>
      <c r="CD568"/>
      <c r="CE568"/>
      <c r="CF568"/>
      <c r="CG568"/>
      <c r="CH568"/>
      <c r="CI568"/>
      <c r="CJ568"/>
      <c r="CK568"/>
      <c r="CL568"/>
      <c r="CM568"/>
      <c r="CN568"/>
      <c r="CO568"/>
      <c r="CP568"/>
      <c r="CQ568"/>
      <c r="CR568"/>
      <c r="CS568"/>
      <c r="CT568"/>
      <c r="CU568"/>
      <c r="CV568"/>
      <c r="CW568"/>
      <c r="CX568"/>
      <c r="CY568"/>
      <c r="CZ568"/>
      <c r="DA568"/>
      <c r="DB568"/>
      <c r="DC568"/>
      <c r="DD568"/>
      <c r="DE568"/>
      <c r="DF568"/>
      <c r="DG568"/>
      <c r="DH568"/>
      <c r="DI568"/>
      <c r="DJ568"/>
      <c r="DK568"/>
      <c r="DL568"/>
      <c r="DM568"/>
      <c r="DN568"/>
      <c r="DO568"/>
      <c r="DP568"/>
    </row>
    <row r="569" spans="1:120" s="43" customFormat="1" x14ac:dyDescent="0.2">
      <c r="A569"/>
      <c r="B569"/>
      <c r="C569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50"/>
      <c r="AB569" s="11"/>
      <c r="AC569" s="7"/>
      <c r="AD569" s="1"/>
      <c r="AE569" s="15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  <c r="BW569"/>
      <c r="BX569"/>
      <c r="BY569"/>
      <c r="BZ569"/>
      <c r="CA569"/>
      <c r="CB569"/>
      <c r="CC569"/>
      <c r="CD569"/>
      <c r="CE569"/>
      <c r="CF569"/>
      <c r="CG569"/>
      <c r="CH569"/>
      <c r="CI569"/>
      <c r="CJ569"/>
      <c r="CK569"/>
      <c r="CL569"/>
      <c r="CM569"/>
      <c r="CN569"/>
      <c r="CO569"/>
      <c r="CP569"/>
      <c r="CQ569"/>
      <c r="CR569"/>
      <c r="CS569"/>
      <c r="CT569"/>
      <c r="CU569"/>
      <c r="CV569"/>
      <c r="CW569"/>
      <c r="CX569"/>
      <c r="CY569"/>
      <c r="CZ569"/>
      <c r="DA569"/>
      <c r="DB569"/>
      <c r="DC569"/>
      <c r="DD569"/>
      <c r="DE569"/>
      <c r="DF569"/>
      <c r="DG569"/>
      <c r="DH569"/>
      <c r="DI569"/>
      <c r="DJ569"/>
      <c r="DK569"/>
      <c r="DL569"/>
      <c r="DM569"/>
      <c r="DN569"/>
      <c r="DO569"/>
      <c r="DP569"/>
    </row>
    <row r="570" spans="1:120" s="43" customFormat="1" x14ac:dyDescent="0.2">
      <c r="A570"/>
      <c r="B570"/>
      <c r="C570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50"/>
      <c r="AB570" s="11"/>
      <c r="AC570" s="7"/>
      <c r="AD570" s="1"/>
      <c r="AE570" s="15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  <c r="BW570"/>
      <c r="BX570"/>
      <c r="BY570"/>
      <c r="BZ570"/>
      <c r="CA570"/>
      <c r="CB570"/>
      <c r="CC570"/>
      <c r="CD570"/>
      <c r="CE570"/>
      <c r="CF570"/>
      <c r="CG570"/>
      <c r="CH570"/>
      <c r="CI570"/>
      <c r="CJ570"/>
      <c r="CK570"/>
      <c r="CL570"/>
      <c r="CM570"/>
      <c r="CN570"/>
      <c r="CO570"/>
      <c r="CP570"/>
      <c r="CQ570"/>
      <c r="CR570"/>
      <c r="CS570"/>
      <c r="CT570"/>
      <c r="CU570"/>
      <c r="CV570"/>
      <c r="CW570"/>
      <c r="CX570"/>
      <c r="CY570"/>
      <c r="CZ570"/>
      <c r="DA570"/>
      <c r="DB570"/>
      <c r="DC570"/>
      <c r="DD570"/>
      <c r="DE570"/>
      <c r="DF570"/>
      <c r="DG570"/>
      <c r="DH570"/>
      <c r="DI570"/>
      <c r="DJ570"/>
      <c r="DK570"/>
      <c r="DL570"/>
      <c r="DM570"/>
      <c r="DN570"/>
      <c r="DO570"/>
      <c r="DP570"/>
    </row>
    <row r="571" spans="1:120" s="43" customFormat="1" x14ac:dyDescent="0.2">
      <c r="A571"/>
      <c r="B571"/>
      <c r="C571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50"/>
      <c r="AB571" s="11"/>
      <c r="AC571" s="7"/>
      <c r="AD571" s="1"/>
      <c r="AE571" s="14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  <c r="BW571"/>
      <c r="BX571"/>
      <c r="BY571"/>
      <c r="BZ571"/>
      <c r="CA571"/>
      <c r="CB571"/>
      <c r="CC571"/>
      <c r="CD571"/>
      <c r="CE571"/>
      <c r="CF571"/>
      <c r="CG571"/>
      <c r="CH571"/>
      <c r="CI571"/>
      <c r="CJ571"/>
      <c r="CK571"/>
      <c r="CL571"/>
      <c r="CM571"/>
      <c r="CN571"/>
      <c r="CO571"/>
      <c r="CP571"/>
      <c r="CQ571"/>
      <c r="CR571"/>
      <c r="CS571"/>
      <c r="CT571"/>
      <c r="CU571"/>
      <c r="CV571"/>
      <c r="CW571"/>
      <c r="CX571"/>
      <c r="CY571"/>
      <c r="CZ571"/>
      <c r="DA571"/>
      <c r="DB571"/>
      <c r="DC571"/>
      <c r="DD571"/>
      <c r="DE571"/>
      <c r="DF571"/>
      <c r="DG571"/>
      <c r="DH571"/>
      <c r="DI571"/>
      <c r="DJ571"/>
      <c r="DK571"/>
      <c r="DL571"/>
      <c r="DM571"/>
      <c r="DN571"/>
      <c r="DO571"/>
      <c r="DP571"/>
    </row>
    <row r="572" spans="1:120" s="43" customFormat="1" x14ac:dyDescent="0.2">
      <c r="A572"/>
      <c r="B572"/>
      <c r="C572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50"/>
      <c r="AB572" s="11"/>
      <c r="AC572" s="7"/>
      <c r="AD572" s="1"/>
      <c r="AE572" s="15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  <c r="BW572"/>
      <c r="BX572"/>
      <c r="BY572"/>
      <c r="BZ572"/>
      <c r="CA572"/>
      <c r="CB572"/>
      <c r="CC572"/>
      <c r="CD572"/>
      <c r="CE572"/>
      <c r="CF572"/>
      <c r="CG572"/>
      <c r="CH572"/>
      <c r="CI572"/>
      <c r="CJ572"/>
      <c r="CK572"/>
      <c r="CL572"/>
      <c r="CM572"/>
      <c r="CN572"/>
      <c r="CO572"/>
      <c r="CP572"/>
      <c r="CQ572"/>
      <c r="CR572"/>
      <c r="CS572"/>
      <c r="CT572"/>
      <c r="CU572"/>
      <c r="CV572"/>
      <c r="CW572"/>
      <c r="CX572"/>
      <c r="CY572"/>
      <c r="CZ572"/>
      <c r="DA572"/>
      <c r="DB572"/>
      <c r="DC572"/>
      <c r="DD572"/>
      <c r="DE572"/>
      <c r="DF572"/>
      <c r="DG572"/>
      <c r="DH572"/>
      <c r="DI572"/>
      <c r="DJ572"/>
      <c r="DK572"/>
      <c r="DL572"/>
      <c r="DM572"/>
      <c r="DN572"/>
      <c r="DO572"/>
      <c r="DP572"/>
    </row>
    <row r="573" spans="1:120" s="43" customFormat="1" x14ac:dyDescent="0.2">
      <c r="A573"/>
      <c r="B573"/>
      <c r="C573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50"/>
      <c r="AB573" s="11"/>
      <c r="AC573" s="7"/>
      <c r="AD573" s="1"/>
      <c r="AE573" s="15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  <c r="BW573"/>
      <c r="BX573"/>
      <c r="BY573"/>
      <c r="BZ573"/>
      <c r="CA573"/>
      <c r="CB573"/>
      <c r="CC573"/>
      <c r="CD573"/>
      <c r="CE573"/>
      <c r="CF573"/>
      <c r="CG573"/>
      <c r="CH573"/>
      <c r="CI573"/>
      <c r="CJ573"/>
      <c r="CK573"/>
      <c r="CL573"/>
      <c r="CM573"/>
      <c r="CN573"/>
      <c r="CO573"/>
      <c r="CP573"/>
      <c r="CQ573"/>
      <c r="CR573"/>
      <c r="CS573"/>
      <c r="CT573"/>
      <c r="CU573"/>
      <c r="CV573"/>
      <c r="CW573"/>
      <c r="CX573"/>
      <c r="CY573"/>
      <c r="CZ573"/>
      <c r="DA573"/>
      <c r="DB573"/>
      <c r="DC573"/>
      <c r="DD573"/>
      <c r="DE573"/>
      <c r="DF573"/>
      <c r="DG573"/>
      <c r="DH573"/>
      <c r="DI573"/>
      <c r="DJ573"/>
      <c r="DK573"/>
      <c r="DL573"/>
      <c r="DM573"/>
      <c r="DN573"/>
      <c r="DO573"/>
      <c r="DP573"/>
    </row>
    <row r="574" spans="1:120" s="43" customFormat="1" x14ac:dyDescent="0.2">
      <c r="A574"/>
      <c r="B574"/>
      <c r="C57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50"/>
      <c r="AB574" s="11"/>
      <c r="AC574" s="7"/>
      <c r="AD574" s="1"/>
      <c r="AE574" s="15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  <c r="BW574"/>
      <c r="BX574"/>
      <c r="BY574"/>
      <c r="BZ574"/>
      <c r="CA574"/>
      <c r="CB574"/>
      <c r="CC574"/>
      <c r="CD574"/>
      <c r="CE574"/>
      <c r="CF574"/>
      <c r="CG574"/>
      <c r="CH574"/>
      <c r="CI574"/>
      <c r="CJ574"/>
      <c r="CK574"/>
      <c r="CL574"/>
      <c r="CM574"/>
      <c r="CN574"/>
      <c r="CO574"/>
      <c r="CP574"/>
      <c r="CQ574"/>
      <c r="CR574"/>
      <c r="CS574"/>
      <c r="CT574"/>
      <c r="CU574"/>
      <c r="CV574"/>
      <c r="CW574"/>
      <c r="CX574"/>
      <c r="CY574"/>
      <c r="CZ574"/>
      <c r="DA574"/>
      <c r="DB574"/>
      <c r="DC574"/>
      <c r="DD574"/>
      <c r="DE574"/>
      <c r="DF574"/>
      <c r="DG574"/>
      <c r="DH574"/>
      <c r="DI574"/>
      <c r="DJ574"/>
      <c r="DK574"/>
      <c r="DL574"/>
      <c r="DM574"/>
      <c r="DN574"/>
      <c r="DO574"/>
      <c r="DP574"/>
    </row>
    <row r="575" spans="1:120" s="43" customFormat="1" x14ac:dyDescent="0.2">
      <c r="A575"/>
      <c r="B575"/>
      <c r="C575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50"/>
      <c r="AB575" s="11"/>
      <c r="AC575" s="7"/>
      <c r="AD575" s="1"/>
      <c r="AE575" s="14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  <c r="BW575"/>
      <c r="BX575"/>
      <c r="BY575"/>
      <c r="BZ575"/>
      <c r="CA575"/>
      <c r="CB575"/>
      <c r="CC575"/>
      <c r="CD575"/>
      <c r="CE575"/>
      <c r="CF575"/>
      <c r="CG575"/>
      <c r="CH575"/>
      <c r="CI575"/>
      <c r="CJ575"/>
      <c r="CK575"/>
      <c r="CL575"/>
      <c r="CM575"/>
      <c r="CN575"/>
      <c r="CO575"/>
      <c r="CP575"/>
      <c r="CQ575"/>
      <c r="CR575"/>
      <c r="CS575"/>
      <c r="CT575"/>
      <c r="CU575"/>
      <c r="CV575"/>
      <c r="CW575"/>
      <c r="CX575"/>
      <c r="CY575"/>
      <c r="CZ575"/>
      <c r="DA575"/>
      <c r="DB575"/>
      <c r="DC575"/>
      <c r="DD575"/>
      <c r="DE575"/>
      <c r="DF575"/>
      <c r="DG575"/>
      <c r="DH575"/>
      <c r="DI575"/>
      <c r="DJ575"/>
      <c r="DK575"/>
      <c r="DL575"/>
      <c r="DM575"/>
      <c r="DN575"/>
      <c r="DO575"/>
      <c r="DP575"/>
    </row>
    <row r="576" spans="1:120" s="43" customFormat="1" x14ac:dyDescent="0.2">
      <c r="A576"/>
      <c r="B576"/>
      <c r="C576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50"/>
      <c r="AB576" s="11"/>
      <c r="AC576" s="7"/>
      <c r="AD576" s="1"/>
      <c r="AE576" s="15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  <c r="BW576"/>
      <c r="BX576"/>
      <c r="BY576"/>
      <c r="BZ576"/>
      <c r="CA576"/>
      <c r="CB576"/>
      <c r="CC576"/>
      <c r="CD576"/>
      <c r="CE576"/>
      <c r="CF576"/>
      <c r="CG576"/>
      <c r="CH576"/>
      <c r="CI576"/>
      <c r="CJ576"/>
      <c r="CK576"/>
      <c r="CL576"/>
      <c r="CM576"/>
      <c r="CN576"/>
      <c r="CO576"/>
      <c r="CP576"/>
      <c r="CQ576"/>
      <c r="CR576"/>
      <c r="CS576"/>
      <c r="CT576"/>
      <c r="CU576"/>
      <c r="CV576"/>
      <c r="CW576"/>
      <c r="CX576"/>
      <c r="CY576"/>
      <c r="CZ576"/>
      <c r="DA576"/>
      <c r="DB576"/>
      <c r="DC576"/>
      <c r="DD576"/>
      <c r="DE576"/>
      <c r="DF576"/>
      <c r="DG576"/>
      <c r="DH576"/>
      <c r="DI576"/>
      <c r="DJ576"/>
      <c r="DK576"/>
      <c r="DL576"/>
      <c r="DM576"/>
      <c r="DN576"/>
      <c r="DO576"/>
      <c r="DP576"/>
    </row>
    <row r="577" spans="1:120" s="43" customFormat="1" x14ac:dyDescent="0.2">
      <c r="A577"/>
      <c r="B577"/>
      <c r="C577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50"/>
      <c r="AB577" s="11"/>
      <c r="AC577" s="7"/>
      <c r="AD577" s="1"/>
      <c r="AE577" s="15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  <c r="BW577"/>
      <c r="BX577"/>
      <c r="BY577"/>
      <c r="BZ577"/>
      <c r="CA577"/>
      <c r="CB577"/>
      <c r="CC577"/>
      <c r="CD577"/>
      <c r="CE577"/>
      <c r="CF577"/>
      <c r="CG577"/>
      <c r="CH577"/>
      <c r="CI577"/>
      <c r="CJ577"/>
      <c r="CK577"/>
      <c r="CL577"/>
      <c r="CM577"/>
      <c r="CN577"/>
      <c r="CO577"/>
      <c r="CP577"/>
      <c r="CQ577"/>
      <c r="CR577"/>
      <c r="CS577"/>
      <c r="CT577"/>
      <c r="CU577"/>
      <c r="CV577"/>
      <c r="CW577"/>
      <c r="CX577"/>
      <c r="CY577"/>
      <c r="CZ577"/>
      <c r="DA577"/>
      <c r="DB577"/>
      <c r="DC577"/>
      <c r="DD577"/>
      <c r="DE577"/>
      <c r="DF577"/>
      <c r="DG577"/>
      <c r="DH577"/>
      <c r="DI577"/>
      <c r="DJ577"/>
      <c r="DK577"/>
      <c r="DL577"/>
      <c r="DM577"/>
      <c r="DN577"/>
      <c r="DO577"/>
      <c r="DP577"/>
    </row>
    <row r="578" spans="1:120" s="43" customFormat="1" x14ac:dyDescent="0.2">
      <c r="A578"/>
      <c r="B578"/>
      <c r="C578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50"/>
      <c r="AB578" s="11"/>
      <c r="AC578" s="7"/>
      <c r="AD578" s="1"/>
      <c r="AE578" s="15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  <c r="BW578"/>
      <c r="BX578"/>
      <c r="BY578"/>
      <c r="BZ578"/>
      <c r="CA578"/>
      <c r="CB578"/>
      <c r="CC578"/>
      <c r="CD578"/>
      <c r="CE578"/>
      <c r="CF578"/>
      <c r="CG578"/>
      <c r="CH578"/>
      <c r="CI578"/>
      <c r="CJ578"/>
      <c r="CK578"/>
      <c r="CL578"/>
      <c r="CM578"/>
      <c r="CN578"/>
      <c r="CO578"/>
      <c r="CP578"/>
      <c r="CQ578"/>
      <c r="CR578"/>
      <c r="CS578"/>
      <c r="CT578"/>
      <c r="CU578"/>
      <c r="CV578"/>
      <c r="CW578"/>
      <c r="CX578"/>
      <c r="CY578"/>
      <c r="CZ578"/>
      <c r="DA578"/>
      <c r="DB578"/>
      <c r="DC578"/>
      <c r="DD578"/>
      <c r="DE578"/>
      <c r="DF578"/>
      <c r="DG578"/>
      <c r="DH578"/>
      <c r="DI578"/>
      <c r="DJ578"/>
      <c r="DK578"/>
      <c r="DL578"/>
      <c r="DM578"/>
      <c r="DN578"/>
      <c r="DO578"/>
      <c r="DP578"/>
    </row>
    <row r="579" spans="1:120" s="43" customFormat="1" x14ac:dyDescent="0.2">
      <c r="A579"/>
      <c r="B579"/>
      <c r="C579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50"/>
      <c r="AB579" s="11"/>
      <c r="AC579" s="7"/>
      <c r="AD579" s="1"/>
      <c r="AE579" s="14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  <c r="BW579"/>
      <c r="BX579"/>
      <c r="BY579"/>
      <c r="BZ579"/>
      <c r="CA579"/>
      <c r="CB579"/>
      <c r="CC579"/>
      <c r="CD579"/>
      <c r="CE579"/>
      <c r="CF579"/>
      <c r="CG579"/>
      <c r="CH579"/>
      <c r="CI579"/>
      <c r="CJ579"/>
      <c r="CK579"/>
      <c r="CL579"/>
      <c r="CM579"/>
      <c r="CN579"/>
      <c r="CO579"/>
      <c r="CP579"/>
      <c r="CQ579"/>
      <c r="CR579"/>
      <c r="CS579"/>
      <c r="CT579"/>
      <c r="CU579"/>
      <c r="CV579"/>
      <c r="CW579"/>
      <c r="CX579"/>
      <c r="CY579"/>
      <c r="CZ579"/>
      <c r="DA579"/>
      <c r="DB579"/>
      <c r="DC579"/>
      <c r="DD579"/>
      <c r="DE579"/>
      <c r="DF579"/>
      <c r="DG579"/>
      <c r="DH579"/>
      <c r="DI579"/>
      <c r="DJ579"/>
      <c r="DK579"/>
      <c r="DL579"/>
      <c r="DM579"/>
      <c r="DN579"/>
      <c r="DO579"/>
      <c r="DP579"/>
    </row>
    <row r="580" spans="1:120" s="43" customFormat="1" x14ac:dyDescent="0.2">
      <c r="A580"/>
      <c r="B580"/>
      <c r="C580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50"/>
      <c r="AB580" s="11"/>
      <c r="AC580" s="7"/>
      <c r="AD580" s="1"/>
      <c r="AE580" s="15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  <c r="BW580"/>
      <c r="BX580"/>
      <c r="BY580"/>
      <c r="BZ580"/>
      <c r="CA580"/>
      <c r="CB580"/>
      <c r="CC580"/>
      <c r="CD580"/>
      <c r="CE580"/>
      <c r="CF580"/>
      <c r="CG580"/>
      <c r="CH580"/>
      <c r="CI580"/>
      <c r="CJ580"/>
      <c r="CK580"/>
      <c r="CL580"/>
      <c r="CM580"/>
      <c r="CN580"/>
      <c r="CO580"/>
      <c r="CP580"/>
      <c r="CQ580"/>
      <c r="CR580"/>
      <c r="CS580"/>
      <c r="CT580"/>
      <c r="CU580"/>
      <c r="CV580"/>
      <c r="CW580"/>
      <c r="CX580"/>
      <c r="CY580"/>
      <c r="CZ580"/>
      <c r="DA580"/>
      <c r="DB580"/>
      <c r="DC580"/>
      <c r="DD580"/>
      <c r="DE580"/>
      <c r="DF580"/>
      <c r="DG580"/>
      <c r="DH580"/>
      <c r="DI580"/>
      <c r="DJ580"/>
      <c r="DK580"/>
      <c r="DL580"/>
      <c r="DM580"/>
      <c r="DN580"/>
      <c r="DO580"/>
      <c r="DP580"/>
    </row>
    <row r="581" spans="1:120" s="43" customFormat="1" x14ac:dyDescent="0.2">
      <c r="A581"/>
      <c r="B581"/>
      <c r="C581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50"/>
      <c r="AB581" s="11"/>
      <c r="AC581" s="7"/>
      <c r="AD581" s="1"/>
      <c r="AE581" s="15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  <c r="BW581"/>
      <c r="BX581"/>
      <c r="BY581"/>
      <c r="BZ581"/>
      <c r="CA581"/>
      <c r="CB581"/>
      <c r="CC581"/>
      <c r="CD581"/>
      <c r="CE581"/>
      <c r="CF581"/>
      <c r="CG581"/>
      <c r="CH581"/>
      <c r="CI581"/>
      <c r="CJ581"/>
      <c r="CK581"/>
      <c r="CL581"/>
      <c r="CM581"/>
      <c r="CN581"/>
      <c r="CO581"/>
      <c r="CP581"/>
      <c r="CQ581"/>
      <c r="CR581"/>
      <c r="CS581"/>
      <c r="CT581"/>
      <c r="CU581"/>
      <c r="CV581"/>
      <c r="CW581"/>
      <c r="CX581"/>
      <c r="CY581"/>
      <c r="CZ581"/>
      <c r="DA581"/>
      <c r="DB581"/>
      <c r="DC581"/>
      <c r="DD581"/>
      <c r="DE581"/>
      <c r="DF581"/>
      <c r="DG581"/>
      <c r="DH581"/>
      <c r="DI581"/>
      <c r="DJ581"/>
      <c r="DK581"/>
      <c r="DL581"/>
      <c r="DM581"/>
      <c r="DN581"/>
      <c r="DO581"/>
      <c r="DP581"/>
    </row>
    <row r="582" spans="1:120" s="43" customFormat="1" x14ac:dyDescent="0.2">
      <c r="A582"/>
      <c r="B582"/>
      <c r="C582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50"/>
      <c r="AB582" s="11"/>
      <c r="AC582" s="7"/>
      <c r="AD582" s="1"/>
      <c r="AE582" s="15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  <c r="BW582"/>
      <c r="BX582"/>
      <c r="BY582"/>
      <c r="BZ582"/>
      <c r="CA582"/>
      <c r="CB582"/>
      <c r="CC582"/>
      <c r="CD582"/>
      <c r="CE582"/>
      <c r="CF582"/>
      <c r="CG582"/>
      <c r="CH582"/>
      <c r="CI582"/>
      <c r="CJ582"/>
      <c r="CK582"/>
      <c r="CL582"/>
      <c r="CM582"/>
      <c r="CN582"/>
      <c r="CO582"/>
      <c r="CP582"/>
      <c r="CQ582"/>
      <c r="CR582"/>
      <c r="CS582"/>
      <c r="CT582"/>
      <c r="CU582"/>
      <c r="CV582"/>
      <c r="CW582"/>
      <c r="CX582"/>
      <c r="CY582"/>
      <c r="CZ582"/>
      <c r="DA582"/>
      <c r="DB582"/>
      <c r="DC582"/>
      <c r="DD582"/>
      <c r="DE582"/>
      <c r="DF582"/>
      <c r="DG582"/>
      <c r="DH582"/>
      <c r="DI582"/>
      <c r="DJ582"/>
      <c r="DK582"/>
      <c r="DL582"/>
      <c r="DM582"/>
      <c r="DN582"/>
      <c r="DO582"/>
      <c r="DP582"/>
    </row>
    <row r="583" spans="1:120" s="43" customFormat="1" x14ac:dyDescent="0.2">
      <c r="A583"/>
      <c r="B583"/>
      <c r="C583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50"/>
      <c r="AB583" s="11"/>
      <c r="AC583" s="7"/>
      <c r="AD583" s="1"/>
      <c r="AE583" s="14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  <c r="BW583"/>
      <c r="BX583"/>
      <c r="BY583"/>
      <c r="BZ583"/>
      <c r="CA583"/>
      <c r="CB583"/>
      <c r="CC583"/>
      <c r="CD583"/>
      <c r="CE583"/>
      <c r="CF583"/>
      <c r="CG583"/>
      <c r="CH583"/>
      <c r="CI583"/>
      <c r="CJ583"/>
      <c r="CK583"/>
      <c r="CL583"/>
      <c r="CM583"/>
      <c r="CN583"/>
      <c r="CO583"/>
      <c r="CP583"/>
      <c r="CQ583"/>
      <c r="CR583"/>
      <c r="CS583"/>
      <c r="CT583"/>
      <c r="CU583"/>
      <c r="CV583"/>
      <c r="CW583"/>
      <c r="CX583"/>
      <c r="CY583"/>
      <c r="CZ583"/>
      <c r="DA583"/>
      <c r="DB583"/>
      <c r="DC583"/>
      <c r="DD583"/>
      <c r="DE583"/>
      <c r="DF583"/>
      <c r="DG583"/>
      <c r="DH583"/>
      <c r="DI583"/>
      <c r="DJ583"/>
      <c r="DK583"/>
      <c r="DL583"/>
      <c r="DM583"/>
      <c r="DN583"/>
      <c r="DO583"/>
      <c r="DP583"/>
    </row>
    <row r="584" spans="1:120" s="43" customFormat="1" x14ac:dyDescent="0.2">
      <c r="A584"/>
      <c r="B584"/>
      <c r="C58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50"/>
      <c r="AB584" s="11"/>
      <c r="AC584" s="7"/>
      <c r="AD584" s="1"/>
      <c r="AE584" s="15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  <c r="BW584"/>
      <c r="BX584"/>
      <c r="BY584"/>
      <c r="BZ584"/>
      <c r="CA584"/>
      <c r="CB584"/>
      <c r="CC584"/>
      <c r="CD584"/>
      <c r="CE584"/>
      <c r="CF584"/>
      <c r="CG584"/>
      <c r="CH584"/>
      <c r="CI584"/>
      <c r="CJ584"/>
      <c r="CK584"/>
      <c r="CL584"/>
      <c r="CM584"/>
      <c r="CN584"/>
      <c r="CO584"/>
      <c r="CP584"/>
      <c r="CQ584"/>
      <c r="CR584"/>
      <c r="CS584"/>
      <c r="CT584"/>
      <c r="CU584"/>
      <c r="CV584"/>
      <c r="CW584"/>
      <c r="CX584"/>
      <c r="CY584"/>
      <c r="CZ584"/>
      <c r="DA584"/>
      <c r="DB584"/>
      <c r="DC584"/>
      <c r="DD584"/>
      <c r="DE584"/>
      <c r="DF584"/>
      <c r="DG584"/>
      <c r="DH584"/>
      <c r="DI584"/>
      <c r="DJ584"/>
      <c r="DK584"/>
      <c r="DL584"/>
      <c r="DM584"/>
      <c r="DN584"/>
      <c r="DO584"/>
      <c r="DP584"/>
    </row>
    <row r="585" spans="1:120" s="43" customFormat="1" x14ac:dyDescent="0.2">
      <c r="A585"/>
      <c r="B585"/>
      <c r="C585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50"/>
      <c r="AB585" s="11"/>
      <c r="AC585" s="7"/>
      <c r="AD585" s="1"/>
      <c r="AE585" s="1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  <c r="BW585"/>
      <c r="BX585"/>
      <c r="BY585"/>
      <c r="BZ585"/>
      <c r="CA585"/>
      <c r="CB585"/>
      <c r="CC585"/>
      <c r="CD585"/>
      <c r="CE585"/>
      <c r="CF585"/>
      <c r="CG585"/>
      <c r="CH585"/>
      <c r="CI585"/>
      <c r="CJ585"/>
      <c r="CK585"/>
      <c r="CL585"/>
      <c r="CM585"/>
      <c r="CN585"/>
      <c r="CO585"/>
      <c r="CP585"/>
      <c r="CQ585"/>
      <c r="CR585"/>
      <c r="CS585"/>
      <c r="CT585"/>
      <c r="CU585"/>
      <c r="CV585"/>
      <c r="CW585"/>
      <c r="CX585"/>
      <c r="CY585"/>
      <c r="CZ585"/>
      <c r="DA585"/>
      <c r="DB585"/>
      <c r="DC585"/>
      <c r="DD585"/>
      <c r="DE585"/>
      <c r="DF585"/>
      <c r="DG585"/>
      <c r="DH585"/>
      <c r="DI585"/>
      <c r="DJ585"/>
      <c r="DK585"/>
      <c r="DL585"/>
      <c r="DM585"/>
      <c r="DN585"/>
      <c r="DO585"/>
      <c r="DP585"/>
    </row>
    <row r="586" spans="1:120" s="43" customFormat="1" x14ac:dyDescent="0.2">
      <c r="A586"/>
      <c r="B586"/>
      <c r="C586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50"/>
      <c r="AB586" s="11"/>
      <c r="AC586" s="7"/>
      <c r="AD586" s="1"/>
      <c r="AE586" s="15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  <c r="BW586"/>
      <c r="BX586"/>
      <c r="BY586"/>
      <c r="BZ586"/>
      <c r="CA586"/>
      <c r="CB586"/>
      <c r="CC586"/>
      <c r="CD586"/>
      <c r="CE586"/>
      <c r="CF586"/>
      <c r="CG586"/>
      <c r="CH586"/>
      <c r="CI586"/>
      <c r="CJ586"/>
      <c r="CK586"/>
      <c r="CL586"/>
      <c r="CM586"/>
      <c r="CN586"/>
      <c r="CO586"/>
      <c r="CP586"/>
      <c r="CQ586"/>
      <c r="CR586"/>
      <c r="CS586"/>
      <c r="CT586"/>
      <c r="CU586"/>
      <c r="CV586"/>
      <c r="CW586"/>
      <c r="CX586"/>
      <c r="CY586"/>
      <c r="CZ586"/>
      <c r="DA586"/>
      <c r="DB586"/>
      <c r="DC586"/>
      <c r="DD586"/>
      <c r="DE586"/>
      <c r="DF586"/>
      <c r="DG586"/>
      <c r="DH586"/>
      <c r="DI586"/>
      <c r="DJ586"/>
      <c r="DK586"/>
      <c r="DL586"/>
      <c r="DM586"/>
      <c r="DN586"/>
      <c r="DO586"/>
      <c r="DP586"/>
    </row>
    <row r="587" spans="1:120" s="43" customFormat="1" x14ac:dyDescent="0.2">
      <c r="A587"/>
      <c r="B587"/>
      <c r="C587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50"/>
      <c r="AB587" s="11"/>
      <c r="AC587" s="7"/>
      <c r="AD587" s="1"/>
      <c r="AE587" s="14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  <c r="BW587"/>
      <c r="BX587"/>
      <c r="BY587"/>
      <c r="BZ587"/>
      <c r="CA587"/>
      <c r="CB587"/>
      <c r="CC587"/>
      <c r="CD587"/>
      <c r="CE587"/>
      <c r="CF587"/>
      <c r="CG587"/>
      <c r="CH587"/>
      <c r="CI587"/>
      <c r="CJ587"/>
      <c r="CK587"/>
      <c r="CL587"/>
      <c r="CM587"/>
      <c r="CN587"/>
      <c r="CO587"/>
      <c r="CP587"/>
      <c r="CQ587"/>
      <c r="CR587"/>
      <c r="CS587"/>
      <c r="CT587"/>
      <c r="CU587"/>
      <c r="CV587"/>
      <c r="CW587"/>
      <c r="CX587"/>
      <c r="CY587"/>
      <c r="CZ587"/>
      <c r="DA587"/>
      <c r="DB587"/>
      <c r="DC587"/>
      <c r="DD587"/>
      <c r="DE587"/>
      <c r="DF587"/>
      <c r="DG587"/>
      <c r="DH587"/>
      <c r="DI587"/>
      <c r="DJ587"/>
      <c r="DK587"/>
      <c r="DL587"/>
      <c r="DM587"/>
      <c r="DN587"/>
      <c r="DO587"/>
      <c r="DP587"/>
    </row>
    <row r="588" spans="1:120" s="43" customFormat="1" x14ac:dyDescent="0.2">
      <c r="A588"/>
      <c r="B588"/>
      <c r="C588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50"/>
      <c r="AB588" s="11"/>
      <c r="AC588" s="7"/>
      <c r="AD588" s="1"/>
      <c r="AE588" s="15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  <c r="BW588"/>
      <c r="BX588"/>
      <c r="BY588"/>
      <c r="BZ588"/>
      <c r="CA588"/>
      <c r="CB588"/>
      <c r="CC588"/>
      <c r="CD588"/>
      <c r="CE588"/>
      <c r="CF588"/>
      <c r="CG588"/>
      <c r="CH588"/>
      <c r="CI588"/>
      <c r="CJ588"/>
      <c r="CK588"/>
      <c r="CL588"/>
      <c r="CM588"/>
      <c r="CN588"/>
      <c r="CO588"/>
      <c r="CP588"/>
      <c r="CQ588"/>
      <c r="CR588"/>
      <c r="CS588"/>
      <c r="CT588"/>
      <c r="CU588"/>
      <c r="CV588"/>
      <c r="CW588"/>
      <c r="CX588"/>
      <c r="CY588"/>
      <c r="CZ588"/>
      <c r="DA588"/>
      <c r="DB588"/>
      <c r="DC588"/>
      <c r="DD588"/>
      <c r="DE588"/>
      <c r="DF588"/>
      <c r="DG588"/>
      <c r="DH588"/>
      <c r="DI588"/>
      <c r="DJ588"/>
      <c r="DK588"/>
      <c r="DL588"/>
      <c r="DM588"/>
      <c r="DN588"/>
      <c r="DO588"/>
      <c r="DP588"/>
    </row>
    <row r="589" spans="1:120" s="43" customFormat="1" x14ac:dyDescent="0.2">
      <c r="A589"/>
      <c r="B589"/>
      <c r="C589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50"/>
      <c r="AB589" s="11"/>
      <c r="AC589" s="7"/>
      <c r="AD589" s="1"/>
      <c r="AE589" s="15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  <c r="BW589"/>
      <c r="BX589"/>
      <c r="BY589"/>
      <c r="BZ589"/>
      <c r="CA589"/>
      <c r="CB589"/>
      <c r="CC589"/>
      <c r="CD589"/>
      <c r="CE589"/>
      <c r="CF589"/>
      <c r="CG589"/>
      <c r="CH589"/>
      <c r="CI589"/>
      <c r="CJ589"/>
      <c r="CK589"/>
      <c r="CL589"/>
      <c r="CM589"/>
      <c r="CN589"/>
      <c r="CO589"/>
      <c r="CP589"/>
      <c r="CQ589"/>
      <c r="CR589"/>
      <c r="CS589"/>
      <c r="CT589"/>
      <c r="CU589"/>
      <c r="CV589"/>
      <c r="CW589"/>
      <c r="CX589"/>
      <c r="CY589"/>
      <c r="CZ589"/>
      <c r="DA589"/>
      <c r="DB589"/>
      <c r="DC589"/>
      <c r="DD589"/>
      <c r="DE589"/>
      <c r="DF589"/>
      <c r="DG589"/>
      <c r="DH589"/>
      <c r="DI589"/>
      <c r="DJ589"/>
      <c r="DK589"/>
      <c r="DL589"/>
      <c r="DM589"/>
      <c r="DN589"/>
      <c r="DO589"/>
      <c r="DP589"/>
    </row>
    <row r="590" spans="1:120" s="43" customFormat="1" x14ac:dyDescent="0.2">
      <c r="A590"/>
      <c r="B590"/>
      <c r="C590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50"/>
      <c r="AB590" s="11"/>
      <c r="AC590" s="7"/>
      <c r="AD590" s="1"/>
      <c r="AE590" s="15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  <c r="BW590"/>
      <c r="BX590"/>
      <c r="BY590"/>
      <c r="BZ590"/>
      <c r="CA590"/>
      <c r="CB590"/>
      <c r="CC590"/>
      <c r="CD590"/>
      <c r="CE590"/>
      <c r="CF590"/>
      <c r="CG590"/>
      <c r="CH590"/>
      <c r="CI590"/>
      <c r="CJ590"/>
      <c r="CK590"/>
      <c r="CL590"/>
      <c r="CM590"/>
      <c r="CN590"/>
      <c r="CO590"/>
      <c r="CP590"/>
      <c r="CQ590"/>
      <c r="CR590"/>
      <c r="CS590"/>
      <c r="CT590"/>
      <c r="CU590"/>
      <c r="CV590"/>
      <c r="CW590"/>
      <c r="CX590"/>
      <c r="CY590"/>
      <c r="CZ590"/>
      <c r="DA590"/>
      <c r="DB590"/>
      <c r="DC590"/>
      <c r="DD590"/>
      <c r="DE590"/>
      <c r="DF590"/>
      <c r="DG590"/>
      <c r="DH590"/>
      <c r="DI590"/>
      <c r="DJ590"/>
      <c r="DK590"/>
      <c r="DL590"/>
      <c r="DM590"/>
      <c r="DN590"/>
      <c r="DO590"/>
      <c r="DP590"/>
    </row>
    <row r="591" spans="1:120" x14ac:dyDescent="0.2"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V591" s="14"/>
      <c r="W591" s="14"/>
      <c r="X591" s="14"/>
      <c r="Y591" s="14"/>
      <c r="Z591" s="14"/>
      <c r="AE591" s="14"/>
    </row>
    <row r="592" spans="1:120" x14ac:dyDescent="0.2"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V592" s="14"/>
      <c r="W592" s="14"/>
      <c r="X592" s="14"/>
      <c r="Y592" s="14"/>
      <c r="Z592" s="14"/>
      <c r="AE592" s="15"/>
    </row>
    <row r="593" spans="4:32" x14ac:dyDescent="0.2"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V593" s="14"/>
      <c r="W593" s="14"/>
      <c r="X593" s="14"/>
      <c r="Y593" s="14"/>
      <c r="Z593" s="14"/>
      <c r="AE593" s="15"/>
    </row>
    <row r="594" spans="4:32" x14ac:dyDescent="0.2"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V594" s="14"/>
      <c r="W594" s="14"/>
      <c r="X594" s="14"/>
      <c r="Y594" s="14"/>
      <c r="Z594" s="14"/>
      <c r="AE594" s="15"/>
    </row>
    <row r="595" spans="4:32" x14ac:dyDescent="0.2"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V595" s="14"/>
      <c r="W595" s="14"/>
      <c r="X595" s="14"/>
      <c r="Y595" s="14"/>
      <c r="Z595" s="14"/>
      <c r="AE595" s="14"/>
    </row>
    <row r="596" spans="4:32" x14ac:dyDescent="0.2">
      <c r="AE596" s="15"/>
    </row>
    <row r="597" spans="4:32" x14ac:dyDescent="0.2">
      <c r="AE597" s="15"/>
    </row>
    <row r="598" spans="4:32" x14ac:dyDescent="0.2">
      <c r="AE598" s="15"/>
    </row>
    <row r="599" spans="4:32" x14ac:dyDescent="0.2">
      <c r="D599" t="e">
        <f>V599/((H599+I599+O599)/100)</f>
        <v>#DIV/0!</v>
      </c>
      <c r="E599" t="e">
        <f>AC599/AD599/(S599/100)</f>
        <v>#DIV/0!</v>
      </c>
      <c r="J599">
        <f>U599*(F599+G599)/100</f>
        <v>0</v>
      </c>
      <c r="L599">
        <f>U599*0.153</f>
        <v>0</v>
      </c>
      <c r="P599">
        <f>(H599+I599+J599+K599+L599+M599+N599+O599)*0.053</f>
        <v>0</v>
      </c>
      <c r="S599">
        <f>H599+I599+J599+K599+L599+M599+N599+O599+P599+Q599+R599</f>
        <v>0</v>
      </c>
      <c r="T599">
        <f>U599-J599-K599</f>
        <v>0</v>
      </c>
      <c r="U599"/>
      <c r="V599" s="46">
        <f>U599-S599</f>
        <v>0</v>
      </c>
      <c r="X599"/>
      <c r="Z599">
        <f>(S599-J599-K599)*AD599</f>
        <v>0</v>
      </c>
      <c r="AC599" s="7">
        <f>AF599-Z599-(J599+K599+L599)*Y599</f>
        <v>0</v>
      </c>
      <c r="AE599" s="14">
        <f>V599*AD599</f>
        <v>0</v>
      </c>
      <c r="AF599" s="43">
        <f>(U599-J599-K599)*AD599-AA599</f>
        <v>0</v>
      </c>
    </row>
    <row r="600" spans="4:32" x14ac:dyDescent="0.2">
      <c r="AE600" s="15"/>
    </row>
    <row r="601" spans="4:32" x14ac:dyDescent="0.2">
      <c r="AE601" s="15"/>
    </row>
    <row r="602" spans="4:32" x14ac:dyDescent="0.2">
      <c r="AE602" s="15"/>
    </row>
    <row r="603" spans="4:32" x14ac:dyDescent="0.2">
      <c r="D603" t="e">
        <f>V603/((H603+I603+O603)/100)</f>
        <v>#DIV/0!</v>
      </c>
      <c r="E603" t="e">
        <f>AC603/AD603/(S603/100)</f>
        <v>#DIV/0!</v>
      </c>
      <c r="J603">
        <f>U603*(F603+G603)/100</f>
        <v>0</v>
      </c>
      <c r="L603">
        <f>U603*0.1534</f>
        <v>0</v>
      </c>
      <c r="P603">
        <f>(H603+I603+J603+K603+L603+M603+N603+O603)*0.0534</f>
        <v>0</v>
      </c>
      <c r="S603">
        <f>H603+I603+J603+K603+L603+M603+N603+O603+P603+Q603+R603</f>
        <v>0</v>
      </c>
      <c r="T603">
        <f>U603-J603-K603</f>
        <v>0</v>
      </c>
      <c r="U603"/>
      <c r="V603" s="46">
        <f>U603-S603</f>
        <v>0</v>
      </c>
      <c r="X603"/>
      <c r="Z603">
        <f>(S603-J603-K603)*AD603</f>
        <v>0</v>
      </c>
      <c r="AC603" s="7">
        <f>AF603-Z603-(J603+K603+L603)*Y603</f>
        <v>0</v>
      </c>
      <c r="AE603" s="14">
        <f>V603*AD603</f>
        <v>0</v>
      </c>
      <c r="AF603" s="43">
        <f>(U603-J603-K603)*AD603-AA603</f>
        <v>0</v>
      </c>
    </row>
    <row r="604" spans="4:32" x14ac:dyDescent="0.2">
      <c r="AE604" s="15"/>
    </row>
    <row r="605" spans="4:32" x14ac:dyDescent="0.2">
      <c r="AE605" s="15"/>
    </row>
    <row r="606" spans="4:32" x14ac:dyDescent="0.2">
      <c r="AE606" s="15"/>
    </row>
    <row r="607" spans="4:32" x14ac:dyDescent="0.2">
      <c r="D607" t="e">
        <f>V607/((H607+I607+O607)/100)</f>
        <v>#DIV/0!</v>
      </c>
      <c r="E607" t="e">
        <f>AC607/AD607/(S607/100)</f>
        <v>#DIV/0!</v>
      </c>
      <c r="J607">
        <f>U607*(F607+G607)/100</f>
        <v>0</v>
      </c>
      <c r="L607">
        <f>U607*0.1538</f>
        <v>0</v>
      </c>
      <c r="P607">
        <f>(H607+I607+J607+K607+L607+M607+N607+O607)*0.0538</f>
        <v>0</v>
      </c>
      <c r="S607">
        <f>H607+I607+J607+K607+L607+M607+N607+O607+P607+Q607+R607</f>
        <v>0</v>
      </c>
      <c r="T607">
        <f>U607-J607-K607</f>
        <v>0</v>
      </c>
      <c r="U607"/>
      <c r="V607" s="46">
        <f>U607-S607</f>
        <v>0</v>
      </c>
      <c r="X607"/>
      <c r="Z607">
        <f>(S607-J607-K607)*AD607</f>
        <v>0</v>
      </c>
      <c r="AC607" s="7">
        <f>AF607-Z607-(J607+K607+L607)*Y607</f>
        <v>0</v>
      </c>
      <c r="AE607" s="14">
        <f>V607*AD607</f>
        <v>0</v>
      </c>
      <c r="AF607" s="43">
        <f>(U607-J607-K607)*AD607-AA607</f>
        <v>0</v>
      </c>
    </row>
    <row r="608" spans="4:32" x14ac:dyDescent="0.2">
      <c r="AE608" s="15"/>
    </row>
    <row r="609" spans="4:32" x14ac:dyDescent="0.2">
      <c r="AE609" s="15"/>
    </row>
    <row r="610" spans="4:32" x14ac:dyDescent="0.2">
      <c r="AE610" s="15"/>
    </row>
    <row r="611" spans="4:32" x14ac:dyDescent="0.2">
      <c r="D611" t="e">
        <f>V611/((H611+I611+O611)/100)</f>
        <v>#DIV/0!</v>
      </c>
      <c r="E611" t="e">
        <f>AC611/AD611/(S611/100)</f>
        <v>#DIV/0!</v>
      </c>
      <c r="J611">
        <f>U611*(F611+G611)/100</f>
        <v>0</v>
      </c>
      <c r="L611">
        <f>U611*0.1542</f>
        <v>0</v>
      </c>
      <c r="P611">
        <f>(H611+I611+J611+K611+L611+M611+N611+O611)*0.0542</f>
        <v>0</v>
      </c>
      <c r="S611">
        <f>H611+I611+J611+K611+L611+M611+N611+O611+P611+Q611+R611</f>
        <v>0</v>
      </c>
      <c r="T611">
        <f>U611-J611-K611</f>
        <v>0</v>
      </c>
      <c r="U611"/>
      <c r="V611" s="46">
        <f>U611-S611</f>
        <v>0</v>
      </c>
      <c r="X611"/>
      <c r="Z611">
        <f>(S611-J611-K611)*AD611</f>
        <v>0</v>
      </c>
      <c r="AC611" s="7">
        <f>AF611-Z611-(J611+K611+L611)*Y611</f>
        <v>0</v>
      </c>
      <c r="AE611" s="14">
        <f>V611*AD611</f>
        <v>0</v>
      </c>
      <c r="AF611" s="43">
        <f>(U611-J611-K611)*AD611-AA611</f>
        <v>0</v>
      </c>
    </row>
    <row r="612" spans="4:32" x14ac:dyDescent="0.2">
      <c r="AE612" s="15"/>
    </row>
    <row r="613" spans="4:32" x14ac:dyDescent="0.2">
      <c r="AE613" s="15"/>
    </row>
    <row r="614" spans="4:32" x14ac:dyDescent="0.2">
      <c r="AE614" s="15"/>
    </row>
    <row r="615" spans="4:32" x14ac:dyDescent="0.2">
      <c r="D615" t="e">
        <f>V615/((H615+I615+O615)/100)</f>
        <v>#DIV/0!</v>
      </c>
      <c r="E615" t="e">
        <f>AC615/AD615/(S615/100)</f>
        <v>#DIV/0!</v>
      </c>
      <c r="J615">
        <f>U615*(F615+G615)/100</f>
        <v>0</v>
      </c>
      <c r="L615">
        <f>U615*0.1546</f>
        <v>0</v>
      </c>
      <c r="P615">
        <f>(H615+I615+J615+K615+L615+M615+N615+O615)*0.0546</f>
        <v>0</v>
      </c>
      <c r="S615">
        <f>H615+I615+J615+K615+L615+M615+N615+O615+P615+Q615+R615</f>
        <v>0</v>
      </c>
      <c r="T615">
        <f>U615-J615-K615</f>
        <v>0</v>
      </c>
      <c r="U615"/>
      <c r="V615" s="46">
        <f>U615-S615</f>
        <v>0</v>
      </c>
      <c r="X615"/>
      <c r="Z615">
        <f>(S615-J615-K615)*AD615</f>
        <v>0</v>
      </c>
      <c r="AC615" s="7">
        <f>AF615-Z615-(J615+K615+L615)*Y615</f>
        <v>0</v>
      </c>
      <c r="AE615" s="14">
        <f>V615*AD615</f>
        <v>0</v>
      </c>
      <c r="AF615" s="43">
        <f>(U615-J615-K615)*AD615-AA615</f>
        <v>0</v>
      </c>
    </row>
    <row r="616" spans="4:32" x14ac:dyDescent="0.2">
      <c r="AE616" s="15"/>
    </row>
    <row r="617" spans="4:32" x14ac:dyDescent="0.2">
      <c r="AE617" s="15"/>
    </row>
    <row r="618" spans="4:32" x14ac:dyDescent="0.2">
      <c r="AE618" s="15"/>
    </row>
    <row r="619" spans="4:32" x14ac:dyDescent="0.2">
      <c r="D619" t="e">
        <f>V619/((H619+I619+O619)/100)</f>
        <v>#DIV/0!</v>
      </c>
      <c r="E619" t="e">
        <f>AC619/AD619/(S619/100)</f>
        <v>#DIV/0!</v>
      </c>
      <c r="J619">
        <f>U619*(F619+G619)/100</f>
        <v>0</v>
      </c>
      <c r="L619">
        <f>U619*0.155</f>
        <v>0</v>
      </c>
      <c r="P619">
        <f>(H619+I619+J619+K619+L619+M619+N619+O619)*0.055</f>
        <v>0</v>
      </c>
      <c r="S619">
        <f>H619+I619+J619+K619+L619+M619+N619+O619+P619+Q619+R619</f>
        <v>0</v>
      </c>
      <c r="T619">
        <f>U619-J619-K619</f>
        <v>0</v>
      </c>
      <c r="U619"/>
      <c r="V619" s="46">
        <f>U619-S619</f>
        <v>0</v>
      </c>
      <c r="X619"/>
      <c r="Z619">
        <f>(S619-J619-K619)*AD619</f>
        <v>0</v>
      </c>
      <c r="AC619" s="7">
        <f>AF619-Z619-(J619+K619+L619)*Y619</f>
        <v>0</v>
      </c>
      <c r="AE619" s="14">
        <f>V619*AD619</f>
        <v>0</v>
      </c>
      <c r="AF619" s="43">
        <f>(U619-J619-K619)*AD619-AA619</f>
        <v>0</v>
      </c>
    </row>
    <row r="620" spans="4:32" x14ac:dyDescent="0.2">
      <c r="AE620" s="15"/>
    </row>
    <row r="621" spans="4:32" x14ac:dyDescent="0.2">
      <c r="AE621" s="15"/>
    </row>
    <row r="622" spans="4:32" x14ac:dyDescent="0.2">
      <c r="AE622" s="15"/>
    </row>
    <row r="623" spans="4:32" x14ac:dyDescent="0.2">
      <c r="D623" t="e">
        <f>V623/((H623+I623+O623)/100)</f>
        <v>#DIV/0!</v>
      </c>
      <c r="E623" t="e">
        <f>AC623/AD623/(S623/100)</f>
        <v>#DIV/0!</v>
      </c>
      <c r="J623">
        <f>U623*(F623+G623)/100</f>
        <v>0</v>
      </c>
      <c r="L623">
        <f>U623*0.1554</f>
        <v>0</v>
      </c>
      <c r="P623">
        <f>(H623+I623+J623+K623+L623+M623+N623+O623)*0.0554</f>
        <v>0</v>
      </c>
      <c r="S623">
        <f>H623+I623+J623+K623+L623+M623+N623+O623+P623+Q623+R623</f>
        <v>0</v>
      </c>
      <c r="T623">
        <f>U623-J623-K623</f>
        <v>0</v>
      </c>
      <c r="U623"/>
      <c r="V623" s="46">
        <f>U623-S623</f>
        <v>0</v>
      </c>
      <c r="X623"/>
      <c r="Z623">
        <f>(S623-J623-K623)*AD623</f>
        <v>0</v>
      </c>
      <c r="AC623" s="7">
        <f>AF623-Z623-(J623+K623+L623)*Y623</f>
        <v>0</v>
      </c>
      <c r="AE623" s="14">
        <f>V623*AD623</f>
        <v>0</v>
      </c>
      <c r="AF623" s="43">
        <f>(U623-J623-K623)*AD623-AA623</f>
        <v>0</v>
      </c>
    </row>
    <row r="624" spans="4:32" x14ac:dyDescent="0.2">
      <c r="AE624" s="15"/>
    </row>
    <row r="625" spans="4:32" x14ac:dyDescent="0.2">
      <c r="AE625" s="15"/>
    </row>
    <row r="626" spans="4:32" x14ac:dyDescent="0.2">
      <c r="AE626" s="15"/>
    </row>
    <row r="627" spans="4:32" x14ac:dyDescent="0.2">
      <c r="D627" t="e">
        <f>V627/((H627+I627+O627)/100)</f>
        <v>#DIV/0!</v>
      </c>
      <c r="E627" t="e">
        <f>AC627/AD627/(S627/100)</f>
        <v>#DIV/0!</v>
      </c>
      <c r="J627">
        <f>U627*(F627+G627)/100</f>
        <v>0</v>
      </c>
      <c r="L627">
        <f>U627*0.1558</f>
        <v>0</v>
      </c>
      <c r="P627">
        <f>(H627+I627+J627+K627+L627+M627+N627+O627)*0.0558</f>
        <v>0</v>
      </c>
      <c r="S627">
        <f>H627+I627+J627+K627+L627+M627+N627+O627+P627+Q627+R627</f>
        <v>0</v>
      </c>
      <c r="T627">
        <f>U627-J627-K627</f>
        <v>0</v>
      </c>
      <c r="U627"/>
      <c r="V627" s="46">
        <f>U627-S627</f>
        <v>0</v>
      </c>
      <c r="X627"/>
      <c r="Z627">
        <f>(S627-J627-K627)*AD627</f>
        <v>0</v>
      </c>
      <c r="AC627" s="7">
        <f>AF627-Z627-(J627+K627+L627)*Y627</f>
        <v>0</v>
      </c>
      <c r="AE627" s="14">
        <f>V627*AD627</f>
        <v>0</v>
      </c>
      <c r="AF627" s="43">
        <f>(U627-J627-K627)*AD627-AA627</f>
        <v>0</v>
      </c>
    </row>
    <row r="628" spans="4:32" x14ac:dyDescent="0.2">
      <c r="AE628" s="15"/>
    </row>
    <row r="629" spans="4:32" x14ac:dyDescent="0.2">
      <c r="AE629" s="15"/>
    </row>
    <row r="630" spans="4:32" x14ac:dyDescent="0.2">
      <c r="AE630" s="15"/>
    </row>
    <row r="631" spans="4:32" x14ac:dyDescent="0.2">
      <c r="D631" t="e">
        <f>V631/((H631+I631+O631)/100)</f>
        <v>#DIV/0!</v>
      </c>
      <c r="E631" t="e">
        <f>AC631/AD631/(S631/100)</f>
        <v>#DIV/0!</v>
      </c>
      <c r="J631">
        <f>U631*(F631+G631)/100</f>
        <v>0</v>
      </c>
      <c r="L631">
        <f>U631*0.1562</f>
        <v>0</v>
      </c>
      <c r="P631">
        <f>(H631+I631+J631+K631+L631+M631+N631+O631)*0.0562</f>
        <v>0</v>
      </c>
      <c r="S631">
        <f>H631+I631+J631+K631+L631+M631+N631+O631+P631+Q631+R631</f>
        <v>0</v>
      </c>
      <c r="T631">
        <f>U631-J631-K631</f>
        <v>0</v>
      </c>
      <c r="U631"/>
      <c r="V631" s="46">
        <f>U631-S631</f>
        <v>0</v>
      </c>
      <c r="X631"/>
      <c r="Z631">
        <f>(S631-J631-K631)*AD631</f>
        <v>0</v>
      </c>
      <c r="AC631" s="7">
        <f>AF631-Z631-(J631+K631+L631)*Y631</f>
        <v>0</v>
      </c>
      <c r="AE631" s="14">
        <f>V631*AD631</f>
        <v>0</v>
      </c>
      <c r="AF631" s="43">
        <f>(U631-J631-K631)*AD631-AA631</f>
        <v>0</v>
      </c>
    </row>
    <row r="632" spans="4:32" x14ac:dyDescent="0.2">
      <c r="AE632" s="15"/>
    </row>
    <row r="633" spans="4:32" x14ac:dyDescent="0.2">
      <c r="AE633" s="15"/>
    </row>
    <row r="634" spans="4:32" x14ac:dyDescent="0.2">
      <c r="AE634" s="15"/>
    </row>
    <row r="635" spans="4:32" x14ac:dyDescent="0.2">
      <c r="D635" t="e">
        <f>V635/((H635+I635+O635)/100)</f>
        <v>#DIV/0!</v>
      </c>
      <c r="E635" t="e">
        <f>AC635/AD635/(S635/100)</f>
        <v>#DIV/0!</v>
      </c>
      <c r="J635">
        <f>U635*(F635+G635)/100</f>
        <v>0</v>
      </c>
      <c r="L635">
        <f>U635*0.1566</f>
        <v>0</v>
      </c>
      <c r="P635">
        <f>(H635+I635+J635+K635+L635+M635+N635+O635)*0.0566</f>
        <v>0</v>
      </c>
      <c r="S635">
        <f>H635+I635+J635+K635+L635+M635+N635+O635+P635+Q635+R635</f>
        <v>0</v>
      </c>
      <c r="T635">
        <f>U635-J635-K635</f>
        <v>0</v>
      </c>
      <c r="U635"/>
      <c r="V635" s="46">
        <f>U635-S635</f>
        <v>0</v>
      </c>
      <c r="X635"/>
      <c r="Z635">
        <f>(S635-J635-K635)*AD635</f>
        <v>0</v>
      </c>
      <c r="AC635" s="7">
        <f>AF635-Z635-(J635+K635+L635)*Y635</f>
        <v>0</v>
      </c>
      <c r="AE635" s="14">
        <f>V635*AD635</f>
        <v>0</v>
      </c>
      <c r="AF635" s="43">
        <f>(U635-J635-K635)*AD635-AA635</f>
        <v>0</v>
      </c>
    </row>
    <row r="636" spans="4:32" x14ac:dyDescent="0.2">
      <c r="AE636" s="15"/>
    </row>
    <row r="637" spans="4:32" x14ac:dyDescent="0.2">
      <c r="AE637" s="15"/>
    </row>
    <row r="638" spans="4:32" x14ac:dyDescent="0.2">
      <c r="AE638" s="15"/>
    </row>
    <row r="639" spans="4:32" x14ac:dyDescent="0.2">
      <c r="D639" t="e">
        <f>V639/((H639+I639+O639)/100)</f>
        <v>#DIV/0!</v>
      </c>
      <c r="E639" t="e">
        <f>AC639/AD639/(S639/100)</f>
        <v>#DIV/0!</v>
      </c>
      <c r="J639">
        <f>U639*(F639+G639)/100</f>
        <v>0</v>
      </c>
      <c r="L639">
        <f>U639*0.157</f>
        <v>0</v>
      </c>
      <c r="P639">
        <f>(H639+I639+J639+K639+L639+M639+N639+O639)*0.057</f>
        <v>0</v>
      </c>
      <c r="S639">
        <f>H639+I639+J639+K639+L639+M639+N639+O639+P639+Q639+R639</f>
        <v>0</v>
      </c>
      <c r="T639">
        <f>U639-J639-K639</f>
        <v>0</v>
      </c>
      <c r="U639"/>
      <c r="V639" s="46">
        <f>U639-S639</f>
        <v>0</v>
      </c>
      <c r="X639"/>
      <c r="Z639">
        <f>(S639-J639-K639)*AD639</f>
        <v>0</v>
      </c>
      <c r="AC639" s="7">
        <f>AF639-Z639-(J639+K639+L639)*Y639</f>
        <v>0</v>
      </c>
      <c r="AE639" s="14">
        <f>V639*AD639</f>
        <v>0</v>
      </c>
      <c r="AF639" s="43">
        <f>(U639-J639-K639)*AD639-AA639</f>
        <v>0</v>
      </c>
    </row>
    <row r="640" spans="4:32" x14ac:dyDescent="0.2">
      <c r="AE640" s="15"/>
    </row>
    <row r="641" spans="4:32" x14ac:dyDescent="0.2">
      <c r="AE641" s="15"/>
    </row>
    <row r="642" spans="4:32" x14ac:dyDescent="0.2">
      <c r="AE642" s="15"/>
    </row>
    <row r="643" spans="4:32" x14ac:dyDescent="0.2">
      <c r="D643" t="e">
        <f>V643/((H643+I643+O643)/100)</f>
        <v>#DIV/0!</v>
      </c>
      <c r="E643" t="e">
        <f>AC643/AD643/(S643/100)</f>
        <v>#DIV/0!</v>
      </c>
      <c r="J643">
        <f>U643*(F643+G643)/100</f>
        <v>0</v>
      </c>
      <c r="L643">
        <f>U643*0.1574</f>
        <v>0</v>
      </c>
      <c r="P643">
        <f>(H643+I643+J643+K643+L643+M643+N643+O643)*0.0574</f>
        <v>0</v>
      </c>
      <c r="S643">
        <f>H643+I643+J643+K643+L643+M643+N643+O643+P643+Q643+R643</f>
        <v>0</v>
      </c>
      <c r="T643">
        <f>U643-J643-K643</f>
        <v>0</v>
      </c>
      <c r="U643"/>
      <c r="V643" s="46">
        <f>U643-S643</f>
        <v>0</v>
      </c>
      <c r="X643"/>
      <c r="Z643">
        <f>(S643-J643-K643)*AD643</f>
        <v>0</v>
      </c>
      <c r="AC643" s="7">
        <f>AF643-Z643-(J643+K643+L643)*Y643</f>
        <v>0</v>
      </c>
      <c r="AE643" s="14">
        <f>V643*AD643</f>
        <v>0</v>
      </c>
      <c r="AF643" s="43">
        <f>(U643-J643-K643)*AD643-AA643</f>
        <v>0</v>
      </c>
    </row>
    <row r="644" spans="4:32" x14ac:dyDescent="0.2">
      <c r="AE644" s="15"/>
    </row>
    <row r="645" spans="4:32" x14ac:dyDescent="0.2">
      <c r="AE645" s="15"/>
    </row>
    <row r="646" spans="4:32" x14ac:dyDescent="0.2">
      <c r="AE646" s="15"/>
    </row>
    <row r="647" spans="4:32" x14ac:dyDescent="0.2">
      <c r="D647" t="e">
        <f>V647/((H647+I647+O647)/100)</f>
        <v>#DIV/0!</v>
      </c>
      <c r="E647" t="e">
        <f>AC647/AD647/(S647/100)</f>
        <v>#DIV/0!</v>
      </c>
      <c r="J647">
        <f>U647*(F647+G647)/100</f>
        <v>0</v>
      </c>
      <c r="L647">
        <f>U647*0.1578</f>
        <v>0</v>
      </c>
      <c r="P647">
        <f>(H647+I647+J647+K647+L647+M647+N647+O647)*0.0578</f>
        <v>0</v>
      </c>
      <c r="S647">
        <f>H647+I647+J647+K647+L647+M647+N647+O647+P647+Q647+R647</f>
        <v>0</v>
      </c>
      <c r="T647">
        <f>U647-J647-K647</f>
        <v>0</v>
      </c>
      <c r="U647"/>
      <c r="V647" s="46">
        <f>U647-S647</f>
        <v>0</v>
      </c>
      <c r="X647"/>
      <c r="Z647">
        <f>(S647-J647-K647)*AD647</f>
        <v>0</v>
      </c>
      <c r="AC647" s="7">
        <f>AF647-Z647-(J647+K647+L647)*Y647</f>
        <v>0</v>
      </c>
      <c r="AE647" s="14">
        <f>V647*AD647</f>
        <v>0</v>
      </c>
      <c r="AF647" s="43">
        <f>(U647-J647-K647)*AD647-AA647</f>
        <v>0</v>
      </c>
    </row>
    <row r="648" spans="4:32" x14ac:dyDescent="0.2">
      <c r="AE648" s="15"/>
    </row>
    <row r="649" spans="4:32" x14ac:dyDescent="0.2">
      <c r="AE649" s="15"/>
    </row>
    <row r="650" spans="4:32" x14ac:dyDescent="0.2">
      <c r="AE650" s="15"/>
    </row>
    <row r="651" spans="4:32" x14ac:dyDescent="0.2">
      <c r="D651" t="e">
        <f>V651/((H651+I651+O651)/100)</f>
        <v>#DIV/0!</v>
      </c>
      <c r="E651" t="e">
        <f>AC651/AD651/(S651/100)</f>
        <v>#DIV/0!</v>
      </c>
      <c r="J651">
        <f>U651*(F651+G651)/100</f>
        <v>0</v>
      </c>
      <c r="L651">
        <f>U651*0.1582</f>
        <v>0</v>
      </c>
      <c r="P651">
        <f>(H651+I651+J651+K651+L651+M651+N651+O651)*0.0582</f>
        <v>0</v>
      </c>
      <c r="S651">
        <f>H651+I651+J651+K651+L651+M651+N651+O651+P651+Q651+R651</f>
        <v>0</v>
      </c>
      <c r="T651">
        <f>U651-J651-K651</f>
        <v>0</v>
      </c>
      <c r="U651"/>
      <c r="V651" s="46">
        <f>U651-S651</f>
        <v>0</v>
      </c>
      <c r="X651"/>
      <c r="Z651">
        <f>(S651-J651-K651)*AD651</f>
        <v>0</v>
      </c>
      <c r="AC651" s="7">
        <f>AF651-Z651-(J651+K651+L651)*Y651</f>
        <v>0</v>
      </c>
      <c r="AE651" s="14">
        <f>V651*AD651</f>
        <v>0</v>
      </c>
      <c r="AF651" s="43">
        <f>(U651-J651-K651)*AD651-AA651</f>
        <v>0</v>
      </c>
    </row>
    <row r="652" spans="4:32" x14ac:dyDescent="0.2">
      <c r="AE652" s="15"/>
    </row>
    <row r="653" spans="4:32" x14ac:dyDescent="0.2">
      <c r="AE653" s="15"/>
    </row>
    <row r="654" spans="4:32" x14ac:dyDescent="0.2">
      <c r="AE654" s="15"/>
    </row>
    <row r="655" spans="4:32" x14ac:dyDescent="0.2">
      <c r="D655" t="e">
        <f>V655/((H655+I655+O655)/100)</f>
        <v>#DIV/0!</v>
      </c>
      <c r="E655" t="e">
        <f>AC655/AD655/(S655/100)</f>
        <v>#DIV/0!</v>
      </c>
      <c r="J655">
        <f>U655*(F655+G655)/100</f>
        <v>0</v>
      </c>
      <c r="L655">
        <f>U655*0.1586</f>
        <v>0</v>
      </c>
      <c r="P655">
        <f>(H655+I655+J655+K655+L655+M655+N655+O655)*0.0586</f>
        <v>0</v>
      </c>
      <c r="S655">
        <f>H655+I655+J655+K655+L655+M655+N655+O655+P655+Q655+R655</f>
        <v>0</v>
      </c>
      <c r="T655">
        <f>U655-J655-K655</f>
        <v>0</v>
      </c>
      <c r="U655"/>
      <c r="V655" s="46">
        <f>U655-S655</f>
        <v>0</v>
      </c>
      <c r="X655"/>
      <c r="Z655">
        <f>(S655-J655-K655)*AD655</f>
        <v>0</v>
      </c>
      <c r="AC655" s="7">
        <f>AF655-Z655-(J655+K655+L655)*Y655</f>
        <v>0</v>
      </c>
      <c r="AE655" s="14">
        <f>V655*AD655</f>
        <v>0</v>
      </c>
      <c r="AF655" s="43">
        <f>(U655-J655-K655)*AD655-AA655</f>
        <v>0</v>
      </c>
    </row>
    <row r="656" spans="4:32" x14ac:dyDescent="0.2">
      <c r="AE656" s="15"/>
    </row>
    <row r="657" spans="4:97" x14ac:dyDescent="0.2">
      <c r="AE657" s="15"/>
    </row>
    <row r="658" spans="4:97" x14ac:dyDescent="0.2">
      <c r="AE658" s="15"/>
    </row>
    <row r="659" spans="4:97" x14ac:dyDescent="0.2">
      <c r="D659" t="e">
        <f>V659/((H659+I659+O659)/100)</f>
        <v>#DIV/0!</v>
      </c>
      <c r="E659" t="e">
        <f>AC659/AD659/(S659/100)</f>
        <v>#VALUE!</v>
      </c>
      <c r="J659">
        <f>U659*(F659+G659)/100</f>
        <v>0</v>
      </c>
      <c r="L659">
        <f>U659*0.159</f>
        <v>0</v>
      </c>
      <c r="P659">
        <f>(H659+I659+J659+K659+L659+M659+N659+O659)*0.059</f>
        <v>0</v>
      </c>
      <c r="S659">
        <f>H659+I659+J659+K659+L659+M659+N659+O659+P659+Q659+R659</f>
        <v>0</v>
      </c>
      <c r="T659">
        <f>U659-J659-K659</f>
        <v>0</v>
      </c>
      <c r="U659"/>
      <c r="V659" s="46">
        <f>U659-S659</f>
        <v>0</v>
      </c>
      <c r="X659"/>
      <c r="Z659" t="e">
        <f>(S659-J659-K659)*AD659</f>
        <v>#VALUE!</v>
      </c>
      <c r="AC659" s="7" t="e">
        <f>AF659-Z659-(J659+K659+L659)*Y659</f>
        <v>#VALUE!</v>
      </c>
      <c r="AD659" s="1" t="s">
        <v>93</v>
      </c>
      <c r="AE659" s="14" t="e">
        <f>V659*AD659</f>
        <v>#VALUE!</v>
      </c>
      <c r="AF659" s="43" t="e">
        <f>(U659-J659-K659)*AD659-AA659</f>
        <v>#VALUE!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</row>
    <row r="660" spans="4:97" x14ac:dyDescent="0.2">
      <c r="AE660" s="15"/>
    </row>
    <row r="661" spans="4:97" x14ac:dyDescent="0.2">
      <c r="AE661" s="15"/>
    </row>
    <row r="662" spans="4:97" x14ac:dyDescent="0.2">
      <c r="AE662" s="15"/>
    </row>
    <row r="663" spans="4:97" x14ac:dyDescent="0.2">
      <c r="D663" t="e">
        <f>V663/((H663+I663+O663)/100)</f>
        <v>#DIV/0!</v>
      </c>
      <c r="E663" t="e">
        <f>AC663/AD663/(S663/100)</f>
        <v>#DIV/0!</v>
      </c>
      <c r="J663">
        <f>U663*(F663+G663)/100</f>
        <v>0</v>
      </c>
      <c r="L663">
        <f>U663*0.1594</f>
        <v>0</v>
      </c>
      <c r="P663">
        <f>(H663+I663+J663+K663+L663+M663+N663+O663)*0.0594</f>
        <v>0</v>
      </c>
      <c r="S663">
        <f>H663+I663+J663+K663+L663+M663+N663+O663+P663+Q663+R663</f>
        <v>0</v>
      </c>
      <c r="T663">
        <f>U663-J663-K663</f>
        <v>0</v>
      </c>
      <c r="U663"/>
      <c r="V663" s="46">
        <f>U663-S663</f>
        <v>0</v>
      </c>
      <c r="X663"/>
      <c r="Z663">
        <f>(S663-J663-K663)*AD663</f>
        <v>0</v>
      </c>
      <c r="AC663" s="7">
        <f>AF663-Z663-(J663+K663+L663)*Y663</f>
        <v>0</v>
      </c>
      <c r="AE663" s="14">
        <f>V663*AD663</f>
        <v>0</v>
      </c>
      <c r="AF663" s="43">
        <f>(U663-J663-K663)*AD663-AA663</f>
        <v>0</v>
      </c>
      <c r="AX663">
        <v>8996</v>
      </c>
    </row>
    <row r="664" spans="4:97" x14ac:dyDescent="0.2">
      <c r="AE664" s="15"/>
    </row>
    <row r="665" spans="4:97" x14ac:dyDescent="0.2">
      <c r="AE665" s="15"/>
    </row>
    <row r="666" spans="4:97" x14ac:dyDescent="0.2">
      <c r="AE666" s="15"/>
    </row>
    <row r="667" spans="4:97" x14ac:dyDescent="0.2">
      <c r="D667" t="e">
        <f>V667/((H667+I667+O667)/100)</f>
        <v>#DIV/0!</v>
      </c>
      <c r="E667" t="e">
        <f>AC667/AD667/(S667/100)</f>
        <v>#DIV/0!</v>
      </c>
      <c r="J667">
        <f>U667*(F667+G667)/100</f>
        <v>0</v>
      </c>
      <c r="L667">
        <f>U667*0.1598</f>
        <v>0</v>
      </c>
      <c r="P667">
        <f>(H667+I667+J667+K667+L667+M667+N667+O667)*0.0598</f>
        <v>0</v>
      </c>
      <c r="S667">
        <f>H667+I667+J667+K667+L667+M667+N667+O667+P667+Q667+R667</f>
        <v>0</v>
      </c>
      <c r="T667">
        <f>U667-J667-K667</f>
        <v>0</v>
      </c>
      <c r="U667"/>
      <c r="V667" s="46">
        <f>U667-S667</f>
        <v>0</v>
      </c>
      <c r="X667"/>
      <c r="Z667">
        <f>(S667-J667-K667)*AD667</f>
        <v>0</v>
      </c>
      <c r="AC667" s="7">
        <f>AF667-Z667-(J667+K667+L667)*Y667</f>
        <v>0</v>
      </c>
      <c r="AE667" s="14">
        <f>V667*AD667</f>
        <v>0</v>
      </c>
      <c r="AF667" s="43">
        <f>(U667-J667-K667)*AD667-AA667</f>
        <v>0</v>
      </c>
      <c r="AX667">
        <v>0</v>
      </c>
    </row>
    <row r="668" spans="4:97" x14ac:dyDescent="0.2">
      <c r="AE668" s="15"/>
    </row>
    <row r="669" spans="4:97" x14ac:dyDescent="0.2">
      <c r="AE669" s="15"/>
    </row>
    <row r="670" spans="4:97" x14ac:dyDescent="0.2">
      <c r="AE670" s="15"/>
    </row>
    <row r="671" spans="4:97" x14ac:dyDescent="0.2">
      <c r="D671" t="e">
        <f>V671/((H671+I671+O671)/100)</f>
        <v>#DIV/0!</v>
      </c>
      <c r="E671" t="e">
        <f>AC671/AD671/(S671/100)</f>
        <v>#DIV/0!</v>
      </c>
      <c r="J671">
        <f>U671*(F671+G671)/100</f>
        <v>0</v>
      </c>
      <c r="L671">
        <f>U671*0.1602</f>
        <v>0</v>
      </c>
      <c r="P671">
        <f>(H671+I671+J671+K671+L671+M671+N671+O671)*0.0602</f>
        <v>0</v>
      </c>
      <c r="S671">
        <f>H671+I671+J671+K671+L671+M671+N671+O671+P671+Q671+R671</f>
        <v>0</v>
      </c>
      <c r="T671">
        <f>U671-J671-K671</f>
        <v>0</v>
      </c>
      <c r="U671"/>
      <c r="V671" s="46">
        <f>U671-S671</f>
        <v>0</v>
      </c>
      <c r="X671"/>
      <c r="Z671">
        <f>(S671-J671-K671)*AD671</f>
        <v>0</v>
      </c>
      <c r="AC671" s="7">
        <f>AF671-Z671-(J671+K671+L671)*Y671</f>
        <v>0</v>
      </c>
      <c r="AE671" s="14">
        <f>V671*AD671</f>
        <v>0</v>
      </c>
      <c r="AF671" s="43">
        <f>(U671-J671-K671)*AD671-AA671</f>
        <v>0</v>
      </c>
      <c r="AX671">
        <v>0</v>
      </c>
      <c r="CS671">
        <v>313</v>
      </c>
    </row>
    <row r="672" spans="4:97" x14ac:dyDescent="0.2">
      <c r="AE672" s="15"/>
    </row>
    <row r="673" spans="4:50" x14ac:dyDescent="0.2">
      <c r="AE673" s="15"/>
    </row>
    <row r="674" spans="4:50" x14ac:dyDescent="0.2">
      <c r="AE674" s="15"/>
    </row>
    <row r="675" spans="4:50" x14ac:dyDescent="0.2">
      <c r="D675" t="e">
        <f>V675/((H675+I675+O675)/100)</f>
        <v>#DIV/0!</v>
      </c>
      <c r="E675" t="e">
        <f>AC675/AD675/(S675/100)</f>
        <v>#VALUE!</v>
      </c>
      <c r="J675">
        <f>U675*(F675+G675)/100</f>
        <v>0</v>
      </c>
      <c r="L675">
        <f>U675*0.1606</f>
        <v>0</v>
      </c>
      <c r="P675">
        <f>(H675+I675+J675+K675+L675+M675+N675+O675)*0.0606</f>
        <v>0</v>
      </c>
      <c r="S675">
        <f>H675+I675+J675+K675+L675+M675+N675+O675+P675+Q675+R675</f>
        <v>0</v>
      </c>
      <c r="T675">
        <f>U675-J675-K675</f>
        <v>0</v>
      </c>
      <c r="U675"/>
      <c r="V675" s="46">
        <f>U675-S675</f>
        <v>0</v>
      </c>
      <c r="X675"/>
      <c r="Z675" t="e">
        <f>(S675-J675-K675)*AD675</f>
        <v>#VALUE!</v>
      </c>
      <c r="AC675" s="7" t="e">
        <f>AF675-Z675-(J675+K675+L675)*Y675</f>
        <v>#VALUE!</v>
      </c>
      <c r="AD675" s="1" t="s">
        <v>95</v>
      </c>
      <c r="AE675" s="14" t="e">
        <f>V675*AD675</f>
        <v>#VALUE!</v>
      </c>
      <c r="AF675" s="43" t="e">
        <f>(U675-J675-K675)*AD675-AA675</f>
        <v>#VALUE!</v>
      </c>
      <c r="AX675">
        <v>0</v>
      </c>
    </row>
    <row r="676" spans="4:50" x14ac:dyDescent="0.2">
      <c r="AE676" s="15"/>
    </row>
    <row r="677" spans="4:50" x14ac:dyDescent="0.2">
      <c r="AE677" s="15"/>
    </row>
    <row r="678" spans="4:50" x14ac:dyDescent="0.2">
      <c r="AE678" s="15"/>
    </row>
    <row r="679" spans="4:50" x14ac:dyDescent="0.2">
      <c r="D679" t="e">
        <f>V679/((H679+I679+O679)/100)</f>
        <v>#DIV/0!</v>
      </c>
      <c r="E679" t="e">
        <f>AC679/AD679/(S679/100)</f>
        <v>#VALUE!</v>
      </c>
      <c r="J679">
        <f>U679*(F679+G679)/100</f>
        <v>0</v>
      </c>
      <c r="L679">
        <f>U679*0.161</f>
        <v>0</v>
      </c>
      <c r="P679">
        <f>(H679+I679+J679+K679+L679+M679+N679+O679)*0.061</f>
        <v>0</v>
      </c>
      <c r="S679">
        <f>H679+I679+J679+K679+L679+M679+N679+O679+P679+Q679+R679</f>
        <v>0</v>
      </c>
      <c r="T679">
        <f>U679-J679-K679</f>
        <v>0</v>
      </c>
      <c r="U679"/>
      <c r="V679" s="46">
        <f>U679-S679</f>
        <v>0</v>
      </c>
      <c r="X679"/>
      <c r="Z679" t="e">
        <f>(S679-J679-K679)*AD679</f>
        <v>#VALUE!</v>
      </c>
      <c r="AA679" s="50" t="s">
        <v>3</v>
      </c>
      <c r="AC679" s="7" t="e">
        <f>AF679-Z679-(J679+K679+L679)*Y679</f>
        <v>#VALUE!</v>
      </c>
      <c r="AD679" s="1" t="s">
        <v>1</v>
      </c>
      <c r="AE679" s="14" t="e">
        <f>V679*AD679</f>
        <v>#VALUE!</v>
      </c>
      <c r="AF679" s="43" t="e">
        <f>(U679-J679-K679)*AD679-AA679</f>
        <v>#VALUE!</v>
      </c>
      <c r="AR679">
        <v>80</v>
      </c>
    </row>
    <row r="680" spans="4:50" x14ac:dyDescent="0.2">
      <c r="AE680" s="15"/>
    </row>
    <row r="681" spans="4:50" x14ac:dyDescent="0.2">
      <c r="AE681" s="15"/>
    </row>
    <row r="682" spans="4:50" x14ac:dyDescent="0.2">
      <c r="AE682" s="15"/>
    </row>
    <row r="683" spans="4:50" x14ac:dyDescent="0.2">
      <c r="D683" t="e">
        <f>V683/((H683+I683+O683)/100)</f>
        <v>#DIV/0!</v>
      </c>
      <c r="E683" t="e">
        <f>AC683/AD683/(S683/100)</f>
        <v>#DIV/0!</v>
      </c>
      <c r="J683">
        <f>U683*(F683+G683)/100</f>
        <v>0</v>
      </c>
      <c r="L683">
        <f>U683*0.1614</f>
        <v>0</v>
      </c>
      <c r="P683">
        <f>(H683+I683+J683+K683+L683+M683+N683+O683)*0.0614</f>
        <v>0</v>
      </c>
      <c r="S683">
        <f>H683+I683+J683+K683+L683+M683+N683+O683+P683+Q683+R683</f>
        <v>0</v>
      </c>
      <c r="T683">
        <f>U683-J683-K683</f>
        <v>0</v>
      </c>
      <c r="U683"/>
      <c r="V683" s="46">
        <f>U683-S683</f>
        <v>0</v>
      </c>
      <c r="X683"/>
      <c r="Z683">
        <f>(S683-J683-K683)*AD683</f>
        <v>0</v>
      </c>
      <c r="AC683" s="7">
        <f>AF683-Z683-(J683+K683+L683)*Y683</f>
        <v>0</v>
      </c>
      <c r="AD683" s="1">
        <v>-613</v>
      </c>
      <c r="AE683" s="14">
        <f>V683*AD683</f>
        <v>0</v>
      </c>
      <c r="AF683" s="43">
        <f>(U683-J683-K683)*AD683-AA683</f>
        <v>0</v>
      </c>
      <c r="AX683">
        <v>1</v>
      </c>
    </row>
    <row r="684" spans="4:50" x14ac:dyDescent="0.2">
      <c r="AE684" s="15"/>
    </row>
    <row r="685" spans="4:50" x14ac:dyDescent="0.2">
      <c r="AE685" s="15"/>
    </row>
    <row r="686" spans="4:50" x14ac:dyDescent="0.2">
      <c r="AE686" s="15"/>
    </row>
    <row r="687" spans="4:50" x14ac:dyDescent="0.2">
      <c r="D687" t="e">
        <f>V687/((H687+I687+O687)/100)</f>
        <v>#DIV/0!</v>
      </c>
      <c r="E687" t="e">
        <f>AC687/AD687/(S687/100)</f>
        <v>#DIV/0!</v>
      </c>
      <c r="J687">
        <f>U687*(F687+G687)/100</f>
        <v>0</v>
      </c>
      <c r="L687">
        <f>U687*0.1618</f>
        <v>0</v>
      </c>
      <c r="P687">
        <f>(H687+I687+J687+K687+L687+M687+N687+O687)*0.0618</f>
        <v>0</v>
      </c>
      <c r="S687">
        <f>H687+I687+J687+K687+L687+M687+N687+O687+P687+Q687+R687</f>
        <v>0</v>
      </c>
      <c r="T687">
        <f>U687-J687-K687</f>
        <v>0</v>
      </c>
      <c r="U687"/>
      <c r="V687" s="46">
        <f>U687-S687</f>
        <v>0</v>
      </c>
      <c r="X687"/>
      <c r="Z687">
        <f>(S687-J687-K687)*AD687</f>
        <v>0</v>
      </c>
      <c r="AC687" s="7">
        <f>AF687-Z687-(J687+K687+L687)*Y687</f>
        <v>0</v>
      </c>
      <c r="AE687" s="14">
        <f>V687*AD687</f>
        <v>0</v>
      </c>
      <c r="AF687" s="43">
        <f>(U687-J687-K687)*AD687-AA687</f>
        <v>0</v>
      </c>
      <c r="AX687">
        <v>3404</v>
      </c>
    </row>
    <row r="688" spans="4:50" x14ac:dyDescent="0.2">
      <c r="AE688" s="15"/>
    </row>
    <row r="689" spans="4:97" x14ac:dyDescent="0.2">
      <c r="AE689" s="15"/>
    </row>
    <row r="690" spans="4:97" x14ac:dyDescent="0.2">
      <c r="AE690" s="15"/>
    </row>
    <row r="691" spans="4:97" x14ac:dyDescent="0.2">
      <c r="D691" t="e">
        <f>V691/((H691+I691+O691)/100)</f>
        <v>#DIV/0!</v>
      </c>
      <c r="E691" t="e">
        <f>AC691/AD691/(S691/100)</f>
        <v>#DIV/0!</v>
      </c>
      <c r="J691">
        <f>U691*(F691+G691)/100</f>
        <v>0</v>
      </c>
      <c r="L691">
        <f>U691*0.1622</f>
        <v>0</v>
      </c>
      <c r="P691">
        <f>(H691+I691+J691+K691+L691+M691+N691+O691)*0.0622</f>
        <v>0</v>
      </c>
      <c r="S691">
        <f>H691+I691+J691+K691+L691+M691+N691+O691+P691+Q691+R691</f>
        <v>0</v>
      </c>
      <c r="T691">
        <f>U691-J691-K691</f>
        <v>0</v>
      </c>
      <c r="U691"/>
      <c r="V691" s="46">
        <f>U691-S691</f>
        <v>0</v>
      </c>
      <c r="X691"/>
      <c r="Z691">
        <f>(S691-J691-K691)*AD691</f>
        <v>0</v>
      </c>
      <c r="AC691" s="7">
        <f>AF691-Z691-(J691+K691+L691)*Y691</f>
        <v>0</v>
      </c>
      <c r="AE691" s="14">
        <f>V691*AD691</f>
        <v>0</v>
      </c>
      <c r="AF691" s="43">
        <f>(U691-J691-K691)*AD691-AA691</f>
        <v>0</v>
      </c>
      <c r="AX691">
        <v>3682</v>
      </c>
    </row>
    <row r="692" spans="4:97" x14ac:dyDescent="0.2">
      <c r="AE692" s="15"/>
    </row>
    <row r="693" spans="4:97" x14ac:dyDescent="0.2">
      <c r="AE693" s="15"/>
    </row>
    <row r="694" spans="4:97" x14ac:dyDescent="0.2">
      <c r="AE694" s="15"/>
    </row>
    <row r="695" spans="4:97" x14ac:dyDescent="0.2">
      <c r="D695" t="e">
        <f>V695/((H695+I695+O695)/100)</f>
        <v>#DIV/0!</v>
      </c>
      <c r="E695" t="e">
        <f>AC695/AD695/(S695/100)</f>
        <v>#DIV/0!</v>
      </c>
      <c r="J695">
        <f>U695*(F695+G695)/100</f>
        <v>0</v>
      </c>
      <c r="L695">
        <f>U695*0.1626</f>
        <v>0</v>
      </c>
      <c r="P695">
        <f>(H695+I695+J695+K695+L695+M695+N695+O695)*0.0626</f>
        <v>0</v>
      </c>
      <c r="S695">
        <f>H695+I695+J695+K695+L695+M695+N695+O695+P695+Q695+R695</f>
        <v>0</v>
      </c>
      <c r="T695">
        <f>U695-J695-K695</f>
        <v>0</v>
      </c>
      <c r="U695"/>
      <c r="V695" s="46">
        <f>U695-S695</f>
        <v>0</v>
      </c>
      <c r="X695"/>
      <c r="Z695">
        <f>(S695-J695-K695)*AD695</f>
        <v>0</v>
      </c>
      <c r="AC695" s="7">
        <f>AF695-Z695-(J695+K695+L695)*Y695</f>
        <v>0</v>
      </c>
      <c r="AE695" s="14">
        <f>V695*AD695</f>
        <v>0</v>
      </c>
      <c r="AF695" s="43">
        <f>(U695-J695-K695)*AD695-AA695</f>
        <v>0</v>
      </c>
      <c r="CS695">
        <v>1008</v>
      </c>
    </row>
    <row r="696" spans="4:97" x14ac:dyDescent="0.2">
      <c r="AE696" s="15"/>
    </row>
    <row r="697" spans="4:97" x14ac:dyDescent="0.2">
      <c r="AE697" s="15"/>
    </row>
    <row r="698" spans="4:97" x14ac:dyDescent="0.2">
      <c r="AE698" s="15"/>
    </row>
    <row r="699" spans="4:97" x14ac:dyDescent="0.2">
      <c r="D699" t="e">
        <f>V699/((H699+I699+O699)/100)</f>
        <v>#DIV/0!</v>
      </c>
      <c r="E699" t="e">
        <f>AC699/AD699/(S699/100)</f>
        <v>#DIV/0!</v>
      </c>
      <c r="J699">
        <f>U699*(F699+G699)/100</f>
        <v>0</v>
      </c>
      <c r="L699">
        <f>U699*0.163</f>
        <v>0</v>
      </c>
      <c r="P699">
        <f>(H699+I699+J699+K699+L699+M699+N699+O699)*0.063</f>
        <v>0</v>
      </c>
      <c r="S699">
        <f>H699+I699+J699+K699+L699+M699+N699+O699+P699+Q699+R699</f>
        <v>0</v>
      </c>
      <c r="T699">
        <f>U699-J699-K699</f>
        <v>0</v>
      </c>
      <c r="U699"/>
      <c r="V699" s="46">
        <f>U699-S699</f>
        <v>0</v>
      </c>
      <c r="X699"/>
      <c r="Z699">
        <f>(S699-J699-K699)*AD699</f>
        <v>0</v>
      </c>
      <c r="AC699" s="7">
        <f>AF699-Z699-(J699+K699+L699)*Y699</f>
        <v>0</v>
      </c>
      <c r="AE699" s="14">
        <f>V699*AD699</f>
        <v>0</v>
      </c>
      <c r="AF699" s="43">
        <f>(U699-J699-K699)*AD699-AA699</f>
        <v>0</v>
      </c>
      <c r="AX699">
        <v>5</v>
      </c>
    </row>
    <row r="700" spans="4:97" x14ac:dyDescent="0.2">
      <c r="AE700" s="15"/>
    </row>
    <row r="701" spans="4:97" x14ac:dyDescent="0.2">
      <c r="AE701" s="15"/>
    </row>
    <row r="702" spans="4:97" x14ac:dyDescent="0.2">
      <c r="AE702" s="15"/>
    </row>
    <row r="703" spans="4:97" x14ac:dyDescent="0.2">
      <c r="D703" t="e">
        <f>V703/((H703+I703+O703)/100)</f>
        <v>#DIV/0!</v>
      </c>
      <c r="E703" t="e">
        <f>AC703/AD703/(S703/100)</f>
        <v>#DIV/0!</v>
      </c>
      <c r="J703">
        <f>U703*(F703+G703)/100</f>
        <v>0</v>
      </c>
      <c r="L703">
        <f>U703*0.1634</f>
        <v>0</v>
      </c>
      <c r="P703">
        <f>(H703+I703+J703+K703+L703+M703+N703+O703)*0.0634</f>
        <v>0</v>
      </c>
      <c r="S703">
        <f>H703+I703+J703+K703+L703+M703+N703+O703+P703+Q703+R703</f>
        <v>0</v>
      </c>
      <c r="T703">
        <f>U703-J703-K703</f>
        <v>0</v>
      </c>
      <c r="U703"/>
      <c r="V703" s="46">
        <f>U703-S703</f>
        <v>0</v>
      </c>
      <c r="X703"/>
      <c r="Z703">
        <f>(S703-J703-K703)*AD703</f>
        <v>0</v>
      </c>
      <c r="AC703" s="7">
        <f>AF703-Z703-(J703+K703+L703)*Y703</f>
        <v>0</v>
      </c>
      <c r="AE703" s="14">
        <f>V703*AD703</f>
        <v>0</v>
      </c>
      <c r="AF703" s="43">
        <f>(U703-J703-K703)*AD703-AA703</f>
        <v>0</v>
      </c>
      <c r="AX703">
        <v>0</v>
      </c>
    </row>
    <row r="704" spans="4:97" x14ac:dyDescent="0.2">
      <c r="AE704" s="15"/>
    </row>
    <row r="705" spans="4:97" x14ac:dyDescent="0.2">
      <c r="AE705" s="15"/>
    </row>
    <row r="706" spans="4:97" x14ac:dyDescent="0.2">
      <c r="AE706" s="15"/>
    </row>
    <row r="707" spans="4:97" x14ac:dyDescent="0.2">
      <c r="D707" t="e">
        <f>V707/((H707+I707+O707)/100)</f>
        <v>#DIV/0!</v>
      </c>
      <c r="E707" t="e">
        <f>AC707/AD707/(S707/100)</f>
        <v>#DIV/0!</v>
      </c>
      <c r="J707">
        <f>U707*(F707+G707)/100</f>
        <v>0</v>
      </c>
      <c r="L707">
        <f>U707*0.1638</f>
        <v>0</v>
      </c>
      <c r="P707">
        <f>(H707+I707+J707+K707+L707+M707+N707+O707)*0.0638</f>
        <v>0</v>
      </c>
      <c r="S707">
        <f>H707+I707+J707+K707+L707+M707+N707+O707+P707+Q707+R707</f>
        <v>0</v>
      </c>
      <c r="T707">
        <f>U707-J707-K707</f>
        <v>0</v>
      </c>
      <c r="U707"/>
      <c r="V707" s="46">
        <f>U707-S707</f>
        <v>0</v>
      </c>
      <c r="X707"/>
      <c r="Z707">
        <f>(S707-J707-K707)*AD707</f>
        <v>0</v>
      </c>
      <c r="AC707" s="7">
        <f>AF707-Z707-(J707+K707+L707)*Y707</f>
        <v>0</v>
      </c>
      <c r="AE707" s="14">
        <f>V707*AD707</f>
        <v>0</v>
      </c>
      <c r="AF707" s="43">
        <f>(U707-J707-K707)*AD707-AA707</f>
        <v>0</v>
      </c>
      <c r="AX707">
        <v>0</v>
      </c>
      <c r="CS707">
        <v>609</v>
      </c>
    </row>
    <row r="708" spans="4:97" x14ac:dyDescent="0.2">
      <c r="AE708" s="15"/>
    </row>
    <row r="709" spans="4:97" x14ac:dyDescent="0.2">
      <c r="AE709" s="15"/>
    </row>
    <row r="710" spans="4:97" x14ac:dyDescent="0.2">
      <c r="AE710" s="15"/>
    </row>
    <row r="711" spans="4:97" x14ac:dyDescent="0.2">
      <c r="D711" t="e">
        <f>V711/((H711+I711+O711)/100)</f>
        <v>#DIV/0!</v>
      </c>
      <c r="E711" t="e">
        <f>AC711/AD711/(S711/100)</f>
        <v>#DIV/0!</v>
      </c>
      <c r="J711">
        <f>U711*(F711+G711)/100</f>
        <v>0</v>
      </c>
      <c r="L711">
        <f>U711*0.1642</f>
        <v>0</v>
      </c>
      <c r="P711">
        <f>(H711+I711+J711+K711+L711+M711+N711+O711)*0.0642</f>
        <v>0</v>
      </c>
      <c r="S711">
        <f>H711+I711+J711+K711+L711+M711+N711+O711+P711+Q711+R711</f>
        <v>0</v>
      </c>
      <c r="T711">
        <f>U711-J711-K711</f>
        <v>0</v>
      </c>
      <c r="U711"/>
      <c r="V711" s="46">
        <f>U711-S711</f>
        <v>0</v>
      </c>
      <c r="X711"/>
      <c r="Z711">
        <f>(S711-J711-K711)*AD711</f>
        <v>0</v>
      </c>
      <c r="AC711" s="7">
        <f>AF711-Z711-(J711+K711+L711)*Y711</f>
        <v>0</v>
      </c>
      <c r="AE711" s="14">
        <f>V711*AD711</f>
        <v>0</v>
      </c>
      <c r="AF711" s="43">
        <f>(U711-J711-K711)*AD711-AA711</f>
        <v>0</v>
      </c>
      <c r="AX711">
        <v>7234</v>
      </c>
      <c r="CS711">
        <v>10892</v>
      </c>
    </row>
    <row r="712" spans="4:97" x14ac:dyDescent="0.2">
      <c r="AE712" s="15"/>
    </row>
    <row r="713" spans="4:97" x14ac:dyDescent="0.2">
      <c r="AE713" s="15"/>
    </row>
    <row r="714" spans="4:97" x14ac:dyDescent="0.2">
      <c r="AE714" s="15"/>
    </row>
    <row r="715" spans="4:97" x14ac:dyDescent="0.2">
      <c r="D715" t="e">
        <f>V715/((H715+I715+O715)/100)</f>
        <v>#DIV/0!</v>
      </c>
      <c r="E715" t="e">
        <f>AC715/AD715/(S715/100)</f>
        <v>#DIV/0!</v>
      </c>
      <c r="J715">
        <f>U715*(F715+G715)/100</f>
        <v>0</v>
      </c>
      <c r="L715">
        <f>U715*0.1646</f>
        <v>0</v>
      </c>
      <c r="P715">
        <f>(H715+I715+J715+K715+L715+M715+N715+O715)*0.0646</f>
        <v>0</v>
      </c>
      <c r="S715">
        <f>H715+I715+J715+K715+L715+M715+N715+O715+P715+Q715+R715</f>
        <v>0</v>
      </c>
      <c r="T715">
        <f>U715-J715-K715</f>
        <v>0</v>
      </c>
      <c r="U715"/>
      <c r="V715" s="46">
        <f>U715-S715</f>
        <v>0</v>
      </c>
      <c r="X715"/>
      <c r="Z715">
        <f>(S715-J715-K715)*AD715</f>
        <v>0</v>
      </c>
      <c r="AC715" s="7">
        <f>AF715-Z715-(J715+K715+L715)*Y715</f>
        <v>0</v>
      </c>
      <c r="AE715" s="14">
        <f>V715*AD715</f>
        <v>0</v>
      </c>
      <c r="AF715" s="43">
        <f>(U715-J715-K715)*AD715-AA715</f>
        <v>0</v>
      </c>
      <c r="AX715">
        <v>1</v>
      </c>
      <c r="CS715">
        <v>0</v>
      </c>
    </row>
    <row r="716" spans="4:97" x14ac:dyDescent="0.2">
      <c r="AE716" s="15"/>
    </row>
    <row r="717" spans="4:97" x14ac:dyDescent="0.2">
      <c r="AE717" s="15"/>
    </row>
    <row r="718" spans="4:97" x14ac:dyDescent="0.2">
      <c r="AE718" s="15"/>
    </row>
    <row r="719" spans="4:97" x14ac:dyDescent="0.2">
      <c r="D719" t="e">
        <f>V719/((H719+I719+O719)/100)</f>
        <v>#DIV/0!</v>
      </c>
      <c r="E719" t="e">
        <f>AC719/AD719/(S719/100)</f>
        <v>#DIV/0!</v>
      </c>
      <c r="J719">
        <f>U719*(F719+G719)/100</f>
        <v>0</v>
      </c>
      <c r="L719">
        <f>U719*0.165</f>
        <v>0</v>
      </c>
      <c r="P719">
        <f>(H719+I719+J719+K719+L719+M719+N719+O719)*0.065</f>
        <v>0</v>
      </c>
      <c r="S719">
        <f>H719+I719+J719+K719+L719+M719+N719+O719+P719+Q719+R719</f>
        <v>0</v>
      </c>
      <c r="T719">
        <f>U719-J719-K719</f>
        <v>0</v>
      </c>
      <c r="U719"/>
      <c r="V719" s="46">
        <f>U719-S719</f>
        <v>0</v>
      </c>
      <c r="X719"/>
      <c r="Z719">
        <f>(S719-J719-K719)*AD719</f>
        <v>0</v>
      </c>
      <c r="AC719" s="7">
        <f>AF719-Z719-(J719+K719+L719)*Y719</f>
        <v>0</v>
      </c>
      <c r="AE719" s="14">
        <f>V719*AD719</f>
        <v>0</v>
      </c>
      <c r="AF719" s="43">
        <f>(U719-J719-K719)*AD719-AA719</f>
        <v>0</v>
      </c>
    </row>
    <row r="720" spans="4:97" x14ac:dyDescent="0.2">
      <c r="AE720" s="15"/>
    </row>
    <row r="721" spans="4:50" x14ac:dyDescent="0.2">
      <c r="AE721" s="15"/>
    </row>
    <row r="722" spans="4:50" x14ac:dyDescent="0.2">
      <c r="AE722" s="15"/>
    </row>
    <row r="723" spans="4:50" x14ac:dyDescent="0.2">
      <c r="D723" t="e">
        <f>V723/((H723+I723+O723)/100)</f>
        <v>#DIV/0!</v>
      </c>
      <c r="E723" t="e">
        <f>AC723/AD723/(S723/100)</f>
        <v>#DIV/0!</v>
      </c>
      <c r="J723">
        <f>U723*(F723+G723)/100</f>
        <v>0</v>
      </c>
      <c r="L723">
        <f>U723*0.1654</f>
        <v>0</v>
      </c>
      <c r="P723">
        <f>(H723+I723+J723+K723+L723+M723+N723+O723)*0.0654</f>
        <v>0</v>
      </c>
      <c r="S723">
        <f>H723+I723+J723+K723+L723+M723+N723+O723+P723+Q723+R723</f>
        <v>0</v>
      </c>
      <c r="T723">
        <f>U723-J723-K723</f>
        <v>0</v>
      </c>
      <c r="U723"/>
      <c r="V723" s="46">
        <f>U723-S723</f>
        <v>0</v>
      </c>
      <c r="X723"/>
      <c r="Z723">
        <f>(S723-J723-K723)*AD723</f>
        <v>0</v>
      </c>
      <c r="AC723" s="7">
        <f>AF723-Z723-(J723+K723+L723)*Y723</f>
        <v>0</v>
      </c>
      <c r="AE723" s="14">
        <f>V723*AD723</f>
        <v>0</v>
      </c>
      <c r="AF723" s="43">
        <f>(U723-J723-K723)*AD723-AA723</f>
        <v>0</v>
      </c>
      <c r="AX723">
        <v>5997</v>
      </c>
    </row>
    <row r="724" spans="4:50" x14ac:dyDescent="0.2">
      <c r="AE724" s="15"/>
    </row>
    <row r="725" spans="4:50" x14ac:dyDescent="0.2">
      <c r="AE725" s="15"/>
    </row>
    <row r="726" spans="4:50" x14ac:dyDescent="0.2">
      <c r="AE726" s="15"/>
    </row>
    <row r="727" spans="4:50" x14ac:dyDescent="0.2">
      <c r="D727" t="e">
        <f>V727/((H727+I727+O727)/100)</f>
        <v>#DIV/0!</v>
      </c>
      <c r="E727" t="e">
        <f>AC727/AD727/(S727/100)</f>
        <v>#DIV/0!</v>
      </c>
      <c r="J727">
        <f>U727*(F727+G727)/100</f>
        <v>0</v>
      </c>
      <c r="L727">
        <f>U727*0.1658</f>
        <v>0</v>
      </c>
      <c r="P727">
        <f>(H727+I727+J727+K727+L727+M727+N727+O727)*0.0658</f>
        <v>0</v>
      </c>
      <c r="S727">
        <f>H727+I727+J727+K727+L727+M727+N727+O727+P727+Q727+R727</f>
        <v>0</v>
      </c>
      <c r="T727">
        <f>U727-J727-K727</f>
        <v>0</v>
      </c>
      <c r="U727"/>
      <c r="V727" s="46">
        <f>U727-S727</f>
        <v>0</v>
      </c>
      <c r="X727"/>
      <c r="Z727">
        <f>(S727-J727-K727)*AD727</f>
        <v>0</v>
      </c>
      <c r="AC727" s="7">
        <f>AF727-Z727-(J727+K727+L727)*Y727</f>
        <v>0</v>
      </c>
      <c r="AE727" s="14">
        <f>V727*AD727</f>
        <v>0</v>
      </c>
      <c r="AF727" s="43">
        <f>(U727-J727-K727)*AD727-AA727</f>
        <v>0</v>
      </c>
      <c r="AX727">
        <v>5570</v>
      </c>
    </row>
    <row r="728" spans="4:50" x14ac:dyDescent="0.2">
      <c r="AE728" s="15"/>
    </row>
    <row r="729" spans="4:50" x14ac:dyDescent="0.2">
      <c r="AE729" s="15"/>
    </row>
    <row r="730" spans="4:50" x14ac:dyDescent="0.2">
      <c r="AE730" s="15"/>
    </row>
    <row r="731" spans="4:50" x14ac:dyDescent="0.2">
      <c r="D731" t="e">
        <f>V731/((H731+I731+O731)/100)</f>
        <v>#DIV/0!</v>
      </c>
      <c r="E731" t="e">
        <f>AC731/AD731/(S731/100)</f>
        <v>#DIV/0!</v>
      </c>
      <c r="J731">
        <f>U731*(F731+G731)/100</f>
        <v>0</v>
      </c>
      <c r="L731">
        <f>U731*0.1662</f>
        <v>0</v>
      </c>
      <c r="P731">
        <f>(H731+I731+J731+K731+L731+M731+N731+O731)*0.0662</f>
        <v>0</v>
      </c>
      <c r="S731">
        <f>H731+I731+J731+K731+L731+M731+N731+O731+P731+Q731+R731</f>
        <v>0</v>
      </c>
      <c r="T731">
        <f>U731-J731-K731</f>
        <v>0</v>
      </c>
      <c r="U731"/>
      <c r="V731" s="46">
        <f>U731-S731</f>
        <v>0</v>
      </c>
      <c r="X731"/>
      <c r="Z731">
        <f>(S731-J731-K731)*AD731</f>
        <v>0</v>
      </c>
      <c r="AC731" s="7">
        <f>AF731-Z731-(J731+K731+L731)*Y731</f>
        <v>0</v>
      </c>
      <c r="AE731" s="14">
        <f>V731*AD731</f>
        <v>0</v>
      </c>
      <c r="AF731" s="43">
        <f>(U731-J731-K731)*AD731-AA731</f>
        <v>0</v>
      </c>
      <c r="AX731">
        <v>0</v>
      </c>
    </row>
    <row r="732" spans="4:50" x14ac:dyDescent="0.2">
      <c r="AE732" s="15"/>
    </row>
    <row r="733" spans="4:50" x14ac:dyDescent="0.2">
      <c r="AE733" s="15"/>
    </row>
    <row r="734" spans="4:50" x14ac:dyDescent="0.2">
      <c r="AE734" s="15"/>
    </row>
    <row r="735" spans="4:50" x14ac:dyDescent="0.2">
      <c r="D735" t="e">
        <f>V735/((H735+I735+O735)/100)</f>
        <v>#DIV/0!</v>
      </c>
      <c r="E735" t="e">
        <f>AC735/AD735/(S735/100)</f>
        <v>#DIV/0!</v>
      </c>
      <c r="J735">
        <f>U735*(F735+G735)/100</f>
        <v>0</v>
      </c>
      <c r="L735">
        <f>U735*0.1666</f>
        <v>0</v>
      </c>
      <c r="P735">
        <f>(H735+I735+J735+K735+L735+M735+N735+O735)*0.0666</f>
        <v>0</v>
      </c>
      <c r="S735">
        <f>H735+I735+J735+K735+L735+M735+N735+O735+P735+Q735+R735</f>
        <v>0</v>
      </c>
      <c r="T735">
        <f>U735-J735-K735</f>
        <v>0</v>
      </c>
      <c r="U735"/>
      <c r="V735" s="46">
        <f>U735-S735</f>
        <v>0</v>
      </c>
      <c r="X735"/>
      <c r="Z735">
        <f>(S735-J735-K735)*AD735</f>
        <v>0</v>
      </c>
      <c r="AC735" s="7">
        <f>AF735-Z735-(J735+K735+L735)*Y735</f>
        <v>0</v>
      </c>
      <c r="AE735" s="14">
        <f>V735*AD735</f>
        <v>0</v>
      </c>
      <c r="AF735" s="43">
        <f>(U735-J735-K735)*AD735-AA735</f>
        <v>0</v>
      </c>
      <c r="AX735">
        <v>4</v>
      </c>
    </row>
    <row r="736" spans="4:50" x14ac:dyDescent="0.2">
      <c r="AE736" s="15"/>
    </row>
    <row r="737" spans="4:97" x14ac:dyDescent="0.2">
      <c r="AE737" s="15"/>
    </row>
    <row r="738" spans="4:97" x14ac:dyDescent="0.2">
      <c r="AE738" s="15"/>
    </row>
    <row r="739" spans="4:97" x14ac:dyDescent="0.2">
      <c r="D739" t="e">
        <f>V739/((H739+I739+O739)/100)</f>
        <v>#DIV/0!</v>
      </c>
      <c r="E739" t="e">
        <f>AC739/AD739/(S739/100)</f>
        <v>#DIV/0!</v>
      </c>
      <c r="J739">
        <f>U739*(F739+G739)/100</f>
        <v>0</v>
      </c>
      <c r="L739">
        <f>U739*0.167</f>
        <v>0</v>
      </c>
      <c r="P739">
        <f>(H739+I739+J739+K739+L739+M739+N739+O739)*0.067</f>
        <v>0</v>
      </c>
      <c r="S739">
        <f>H739+I739+J739+K739+L739+M739+N739+O739+P739+Q739+R739</f>
        <v>0</v>
      </c>
      <c r="T739">
        <f>U739-J739-K739</f>
        <v>0</v>
      </c>
      <c r="U739"/>
      <c r="V739" s="46">
        <f>U739-S739</f>
        <v>0</v>
      </c>
      <c r="X739"/>
      <c r="Z739">
        <f>(S739-J739-K739)*AD739</f>
        <v>0</v>
      </c>
      <c r="AC739" s="7">
        <f>AF739-Z739-(J739+K739+L739)*Y739</f>
        <v>0</v>
      </c>
      <c r="AE739" s="14">
        <f>V739*AD739</f>
        <v>0</v>
      </c>
      <c r="AF739" s="43">
        <f>(U739-J739-K739)*AD739-AA739</f>
        <v>0</v>
      </c>
      <c r="AX739">
        <v>2721</v>
      </c>
    </row>
    <row r="740" spans="4:97" x14ac:dyDescent="0.2">
      <c r="AE740" s="15"/>
    </row>
    <row r="741" spans="4:97" x14ac:dyDescent="0.2">
      <c r="AE741" s="15"/>
    </row>
    <row r="742" spans="4:97" x14ac:dyDescent="0.2">
      <c r="AE742" s="15"/>
    </row>
    <row r="743" spans="4:97" x14ac:dyDescent="0.2">
      <c r="D743" t="e">
        <f>V743/((H743+I743+O743)/100)</f>
        <v>#DIV/0!</v>
      </c>
      <c r="E743" t="e">
        <f>AC743/AD743/(S743/100)</f>
        <v>#DIV/0!</v>
      </c>
      <c r="J743">
        <f>U743*(F743+G743)/100</f>
        <v>0</v>
      </c>
      <c r="L743">
        <f>U743*0.1674</f>
        <v>0</v>
      </c>
      <c r="P743">
        <f>(H743+I743+J743+K743+L743+M743+N743+O743)*0.0674</f>
        <v>0</v>
      </c>
      <c r="S743">
        <f>H743+I743+J743+K743+L743+M743+N743+O743+P743+Q743+R743</f>
        <v>0</v>
      </c>
      <c r="T743">
        <f>U743-J743-K743</f>
        <v>0</v>
      </c>
      <c r="U743"/>
      <c r="V743" s="46">
        <f>U743-S743</f>
        <v>0</v>
      </c>
      <c r="X743"/>
      <c r="Z743">
        <f>(S743-J743-K743)*AD743</f>
        <v>0</v>
      </c>
      <c r="AC743" s="7">
        <f>AF743-Z743-(J743+K743+L743)*Y743</f>
        <v>0</v>
      </c>
      <c r="AE743" s="14">
        <f>V743*AD743</f>
        <v>0</v>
      </c>
      <c r="AF743" s="43">
        <f>(U743-J743-K743)*AD743-AA743</f>
        <v>0</v>
      </c>
      <c r="AX743">
        <v>5795</v>
      </c>
    </row>
    <row r="744" spans="4:97" x14ac:dyDescent="0.2">
      <c r="AE744" s="15"/>
    </row>
    <row r="745" spans="4:97" x14ac:dyDescent="0.2">
      <c r="AE745" s="15"/>
    </row>
    <row r="746" spans="4:97" x14ac:dyDescent="0.2">
      <c r="AE746" s="15"/>
    </row>
    <row r="747" spans="4:97" x14ac:dyDescent="0.2">
      <c r="D747" t="e">
        <f>V747/((H747+I747+O747)/100)</f>
        <v>#DIV/0!</v>
      </c>
      <c r="E747" t="e">
        <f>AC747/AD747/(S747/100)</f>
        <v>#DIV/0!</v>
      </c>
      <c r="J747">
        <f>U747*(F747+G747)/100</f>
        <v>0</v>
      </c>
      <c r="L747">
        <f>U747*0.1678</f>
        <v>0</v>
      </c>
      <c r="P747">
        <f>(H747+I747+J747+K747+L747+M747+N747+O747)*0.0678</f>
        <v>0</v>
      </c>
      <c r="S747">
        <f>H747+I747+J747+K747+L747+M747+N747+O747+P747+Q747+R747</f>
        <v>0</v>
      </c>
      <c r="T747">
        <f>U747-J747-K747</f>
        <v>0</v>
      </c>
      <c r="U747"/>
      <c r="V747" s="46">
        <f>U747-S747</f>
        <v>0</v>
      </c>
      <c r="X747"/>
      <c r="Z747">
        <f>(S747-J747-K747)*AD747</f>
        <v>0</v>
      </c>
      <c r="AC747" s="7">
        <f>AF747-Z747-(J747+K747+L747)*Y747</f>
        <v>0</v>
      </c>
      <c r="AE747" s="14">
        <f>V747*AD747</f>
        <v>0</v>
      </c>
      <c r="AF747" s="43">
        <f>(U747-J747-K747)*AD747-AA747</f>
        <v>0</v>
      </c>
    </row>
    <row r="748" spans="4:97" x14ac:dyDescent="0.2">
      <c r="AE748" s="15"/>
    </row>
    <row r="749" spans="4:97" x14ac:dyDescent="0.2">
      <c r="AE749" s="15"/>
    </row>
    <row r="750" spans="4:97" x14ac:dyDescent="0.2">
      <c r="AE750" s="15"/>
    </row>
    <row r="751" spans="4:97" x14ac:dyDescent="0.2">
      <c r="D751" t="e">
        <f>V751/((H751+I751+O751)/100)</f>
        <v>#DIV/0!</v>
      </c>
      <c r="E751" t="e">
        <f>AC751/AD751/(S751/100)</f>
        <v>#DIV/0!</v>
      </c>
      <c r="J751">
        <f>U751*(F751+G751)/100</f>
        <v>0</v>
      </c>
      <c r="L751">
        <f>U751*0.1682</f>
        <v>0</v>
      </c>
      <c r="P751">
        <f>(H751+I751+J751+K751+L751+M751+N751+O751)*0.0682</f>
        <v>0</v>
      </c>
      <c r="S751">
        <f>H751+I751+J751+K751+L751+M751+N751+O751+P751+Q751+R751</f>
        <v>0</v>
      </c>
      <c r="T751">
        <f>U751-J751-K751</f>
        <v>0</v>
      </c>
      <c r="U751"/>
      <c r="V751" s="46">
        <f>U751-S751</f>
        <v>0</v>
      </c>
      <c r="X751"/>
      <c r="Z751">
        <f>(S751-J751-K751)*AD751</f>
        <v>0</v>
      </c>
      <c r="AC751" s="7">
        <f>AF751-Z751-(J751+K751+L751)*Y751</f>
        <v>0</v>
      </c>
      <c r="AE751" s="14">
        <f>V751*AD751</f>
        <v>0</v>
      </c>
      <c r="AF751" s="43">
        <f>(U751-J751-K751)*AD751-AA751</f>
        <v>0</v>
      </c>
      <c r="CS751">
        <v>11910</v>
      </c>
    </row>
    <row r="752" spans="4:97" x14ac:dyDescent="0.2">
      <c r="AE752" s="15"/>
    </row>
    <row r="753" spans="4:97" x14ac:dyDescent="0.2">
      <c r="AE753" s="15"/>
    </row>
    <row r="754" spans="4:97" x14ac:dyDescent="0.2">
      <c r="AE754" s="15"/>
    </row>
    <row r="755" spans="4:97" x14ac:dyDescent="0.2">
      <c r="D755" t="e">
        <f>V755/((H755+I755+O755)/100)</f>
        <v>#DIV/0!</v>
      </c>
      <c r="E755" t="e">
        <f>AC755/AD755/(S755/100)</f>
        <v>#DIV/0!</v>
      </c>
      <c r="J755">
        <f>U755*(F755+G755)/100</f>
        <v>0</v>
      </c>
      <c r="L755">
        <f>U755*0.1686</f>
        <v>0</v>
      </c>
      <c r="P755">
        <f>(H755+I755+J755+K755+L755+M755+N755+O755)*0.0686</f>
        <v>0</v>
      </c>
      <c r="S755">
        <f>H755+I755+J755+K755+L755+M755+N755+O755+P755+Q755+R755</f>
        <v>0</v>
      </c>
      <c r="T755">
        <f>U755-J755-K755</f>
        <v>0</v>
      </c>
      <c r="U755"/>
      <c r="V755" s="46">
        <f>U755-S755</f>
        <v>0</v>
      </c>
      <c r="X755"/>
      <c r="Z755">
        <f>(S755-J755-K755)*AD755</f>
        <v>0</v>
      </c>
      <c r="AC755" s="7">
        <f>AF755-Z755-(J755+K755+L755)*Y755</f>
        <v>0</v>
      </c>
      <c r="AE755" s="14">
        <f>V755*AD755</f>
        <v>0</v>
      </c>
      <c r="AF755" s="43">
        <f>(U755-J755-K755)*AD755-AA755</f>
        <v>0</v>
      </c>
      <c r="CS755">
        <v>0</v>
      </c>
    </row>
    <row r="756" spans="4:97" x14ac:dyDescent="0.2">
      <c r="AE756" s="15"/>
    </row>
    <row r="757" spans="4:97" x14ac:dyDescent="0.2">
      <c r="AE757" s="15"/>
    </row>
    <row r="758" spans="4:97" x14ac:dyDescent="0.2">
      <c r="AE758" s="15"/>
    </row>
    <row r="759" spans="4:97" x14ac:dyDescent="0.2">
      <c r="D759" t="e">
        <f>V759/((H759+I759+O759)/100)</f>
        <v>#DIV/0!</v>
      </c>
      <c r="E759" t="e">
        <f>AC759/AD759/(S759/100)</f>
        <v>#DIV/0!</v>
      </c>
      <c r="J759">
        <f>U759*(F759+G759)/100</f>
        <v>0</v>
      </c>
      <c r="L759">
        <f>U759*0.169</f>
        <v>0</v>
      </c>
      <c r="P759">
        <f>(H759+I759+J759+K759+L759+M759+N759+O759)*0.069</f>
        <v>0</v>
      </c>
      <c r="S759">
        <f>H759+I759+J759+K759+L759+M759+N759+O759+P759+Q759+R759</f>
        <v>0</v>
      </c>
      <c r="T759">
        <f>U759-J759-K759</f>
        <v>0</v>
      </c>
      <c r="U759"/>
      <c r="V759" s="46">
        <f>U759-S759</f>
        <v>0</v>
      </c>
      <c r="X759"/>
      <c r="Z759">
        <f>(S759-J759-K759)*AD759</f>
        <v>0</v>
      </c>
      <c r="AC759" s="7">
        <f>AF759-Z759-(J759+K759+L759)*Y759</f>
        <v>0</v>
      </c>
      <c r="AE759" s="14">
        <f>V759*AD759</f>
        <v>0</v>
      </c>
      <c r="AF759" s="43">
        <f>(U759-J759-K759)*AD759-AA759</f>
        <v>0</v>
      </c>
      <c r="CS759">
        <v>0</v>
      </c>
    </row>
    <row r="760" spans="4:97" x14ac:dyDescent="0.2">
      <c r="AE760" s="15"/>
    </row>
    <row r="761" spans="4:97" x14ac:dyDescent="0.2">
      <c r="AE761" s="15"/>
    </row>
    <row r="762" spans="4:97" x14ac:dyDescent="0.2">
      <c r="AE762" s="15"/>
    </row>
    <row r="763" spans="4:97" x14ac:dyDescent="0.2">
      <c r="D763" t="e">
        <f>V763/((H763+I763+O763)/100)</f>
        <v>#DIV/0!</v>
      </c>
      <c r="E763" t="e">
        <f>AC763/AD763/(S763/100)</f>
        <v>#DIV/0!</v>
      </c>
      <c r="J763">
        <f>U763*(F763+G763)/100</f>
        <v>0</v>
      </c>
      <c r="L763">
        <f>U763*0.1694</f>
        <v>0</v>
      </c>
      <c r="P763">
        <f>(H763+I763+J763+K763+L763+M763+N763+O763)*0.0694</f>
        <v>0</v>
      </c>
      <c r="S763">
        <f>H763+I763+J763+K763+L763+M763+N763+O763+P763+Q763+R763</f>
        <v>0</v>
      </c>
      <c r="T763">
        <f>U763-J763-K763</f>
        <v>0</v>
      </c>
      <c r="U763"/>
      <c r="V763" s="46">
        <f>U763-S763</f>
        <v>0</v>
      </c>
      <c r="X763"/>
      <c r="Z763">
        <f>(S763-J763-K763)*AD763</f>
        <v>0</v>
      </c>
      <c r="AC763" s="7">
        <f>AF763-Z763-(J763+K763+L763)*Y763</f>
        <v>0</v>
      </c>
      <c r="AE763" s="14">
        <f>V763*AD763</f>
        <v>0</v>
      </c>
      <c r="AF763" s="43">
        <f>(U763-J763-K763)*AD763-AA763</f>
        <v>0</v>
      </c>
      <c r="CS763">
        <v>1002</v>
      </c>
    </row>
    <row r="764" spans="4:97" x14ac:dyDescent="0.2">
      <c r="AE764" s="15"/>
    </row>
    <row r="765" spans="4:97" x14ac:dyDescent="0.2">
      <c r="AE765" s="15"/>
    </row>
    <row r="766" spans="4:97" x14ac:dyDescent="0.2">
      <c r="AE766" s="15"/>
    </row>
    <row r="767" spans="4:97" x14ac:dyDescent="0.2">
      <c r="D767" t="e">
        <f>V767/((H767+I767+O767)/100)</f>
        <v>#DIV/0!</v>
      </c>
      <c r="E767" t="e">
        <f>AC767/AD767/(S767/100)</f>
        <v>#DIV/0!</v>
      </c>
      <c r="J767">
        <f>U767*(F767+G767)/100</f>
        <v>0</v>
      </c>
      <c r="L767">
        <f>U767*0.1698</f>
        <v>0</v>
      </c>
      <c r="P767">
        <f>(H767+I767+J767+K767+L767+M767+N767+O767)*0.0698</f>
        <v>0</v>
      </c>
      <c r="S767">
        <f>H767+I767+J767+K767+L767+M767+N767+O767+P767+Q767+R767</f>
        <v>0</v>
      </c>
      <c r="T767">
        <f>U767-J767-K767</f>
        <v>0</v>
      </c>
      <c r="U767"/>
      <c r="V767" s="46">
        <f>U767-S767</f>
        <v>0</v>
      </c>
      <c r="X767"/>
      <c r="Z767">
        <f>(S767-J767-K767)*AD767</f>
        <v>0</v>
      </c>
      <c r="AC767" s="7">
        <f>AF767-Z767-(J767+K767+L767)*Y767</f>
        <v>0</v>
      </c>
      <c r="AE767" s="14">
        <f>V767*AD767</f>
        <v>0</v>
      </c>
      <c r="AF767" s="43">
        <f>(U767-J767-K767)*AD767-AA767</f>
        <v>0</v>
      </c>
      <c r="CS767">
        <v>0</v>
      </c>
    </row>
    <row r="768" spans="4:97" x14ac:dyDescent="0.2">
      <c r="AE768" s="15"/>
    </row>
    <row r="769" spans="4:97" x14ac:dyDescent="0.2">
      <c r="AE769" s="15"/>
    </row>
    <row r="770" spans="4:97" x14ac:dyDescent="0.2">
      <c r="AE770" s="15"/>
    </row>
    <row r="771" spans="4:97" x14ac:dyDescent="0.2">
      <c r="D771" t="e">
        <f>V771/((H771+I771+O771)/100)</f>
        <v>#DIV/0!</v>
      </c>
      <c r="E771" t="e">
        <f>AC771/AD771/(S771/100)</f>
        <v>#DIV/0!</v>
      </c>
      <c r="J771">
        <f>U771*(F771+G771)/100</f>
        <v>0</v>
      </c>
      <c r="L771">
        <f>U771*0.1702</f>
        <v>0</v>
      </c>
      <c r="P771">
        <f>(H771+I771+J771+K771+L771+M771+N771+O771)*0.0702</f>
        <v>0</v>
      </c>
      <c r="S771">
        <f>H771+I771+J771+K771+L771+M771+N771+O771+P771+Q771+R771</f>
        <v>0</v>
      </c>
      <c r="T771">
        <f>U771-J771-K771</f>
        <v>0</v>
      </c>
      <c r="U771"/>
      <c r="V771" s="46">
        <f>U771-S771</f>
        <v>0</v>
      </c>
      <c r="X771"/>
      <c r="Z771">
        <f>(S771-J771-K771)*AD771</f>
        <v>0</v>
      </c>
      <c r="AC771" s="7">
        <f>AF771-Z771-(J771+K771+L771)*Y771</f>
        <v>0</v>
      </c>
      <c r="AE771" s="14">
        <f>V771*AD771</f>
        <v>0</v>
      </c>
      <c r="AF771" s="43">
        <f>(U771-J771-K771)*AD771-AA771</f>
        <v>0</v>
      </c>
      <c r="CS771">
        <v>0</v>
      </c>
    </row>
    <row r="772" spans="4:97" x14ac:dyDescent="0.2">
      <c r="AE772" s="15"/>
    </row>
    <row r="773" spans="4:97" x14ac:dyDescent="0.2">
      <c r="AE773" s="15"/>
    </row>
    <row r="774" spans="4:97" x14ac:dyDescent="0.2">
      <c r="AE774" s="15"/>
    </row>
    <row r="775" spans="4:97" x14ac:dyDescent="0.2">
      <c r="D775" t="e">
        <f>V775/((H775+I775+O775)/100)</f>
        <v>#DIV/0!</v>
      </c>
      <c r="E775" t="e">
        <f>AC775/AD775/(S775/100)</f>
        <v>#DIV/0!</v>
      </c>
      <c r="J775">
        <f>U775*(F775+G775)/100</f>
        <v>0</v>
      </c>
      <c r="L775">
        <f>U775*0.1706</f>
        <v>0</v>
      </c>
      <c r="P775">
        <f>(H775+I775+J775+K775+L775+M775+N775+O775)*0.0706</f>
        <v>0</v>
      </c>
      <c r="S775">
        <f>H775+I775+J775+K775+L775+M775+N775+O775+P775+Q775+R775</f>
        <v>0</v>
      </c>
      <c r="T775">
        <f>U775-J775-K775</f>
        <v>0</v>
      </c>
      <c r="U775"/>
      <c r="V775" s="46">
        <f>U775-S775</f>
        <v>0</v>
      </c>
      <c r="X775"/>
      <c r="Z775">
        <f>(S775-J775-K775)*AD775</f>
        <v>0</v>
      </c>
      <c r="AC775" s="7">
        <f>AF775-Z775-(J775+K775+L775)*Y775</f>
        <v>0</v>
      </c>
      <c r="AE775" s="14">
        <f>V775*AD775</f>
        <v>0</v>
      </c>
      <c r="AF775" s="43">
        <f>(U775-J775-K775)*AD775-AA775</f>
        <v>0</v>
      </c>
      <c r="CS775">
        <v>0</v>
      </c>
    </row>
    <row r="776" spans="4:97" x14ac:dyDescent="0.2">
      <c r="AE776" s="15"/>
    </row>
    <row r="777" spans="4:97" x14ac:dyDescent="0.2">
      <c r="AE777" s="15"/>
    </row>
    <row r="778" spans="4:97" x14ac:dyDescent="0.2">
      <c r="AE778" s="15"/>
    </row>
    <row r="779" spans="4:97" x14ac:dyDescent="0.2">
      <c r="D779" t="e">
        <f>V779/((H779+I779+O779)/100)</f>
        <v>#DIV/0!</v>
      </c>
      <c r="E779" t="e">
        <f>AC779/AD779/(S779/100)</f>
        <v>#DIV/0!</v>
      </c>
      <c r="J779">
        <f>U779*(F779+G779)/100</f>
        <v>0</v>
      </c>
      <c r="L779">
        <f>U779*0.171</f>
        <v>0</v>
      </c>
      <c r="P779">
        <f>(H779+I779+J779+K779+L779+M779+N779+O779)*0.071</f>
        <v>0</v>
      </c>
      <c r="S779">
        <f>H779+I779+J779+K779+L779+M779+N779+O779+P779+Q779+R779</f>
        <v>0</v>
      </c>
      <c r="T779">
        <f>U779-J779-K779</f>
        <v>0</v>
      </c>
      <c r="U779"/>
      <c r="V779" s="46">
        <f>U779-S779</f>
        <v>0</v>
      </c>
      <c r="X779"/>
      <c r="Z779">
        <f>(S779-J779-K779)*AD779</f>
        <v>0</v>
      </c>
      <c r="AC779" s="7">
        <f>AF779-Z779-(J779+K779+L779)*Y779</f>
        <v>0</v>
      </c>
      <c r="AE779" s="14">
        <f>V779*AD779</f>
        <v>0</v>
      </c>
      <c r="AF779" s="43">
        <f>(U779-J779-K779)*AD779-AA779</f>
        <v>0</v>
      </c>
      <c r="CS779">
        <v>0</v>
      </c>
    </row>
    <row r="780" spans="4:97" x14ac:dyDescent="0.2">
      <c r="AE780" s="15"/>
    </row>
    <row r="781" spans="4:97" x14ac:dyDescent="0.2">
      <c r="AE781" s="15"/>
    </row>
    <row r="782" spans="4:97" x14ac:dyDescent="0.2">
      <c r="AE782" s="15"/>
    </row>
    <row r="783" spans="4:97" x14ac:dyDescent="0.2">
      <c r="D783" t="e">
        <f>V783/((H783+I783+O783)/100)</f>
        <v>#DIV/0!</v>
      </c>
      <c r="E783" t="e">
        <f>AC783/AD783/(S783/100)</f>
        <v>#DIV/0!</v>
      </c>
      <c r="J783">
        <f>U783*(F783+G783)/100</f>
        <v>0</v>
      </c>
      <c r="L783">
        <f>U783*0.1714</f>
        <v>0</v>
      </c>
      <c r="P783">
        <f>(H783+I783+J783+K783+L783+M783+N783+O783)*0.0714</f>
        <v>0</v>
      </c>
      <c r="S783">
        <f>H783+I783+J783+K783+L783+M783+N783+O783+P783+Q783+R783</f>
        <v>0</v>
      </c>
      <c r="T783">
        <f>U783-J783-K783</f>
        <v>0</v>
      </c>
      <c r="U783"/>
      <c r="V783" s="46">
        <f>U783-S783</f>
        <v>0</v>
      </c>
      <c r="X783"/>
      <c r="Z783">
        <f>(S783-J783-K783)*AD783</f>
        <v>0</v>
      </c>
      <c r="AC783" s="7">
        <f>AF783-Z783-(J783+K783+L783)*Y783</f>
        <v>0</v>
      </c>
      <c r="AE783" s="14">
        <f>V783*AD783</f>
        <v>0</v>
      </c>
      <c r="AF783" s="43">
        <f>(U783-J783-K783)*AD783-AA783</f>
        <v>0</v>
      </c>
      <c r="CS783">
        <v>142</v>
      </c>
    </row>
    <row r="784" spans="4:97" x14ac:dyDescent="0.2">
      <c r="AE784" s="15"/>
    </row>
    <row r="785" spans="4:97" x14ac:dyDescent="0.2">
      <c r="AE785" s="15"/>
    </row>
    <row r="786" spans="4:97" x14ac:dyDescent="0.2">
      <c r="AE786" s="15"/>
    </row>
    <row r="787" spans="4:97" x14ac:dyDescent="0.2">
      <c r="D787" t="e">
        <f>V787/((H787+I787+O787)/100)</f>
        <v>#DIV/0!</v>
      </c>
      <c r="E787" t="e">
        <f>AC787/AD787/(S787/100)</f>
        <v>#DIV/0!</v>
      </c>
      <c r="J787">
        <f>U787*(F787+G787)/100</f>
        <v>0</v>
      </c>
      <c r="L787">
        <f>U787*0.1718</f>
        <v>0</v>
      </c>
      <c r="P787">
        <f>(H787+I787+J787+K787+L787+M787+N787+O787)*0.0718</f>
        <v>0</v>
      </c>
      <c r="S787">
        <f>H787+I787+J787+K787+L787+M787+N787+O787+P787+Q787+R787</f>
        <v>0</v>
      </c>
      <c r="T787">
        <f>U787-J787-K787</f>
        <v>0</v>
      </c>
      <c r="U787"/>
      <c r="V787" s="46">
        <f>U787-S787</f>
        <v>0</v>
      </c>
      <c r="X787"/>
      <c r="Z787">
        <f>(S787-J787-K787)*AD787</f>
        <v>0</v>
      </c>
      <c r="AC787" s="7">
        <f>AF787-Z787-(J787+K787+L787)*Y787</f>
        <v>0</v>
      </c>
      <c r="AE787" s="14">
        <f>V787*AD787</f>
        <v>0</v>
      </c>
      <c r="AF787" s="43">
        <f>(U787-J787-K787)*AD787-AA787</f>
        <v>0</v>
      </c>
      <c r="CS787">
        <v>0</v>
      </c>
    </row>
    <row r="788" spans="4:97" x14ac:dyDescent="0.2">
      <c r="AE788" s="15"/>
    </row>
    <row r="789" spans="4:97" x14ac:dyDescent="0.2">
      <c r="AE789" s="15"/>
    </row>
    <row r="790" spans="4:97" x14ac:dyDescent="0.2">
      <c r="AE790" s="15"/>
    </row>
    <row r="791" spans="4:97" x14ac:dyDescent="0.2">
      <c r="D791" t="e">
        <f>V791/((H791+I791+O791)/100)</f>
        <v>#DIV/0!</v>
      </c>
      <c r="E791" t="e">
        <f>AC791/AD791/(S791/100)</f>
        <v>#DIV/0!</v>
      </c>
      <c r="J791">
        <f>U791*(F791+G791)/100</f>
        <v>0</v>
      </c>
      <c r="L791">
        <f>U791*0.1722</f>
        <v>0</v>
      </c>
      <c r="P791">
        <f>(H791+I791+J791+K791+L791+M791+N791+O791)*0.0722</f>
        <v>0</v>
      </c>
      <c r="S791">
        <f>H791+I791+J791+K791+L791+M791+N791+O791+P791+Q791+R791</f>
        <v>0</v>
      </c>
      <c r="T791">
        <f>U791-J791-K791</f>
        <v>0</v>
      </c>
      <c r="U791"/>
      <c r="V791" s="46">
        <f>U791-S791</f>
        <v>0</v>
      </c>
      <c r="X791"/>
      <c r="Z791">
        <f>(S791-J791-K791)*AD791</f>
        <v>0</v>
      </c>
      <c r="AC791" s="7">
        <f>AF791-Z791-(J791+K791+L791)*Y791</f>
        <v>0</v>
      </c>
      <c r="AE791" s="14">
        <f>V791*AD791</f>
        <v>0</v>
      </c>
      <c r="AF791" s="43">
        <f>(U791-J791-K791)*AD791-AA791</f>
        <v>0</v>
      </c>
      <c r="CS791">
        <v>0</v>
      </c>
    </row>
    <row r="792" spans="4:97" x14ac:dyDescent="0.2">
      <c r="AE792" s="15"/>
    </row>
    <row r="793" spans="4:97" x14ac:dyDescent="0.2">
      <c r="AE793" s="15"/>
    </row>
    <row r="794" spans="4:97" x14ac:dyDescent="0.2">
      <c r="AE794" s="15"/>
    </row>
    <row r="795" spans="4:97" x14ac:dyDescent="0.2">
      <c r="D795" t="e">
        <f>V795/((H795+I795+O795)/100)</f>
        <v>#DIV/0!</v>
      </c>
      <c r="E795" t="e">
        <f>AC795/AD795/(S795/100)</f>
        <v>#DIV/0!</v>
      </c>
      <c r="J795">
        <f>U795*(F795+G795)/100</f>
        <v>0</v>
      </c>
      <c r="L795">
        <f>U795*0.1726</f>
        <v>0</v>
      </c>
      <c r="P795">
        <f>(H795+I795+J795+K795+L795+M795+N795+O795)*0.0726</f>
        <v>0</v>
      </c>
      <c r="S795">
        <f>H795+I795+J795+K795+L795+M795+N795+O795+P795+Q795+R795</f>
        <v>0</v>
      </c>
      <c r="T795">
        <f>U795-J795-K795</f>
        <v>0</v>
      </c>
      <c r="U795"/>
      <c r="V795" s="46">
        <f>U795-S795</f>
        <v>0</v>
      </c>
      <c r="X795"/>
      <c r="Z795">
        <f>(S795-J795-K795)*AD795</f>
        <v>0</v>
      </c>
      <c r="AC795" s="7">
        <f>AF795-Z795-(J795+K795+L795)*Y795</f>
        <v>0</v>
      </c>
      <c r="AE795" s="14">
        <f>V795*AD795</f>
        <v>0</v>
      </c>
      <c r="AF795" s="43">
        <f>(U795-J795-K795)*AD795-AA795</f>
        <v>0</v>
      </c>
      <c r="CS795">
        <v>1580</v>
      </c>
    </row>
    <row r="796" spans="4:97" x14ac:dyDescent="0.2">
      <c r="AE796" s="15"/>
    </row>
    <row r="797" spans="4:97" x14ac:dyDescent="0.2">
      <c r="AE797" s="15"/>
    </row>
    <row r="798" spans="4:97" x14ac:dyDescent="0.2">
      <c r="AE798" s="15"/>
    </row>
    <row r="799" spans="4:97" x14ac:dyDescent="0.2">
      <c r="D799" t="e">
        <f>V799/((H799+I799+O799)/100)</f>
        <v>#DIV/0!</v>
      </c>
      <c r="E799" t="e">
        <f>AC799/AD799/(S799/100)</f>
        <v>#DIV/0!</v>
      </c>
      <c r="J799">
        <f>U799*(F799+G799)/100</f>
        <v>0</v>
      </c>
      <c r="L799">
        <f>U799*0.173</f>
        <v>0</v>
      </c>
      <c r="P799">
        <f>(H799+I799+J799+K799+L799+M799+N799+O799)*0.073</f>
        <v>0</v>
      </c>
      <c r="S799">
        <f>H799+I799+J799+K799+L799+M799+N799+O799+P799+Q799+R799</f>
        <v>0</v>
      </c>
      <c r="T799">
        <f>U799-J799-K799</f>
        <v>0</v>
      </c>
      <c r="U799"/>
      <c r="V799" s="46">
        <f>U799-S799</f>
        <v>0</v>
      </c>
      <c r="X799"/>
      <c r="Z799">
        <f>(S799-J799-K799)*AD799</f>
        <v>0</v>
      </c>
      <c r="AC799" s="7">
        <f>AF799-Z799-(J799+K799+L799)*Y799</f>
        <v>0</v>
      </c>
      <c r="AE799" s="14">
        <f>V799*AD799</f>
        <v>0</v>
      </c>
      <c r="AF799" s="43">
        <f>(U799-J799-K799)*AD799-AA799</f>
        <v>0</v>
      </c>
      <c r="CS799">
        <v>152</v>
      </c>
    </row>
    <row r="800" spans="4:97" x14ac:dyDescent="0.2">
      <c r="AE800" s="15"/>
    </row>
    <row r="801" spans="4:97" x14ac:dyDescent="0.2">
      <c r="AE801" s="15"/>
    </row>
    <row r="802" spans="4:97" x14ac:dyDescent="0.2">
      <c r="AE802" s="15"/>
    </row>
    <row r="803" spans="4:97" x14ac:dyDescent="0.2">
      <c r="D803" t="e">
        <f>V803/((H803+I803+O803)/100)</f>
        <v>#DIV/0!</v>
      </c>
      <c r="E803" t="e">
        <f>AC803/AD803/(S803/100)</f>
        <v>#DIV/0!</v>
      </c>
      <c r="J803">
        <f>U803*(F803+G803)/100</f>
        <v>0</v>
      </c>
      <c r="L803">
        <f>U803*0.1734</f>
        <v>0</v>
      </c>
      <c r="P803">
        <f>(H803+I803+J803+K803+L803+M803+N803+O803)*0.0734</f>
        <v>0</v>
      </c>
      <c r="S803">
        <f>H803+I803+J803+K803+L803+M803+N803+O803+P803+Q803+R803</f>
        <v>0</v>
      </c>
      <c r="T803">
        <f>U803-J803-K803</f>
        <v>0</v>
      </c>
      <c r="U803"/>
      <c r="V803" s="46">
        <f>U803-S803</f>
        <v>0</v>
      </c>
      <c r="X803"/>
      <c r="Z803">
        <f>(S803-J803-K803)*AD803</f>
        <v>0</v>
      </c>
      <c r="AC803" s="7">
        <f>AF803-Z803-(J803+K803+L803)*Y803</f>
        <v>0</v>
      </c>
      <c r="AE803" s="14">
        <f>V803*AD803</f>
        <v>0</v>
      </c>
      <c r="AF803" s="43">
        <f>(U803-J803-K803)*AD803-AA803</f>
        <v>0</v>
      </c>
    </row>
    <row r="804" spans="4:97" x14ac:dyDescent="0.2">
      <c r="AE804" s="15"/>
    </row>
    <row r="805" spans="4:97" x14ac:dyDescent="0.2">
      <c r="AE805" s="15"/>
    </row>
    <row r="806" spans="4:97" x14ac:dyDescent="0.2">
      <c r="AE806" s="15"/>
    </row>
    <row r="807" spans="4:97" x14ac:dyDescent="0.2">
      <c r="D807" t="e">
        <f>V807/((H807+I807+O807)/100)</f>
        <v>#DIV/0!</v>
      </c>
      <c r="E807" t="e">
        <f>AC807/AD807/(S807/100)</f>
        <v>#DIV/0!</v>
      </c>
      <c r="J807">
        <f>U807*(F807+G807)/100</f>
        <v>0</v>
      </c>
      <c r="L807">
        <f>U807*0.1738</f>
        <v>0</v>
      </c>
      <c r="P807">
        <f>(H807+I807+J807+K807+L807+M807+N807+O807)*0.0738</f>
        <v>0</v>
      </c>
      <c r="S807">
        <f>H807+I807+J807+K807+L807+M807+N807+O807+P807+Q807+R807</f>
        <v>0</v>
      </c>
      <c r="T807">
        <f>U807-J807-K807</f>
        <v>0</v>
      </c>
      <c r="U807"/>
      <c r="V807" s="46">
        <f>U807-S807</f>
        <v>0</v>
      </c>
      <c r="X807"/>
      <c r="Z807">
        <f>(S807-J807-K807)*AD807</f>
        <v>0</v>
      </c>
      <c r="AC807" s="7">
        <f>AF807-Z807-(J807+K807+L807)*Y807</f>
        <v>0</v>
      </c>
      <c r="AE807" s="14">
        <f>V807*AD807</f>
        <v>0</v>
      </c>
      <c r="AF807" s="43">
        <f>(U807-J807-K807)*AD807-AA807</f>
        <v>0</v>
      </c>
      <c r="CS807">
        <v>159</v>
      </c>
    </row>
  </sheetData>
  <pageMargins left="0.7" right="0.7" top="0.75" bottom="0.75" header="0.3" footer="0.3"/>
  <pageSetup paperSize="9" scale="7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</dc:creator>
  <cp:lastModifiedBy>Office</cp:lastModifiedBy>
  <cp:lastPrinted>2023-09-12T13:25:42Z</cp:lastPrinted>
  <dcterms:created xsi:type="dcterms:W3CDTF">2015-06-05T18:19:34Z</dcterms:created>
  <dcterms:modified xsi:type="dcterms:W3CDTF">2025-06-05T14:49:05Z</dcterms:modified>
</cp:coreProperties>
</file>